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E:\Documents\PAULA\TABLON DE GOMEZ\4. Estudio Previo\CD_TABLON DE GOMEZ ALC\Estudio Previo Definitivo y Presupuesto\"/>
    </mc:Choice>
  </mc:AlternateContent>
  <bookViews>
    <workbookView xWindow="0" yWindow="0" windowWidth="24000" windowHeight="9435" tabRatio="834" firstSheet="7" activeTab="9"/>
  </bookViews>
  <sheets>
    <sheet name="Datos entrada" sheetId="41" state="hidden" r:id="rId1"/>
    <sheet name="Cuadrillas" sheetId="24" state="hidden" r:id="rId2"/>
    <sheet name="Salarios" sheetId="27" state="hidden" r:id="rId3"/>
    <sheet name="Equ" sheetId="28" state="hidden" r:id="rId4"/>
    <sheet name="COMPONENTES2" sheetId="720" state="hidden" r:id="rId5"/>
    <sheet name="INSUMOS 1" sheetId="721" state="hidden" r:id="rId6"/>
    <sheet name="Trans" sheetId="29" state="hidden" r:id="rId7"/>
    <sheet name="SUMINISTRO" sheetId="735" r:id="rId8"/>
    <sheet name="OBRA" sheetId="725" r:id="rId9"/>
    <sheet name="COSTO TOTAL" sheetId="736" r:id="rId10"/>
    <sheet name="ANALISIS DE AIU" sheetId="527" state="hidden" r:id="rId11"/>
    <sheet name="Cuadro Resumen (2)" sheetId="438" state="hidden" r:id="rId12"/>
    <sheet name="Hoja Base" sheetId="338" state="hidden" r:id="rId13"/>
    <sheet name="Mort 1-3" sheetId="98" state="hidden" r:id="rId14"/>
    <sheet name="Mort 1-3 Imper" sheetId="232" state="hidden" r:id="rId15"/>
    <sheet name="Mort 1-4" sheetId="225" state="hidden" r:id="rId16"/>
    <sheet name="Mort 1-4 Imper" sheetId="259" state="hidden" r:id="rId17"/>
    <sheet name="Mort 1-5" sheetId="155" state="hidden" r:id="rId18"/>
    <sheet name="Mort 1-7" sheetId="165" state="hidden" r:id="rId19"/>
    <sheet name="Concr 2,000" sheetId="30" state="hidden" r:id="rId20"/>
    <sheet name="Concr 2,500" sheetId="34" state="hidden" r:id="rId21"/>
    <sheet name="Concr 3,000" sheetId="25" state="hidden" r:id="rId22"/>
    <sheet name="Concr 3,500" sheetId="471" state="hidden" r:id="rId23"/>
    <sheet name="Concr 4,000 " sheetId="455" state="hidden" r:id="rId24"/>
    <sheet name=" Acero 60000 Refuerzo " sheetId="295" state="hidden" r:id="rId25"/>
    <sheet name=" Malla Electrosoldada " sheetId="296" state="hidden" r:id="rId26"/>
    <sheet name="P Eléctrico" sheetId="263" state="hidden" r:id="rId27"/>
    <sheet name="P Agua Fria" sheetId="215" state="hidden" r:id="rId28"/>
    <sheet name="P Sanitario" sheetId="216" state="hidden" r:id="rId29"/>
    <sheet name="Granito pulido " sheetId="291" state="hidden" r:id="rId30"/>
    <sheet name="Marcos puerta" sheetId="335" state="hidden" r:id="rId31"/>
    <sheet name="Marcos ventana" sheetId="336" state="hidden" r:id="rId32"/>
    <sheet name="1,1,1 Campamt" sheetId="197" state="hidden" r:id="rId33"/>
    <sheet name="1,1,7 Locali Manual" sheetId="262" state="hidden" r:id="rId34"/>
    <sheet name="1,4,2 Traslado postes" sheetId="137" state="hidden" r:id="rId35"/>
    <sheet name="1,4,3 Arb 5" sheetId="200" state="hidden" r:id="rId36"/>
    <sheet name="1,4,4 Arb 10" sheetId="205" state="hidden" r:id="rId37"/>
    <sheet name="1,4,5 Arb 15" sheetId="206" state="hidden" r:id="rId38"/>
    <sheet name="1,4,6 Arb 20" sheetId="207" state="hidden" r:id="rId39"/>
    <sheet name="1,4,7 Arb +20" sheetId="208" state="hidden" r:id="rId40"/>
    <sheet name="1,4,8 Traslado Arb" sheetId="386" state="hidden" r:id="rId41"/>
    <sheet name="2,1,1 Exc Mec" sheetId="715" state="hidden" r:id="rId42"/>
    <sheet name="2,1,5 Relleno M Común" sheetId="220" state="hidden" r:id="rId43"/>
    <sheet name="2,1,7  Sub base Recebo " sheetId="645" state="hidden" r:id="rId44"/>
    <sheet name="2,1,8 Geotextil NT" sheetId="535" state="hidden" r:id="rId45"/>
    <sheet name="2,1,9 Geotextil Tejido" sheetId="534" state="hidden" r:id="rId46"/>
    <sheet name="2,2,3 Muros de contencion" sheetId="547" state="hidden" r:id="rId47"/>
    <sheet name="2,2,6,1 Pilotes 0,30" sheetId="460" state="hidden" r:id="rId48"/>
    <sheet name="2,2,6,2 Pilotes 0,40" sheetId="461" state="hidden" r:id="rId49"/>
    <sheet name="2,2,6,3 Pilotes 0,60" sheetId="462" state="hidden" r:id="rId50"/>
    <sheet name="2,2,6,4 Pilotes 0,80" sheetId="463" state="hidden" r:id="rId51"/>
    <sheet name="2,2,6,5 Pilotes 0,90 " sheetId="464" state="hidden" r:id="rId52"/>
    <sheet name="2,2,7 Dados en concreto" sheetId="224" state="hidden" r:id="rId53"/>
    <sheet name="2,2,8 Placa Flotante 0,60" sheetId="549" state="hidden" r:id="rId54"/>
    <sheet name="2,2,9 Reposicion -Placa" sheetId="227" state="hidden" r:id="rId55"/>
    <sheet name="2,2,10 Placas cont= 0,125" sheetId="548" state="hidden" r:id="rId56"/>
    <sheet name="2,2,11 Placas cont= 0,15" sheetId="228" state="hidden" r:id="rId57"/>
    <sheet name="2,3,1 Acero 37000 " sheetId="478" state="hidden" r:id="rId58"/>
    <sheet name="Exc-comun" sheetId="734" state="hidden" r:id="rId59"/>
    <sheet name="2,4,1 Gaviones" sheetId="550" state="hidden" r:id="rId60"/>
    <sheet name="2,4,2 Cajon aislamiento vigas" sheetId="551" state="hidden" r:id="rId61"/>
    <sheet name="2,4,3 Icopor Aislante ciment. " sheetId="552" state="hidden" r:id="rId62"/>
    <sheet name="2,4,4 Pañete Taludes " sheetId="553" state="hidden" r:id="rId63"/>
    <sheet name="3,1,1 Novafort A.LL. 4&quot; 110mm " sheetId="516" state="hidden" r:id="rId64"/>
    <sheet name="3,1,3 Novafort A.LL 8&quot;200 mm   " sheetId="555" state="hidden" r:id="rId65"/>
    <sheet name="3,1,4 Novafort 10&quot;A.LL. 255mm " sheetId="556" state="hidden" r:id="rId66"/>
    <sheet name="3,1,5 Novafort A.LL.12&quot; 315mm  " sheetId="557" state="hidden" r:id="rId67"/>
    <sheet name="3,1,6  Acc. Novafort. A.LL" sheetId="558" state="hidden" r:id="rId68"/>
    <sheet name="3,2,3 Novafort A.N. 8&quot;200 mm" sheetId="561" state="hidden" r:id="rId69"/>
    <sheet name="3,2,4 Novafort 10&quot;A.N. 255 mm" sheetId="562" state="hidden" r:id="rId70"/>
    <sheet name="3,2,5 Novafort A.N.12&quot; 315mm" sheetId="563" state="hidden" r:id="rId71"/>
    <sheet name="3,2,6  Acc. Novafort. A.N." sheetId="564" state="hidden" r:id="rId72"/>
    <sheet name="3,3,1 Tuberia drenaje PVC 4&quot;" sheetId="565" state="hidden" r:id="rId73"/>
    <sheet name="3,3,2 Tuberia drenaje PVC 4&quot;" sheetId="566" state="hidden" r:id="rId74"/>
    <sheet name="3,3,3 Accesorio drenaje PVC 3&quot;" sheetId="567" state="hidden" r:id="rId75"/>
    <sheet name="3,3,4 Accesorio drenaje PVC 4&quot;" sheetId="568" state="hidden" r:id="rId76"/>
    <sheet name="3,3,5 Filtros Escorrentias" sheetId="569" state="hidden" r:id="rId77"/>
    <sheet name="3,4,2 Caja inspección 0,80" sheetId="345" state="hidden" r:id="rId78"/>
    <sheet name="3,4,3 Caja inspección 1,00" sheetId="346" state="hidden" r:id="rId79"/>
    <sheet name="3,4,4 Caja Distribuciòn 0,40  " sheetId="613" state="hidden" r:id="rId80"/>
    <sheet name="3,4,6 Carcamo aguas lluvias" sheetId="570" state="hidden" r:id="rId81"/>
    <sheet name="3,4,7 Trampa de grasas" sheetId="571" state="hidden" r:id="rId82"/>
    <sheet name="3,4,8 Pozo Septico" sheetId="470" state="hidden" r:id="rId83"/>
    <sheet name="3,5,1 Exc Man " sheetId="269" state="hidden" r:id="rId84"/>
    <sheet name="3,5,2 Exc en recebo comp." sheetId="572" state="hidden" r:id="rId85"/>
    <sheet name="3,5,3  Relleno M seleccionado" sheetId="573" state="hidden" r:id="rId86"/>
    <sheet name="3,5,4 Relleno M Común " sheetId="270" state="hidden" r:id="rId87"/>
    <sheet name="3,5,5 Retiro sobrantes" sheetId="574" state="hidden" r:id="rId88"/>
    <sheet name="3,3,6 POZO INFILTRACIÓN" sheetId="708" state="hidden" r:id="rId89"/>
    <sheet name="3,4,1 Caja inspección 0,60 " sheetId="231" state="hidden" r:id="rId90"/>
    <sheet name="4,1,2 Pantalla en concreto" sheetId="575" state="hidden" r:id="rId91"/>
    <sheet name="4,1,3 Muros" sheetId="442" state="hidden" r:id="rId92"/>
    <sheet name="4,2,3  Vigas Prefabricadas" sheetId="577" state="hidden" r:id="rId93"/>
    <sheet name="5,1,6 camara 5,20&lt;=h&lt;6,20" sheetId="355" state="hidden" r:id="rId94"/>
    <sheet name="4,3,3 Caseton 45 cm" sheetId="444" state="hidden" r:id="rId95"/>
    <sheet name="5,1,7 camara 6,20&lt;=h&lt;7,20" sheetId="445" state="hidden" r:id="rId96"/>
    <sheet name="4,3,6 Placa maciza 0,20" sheetId="427" state="hidden" r:id="rId97"/>
    <sheet name="4,3,7 Placa maciza 0,125" sheetId="241" state="hidden" r:id="rId98"/>
    <sheet name="5,1,8 camara 7,20&lt;=h&lt;8,20" sheetId="356" state="hidden" r:id="rId99"/>
    <sheet name="4,3,9 Placa maciza 0,15" sheetId="641" state="hidden" r:id="rId100"/>
    <sheet name="4,4,2 Rampas" sheetId="364" state="hidden" r:id="rId101"/>
    <sheet name="4,4,3 POZO CONCRETO 20 M3" sheetId="646" state="hidden" r:id="rId102"/>
    <sheet name="4,4,4 POZO CONCRETO" sheetId="347" state="hidden" r:id="rId103"/>
    <sheet name="4,5,1 Acero 37000  " sheetId="479" state="hidden" r:id="rId104"/>
    <sheet name="5,1,10 camara 8,20&lt;=h&lt;9,20" sheetId="236" state="hidden" r:id="rId105"/>
    <sheet name="4,5,2 Acero 60000 est" sheetId="235" state="hidden" r:id="rId106"/>
    <sheet name="4,6,2,3 Cerrchas  Metàlica" sheetId="623" state="hidden" r:id="rId107"/>
    <sheet name="5,1,1 Bloq Conc Estruc 0,12" sheetId="648" state="hidden" r:id="rId108"/>
    <sheet name="5,1,2 Bloque concreto divisorio" sheetId="473" state="hidden" r:id="rId109"/>
    <sheet name="5,1,5  Calados en Concreto" sheetId="484" state="hidden" r:id="rId110"/>
    <sheet name="5,1,6 Bloq Conc Estruc 014" sheetId="237" state="hidden" r:id="rId111"/>
    <sheet name="5,1,7 Bloq Conc Estruc 019" sheetId="242" state="hidden" r:id="rId112"/>
    <sheet name="5,2,6 Muro en bloque No 4" sheetId="579" state="hidden" r:id="rId113"/>
    <sheet name="5,3,1 Enchape ladrillo arcilla" sheetId="580" state="hidden" r:id="rId114"/>
    <sheet name="5,3,3 Alfagias ladrillo arcilla" sheetId="581" state="hidden" r:id="rId115"/>
    <sheet name="5,3,4 Remate ladrillo arcilla" sheetId="582" state="hidden" r:id="rId116"/>
    <sheet name="5,4,1 Grouting-Concreto fluido" sheetId="271" state="hidden" r:id="rId117"/>
    <sheet name="5,4,2 Remates" sheetId="481" state="hidden" r:id="rId118"/>
    <sheet name="5,5,3 Malla Electrosoldada " sheetId="583" state="hidden" r:id="rId119"/>
    <sheet name="5,6,1 Instalaciòn carpint. Meta" sheetId="585" state="hidden" r:id="rId120"/>
    <sheet name="6,1,1 Alfajias" sheetId="243" state="hidden" r:id="rId121"/>
    <sheet name="6,1,2 Dinteles" sheetId="244" state="hidden" r:id="rId122"/>
    <sheet name="6,1,3 Remates sobre mamposteria" sheetId="586" state="hidden" r:id="rId123"/>
    <sheet name="6.1.8 Pergolas" sheetId="446" state="hidden" r:id="rId124"/>
    <sheet name="6,1,10 Gradas en Concreto" sheetId="494" state="hidden" r:id="rId125"/>
    <sheet name="6,1,11 PLAQUETAS" sheetId="503" state="hidden" r:id="rId126"/>
    <sheet name="6,1,15 Bordillos ducha y aseo" sheetId="649" state="hidden" r:id="rId127"/>
    <sheet name="6,2,1 Mesones en concreto" sheetId="587" state="hidden" r:id="rId128"/>
    <sheet name="6,2,3 Mesones laboratorios" sheetId="504" state="hidden" r:id="rId129"/>
    <sheet name="6,2,5 Bancas Concreto" sheetId="505" state="hidden" r:id="rId130"/>
    <sheet name="6,2,8 Alfajias 2" sheetId="472" state="hidden" r:id="rId131"/>
    <sheet name="7,1,1,1 Acometida PVC-P 2&quot;" sheetId="348" state="hidden" r:id="rId132"/>
    <sheet name="7,1,1,2 Accesorio PVC-P 2&quot; " sheetId="588" state="hidden" r:id="rId133"/>
    <sheet name="7,1,3,1 Tuberia H.G. 1&quot;cuarto " sheetId="591" state="hidden" r:id="rId134"/>
    <sheet name="7,1,3,2  Accesorio H.G.1&quot;cuarto" sheetId="592" state="hidden" r:id="rId135"/>
    <sheet name="7,1,3,3  Registro R. W. 1&quot;" sheetId="593" state="hidden" r:id="rId136"/>
    <sheet name="7,1,3,4  Cheque Helber 1&quot;" sheetId="716" state="hidden" r:id="rId137"/>
    <sheet name="7,1,4,1 Tuberia H.G. 1 1.2&quot;" sheetId="595" state="hidden" r:id="rId138"/>
    <sheet name="7,1,4,2  Accesorio H.G.1 1.2&quot;" sheetId="596" state="hidden" r:id="rId139"/>
    <sheet name="7,1,4,3  Registro R. W. 1. 1.2&quot;" sheetId="597" state="hidden" r:id="rId140"/>
    <sheet name="7,1,4,4  Cheque  Helber 1 1.2&quot;" sheetId="594" state="hidden" r:id="rId141"/>
    <sheet name="7,1,5,4 Registro 114" sheetId="522" state="hidden" r:id="rId142"/>
    <sheet name="7,1,5,5 Registro 1 12" sheetId="523" state="hidden" r:id="rId143"/>
    <sheet name="7,1,5,6 Registro 2 " sheetId="524" state="hidden" r:id="rId144"/>
    <sheet name="7,1,6,4 Acometida 1 14" sheetId="403" state="hidden" r:id="rId145"/>
    <sheet name="7,1,6,6 Acometida 2" sheetId="404" state="hidden" r:id="rId146"/>
    <sheet name="7,1,6,7 Tubo UZ 2&quot;" sheetId="407" state="hidden" r:id="rId147"/>
    <sheet name="7,1,6,8 Acometida 1 12" sheetId="408" state="hidden" r:id="rId148"/>
    <sheet name="7,1,6,9 Tuberia UZ 3&quot;" sheetId="409" state="hidden" r:id="rId149"/>
    <sheet name="7,1,6,10 Accesorio UZ  2&quot;" sheetId="434" state="hidden" r:id="rId150"/>
    <sheet name="7,1,6,11 Accesorio UZ 3&quot;" sheetId="514" state="hidden" r:id="rId151"/>
    <sheet name="7,1,7,1 Tuberia H.G. 1.2&quot;" sheetId="598" state="hidden" r:id="rId152"/>
    <sheet name="7,1,7,2  Accesorio H.G.1.2&quot;" sheetId="599" state="hidden" r:id="rId153"/>
    <sheet name="7,1,7,3 Registro Corte 1.2&quot; " sheetId="601" state="hidden" r:id="rId154"/>
    <sheet name="7,1,7,4 Registro 1.2&quot;" sheetId="600" state="hidden" r:id="rId155"/>
    <sheet name="7,1,7,5 Caja para medidor" sheetId="605" state="hidden" r:id="rId156"/>
    <sheet name="7,1,8,2 Punto  Agua Fria 1 1.2&quot;" sheetId="606" state="hidden" r:id="rId157"/>
    <sheet name="7,1,8,3 P Agua Fria Sanitarios" sheetId="250" state="hidden" r:id="rId158"/>
    <sheet name="7,1,8,4 P Agua Fria Orinales" sheetId="251" state="hidden" r:id="rId159"/>
    <sheet name="7,1,8,5 P Agua Fria pocetas lab" sheetId="607" state="hidden" r:id="rId160"/>
    <sheet name="7,1,8,6 P Agua Fria Ducha" sheetId="502" state="hidden" r:id="rId161"/>
    <sheet name="7,1,8,7 P Agua Fria Pocetas" sheetId="252" state="hidden" r:id="rId162"/>
    <sheet name="7,1,8,8 Llave  Manguera 1.2&quot;" sheetId="608" state="hidden" r:id="rId163"/>
    <sheet name="7,1,8,10  Tapòn H.G.1.2&quot;" sheetId="609" state="hidden" r:id="rId164"/>
    <sheet name="7,1,8,11  Tapòn P.V.C.1.2&quot; " sheetId="610" state="hidden" r:id="rId165"/>
    <sheet name="7,1,8,12  Camara aire H.G.1.2&quot;" sheetId="611" state="hidden" r:id="rId166"/>
    <sheet name="7,1,8,13  Camara aire P.V.C.P " sheetId="612" state="hidden" r:id="rId167"/>
    <sheet name="7,1,9,5  P Sifòn PVC-S 4&quot;" sheetId="614" state="hidden" r:id="rId168"/>
    <sheet name="7,1,10,2 Pto 3&quot;" sheetId="517" state="hidden" r:id="rId169"/>
    <sheet name="7,1,10,2 Punto Vent 3&quot;" sheetId="616" state="hidden" r:id="rId170"/>
    <sheet name="7,1,11,4&quot;" sheetId="604" state="hidden" r:id="rId171"/>
    <sheet name="7,1,11,5 Bajante PVC " sheetId="287" state="hidden" r:id="rId172"/>
    <sheet name="7,1,11,6 Accesorios PVC" sheetId="495" state="hidden" r:id="rId173"/>
    <sheet name="7,1,12,1 Instalaciòn Lavamanos" sheetId="619" state="hidden" r:id="rId174"/>
    <sheet name="7,1,12,2 Instalaciòn Sanitario " sheetId="620" state="hidden" r:id="rId175"/>
    <sheet name="7,1,12,8 Llave  Manguera 1.2 " sheetId="617" state="hidden" r:id="rId176"/>
    <sheet name="7,1,12,9 Acoflex lav.sant." sheetId="618" state="hidden" r:id="rId177"/>
    <sheet name="7,2,1,1 Punto de gas" sheetId="539" state="hidden" r:id="rId178"/>
    <sheet name="7,2,1,2 Preinstalación gas" sheetId="540" state="hidden" r:id="rId179"/>
    <sheet name="7,2,1,3 Tuberia  tipo L 1.2&quot;" sheetId="541" state="hidden" r:id="rId180"/>
    <sheet name="7,2,1,4 Tuberia  tipo L 1&quot;" sheetId="542" state="hidden" r:id="rId181"/>
    <sheet name="7,2,1,5  Registro bola 1&quot; " sheetId="543" state="hidden" r:id="rId182"/>
    <sheet name="7,2,1,7  Rejilla vent. plastica" sheetId="639" state="hidden" r:id="rId183"/>
    <sheet name="8,5" sheetId="312" state="hidden" r:id="rId184"/>
    <sheet name="8,10" sheetId="374" state="hidden" r:id="rId185"/>
    <sheet name="8,11" sheetId="382" state="hidden" r:id="rId186"/>
    <sheet name="8,12" sheetId="383" state="hidden" r:id="rId187"/>
    <sheet name="8,13" sheetId="384" state="hidden" r:id="rId188"/>
    <sheet name="8,14" sheetId="390" state="hidden" r:id="rId189"/>
    <sheet name="8,15" sheetId="394" state="hidden" r:id="rId190"/>
    <sheet name="8,16" sheetId="398" state="hidden" r:id="rId191"/>
    <sheet name="8,19" sheetId="412" state="hidden" r:id="rId192"/>
    <sheet name="8,20" sheetId="413" state="hidden" r:id="rId193"/>
    <sheet name="8,21" sheetId="414" state="hidden" r:id="rId194"/>
    <sheet name="8,22" sheetId="415" state="hidden" r:id="rId195"/>
    <sheet name="8,23" sheetId="416" state="hidden" r:id="rId196"/>
    <sheet name="8,24" sheetId="417" state="hidden" r:id="rId197"/>
    <sheet name="8,25" sheetId="418" state="hidden" r:id="rId198"/>
    <sheet name="8,26" sheetId="420" state="hidden" r:id="rId199"/>
    <sheet name="8,27" sheetId="421" state="hidden" r:id="rId200"/>
    <sheet name="8,28" sheetId="422" state="hidden" r:id="rId201"/>
    <sheet name="8,29" sheetId="426" state="hidden" r:id="rId202"/>
    <sheet name="8,30" sheetId="429" state="hidden" r:id="rId203"/>
    <sheet name="8,31" sheetId="430" state="hidden" r:id="rId204"/>
    <sheet name="8,32" sheetId="431" state="hidden" r:id="rId205"/>
    <sheet name="8,33" sheetId="339" state="hidden" r:id="rId206"/>
    <sheet name="8,34" sheetId="340" state="hidden" r:id="rId207"/>
    <sheet name="8,35" sheetId="343" state="hidden" r:id="rId208"/>
    <sheet name="8,36" sheetId="368" state="hidden" r:id="rId209"/>
    <sheet name="8,37" sheetId="371" state="hidden" r:id="rId210"/>
    <sheet name="8,38" sheetId="373" state="hidden" r:id="rId211"/>
    <sheet name="8,40" sheetId="376" state="hidden" r:id="rId212"/>
    <sheet name="8,43" sheetId="406" state="hidden" r:id="rId213"/>
    <sheet name="8,44" sheetId="423" state="hidden" r:id="rId214"/>
    <sheet name="8,45" sheetId="432" state="hidden" r:id="rId215"/>
    <sheet name="8,46" sheetId="433" state="hidden" r:id="rId216"/>
    <sheet name="8,47" sheetId="435" state="hidden" r:id="rId217"/>
    <sheet name="8,51" sheetId="367" state="hidden" r:id="rId218"/>
    <sheet name="8,52" sheetId="459" state="hidden" r:id="rId219"/>
    <sheet name="8,56" sheetId="342" state="hidden" r:id="rId220"/>
    <sheet name="8,57" sheetId="360" state="hidden" r:id="rId221"/>
    <sheet name="8,58" sheetId="624" state="hidden" r:id="rId222"/>
    <sheet name="8,61" sheetId="673" state="hidden" r:id="rId223"/>
    <sheet name="8,62" sheetId="674" state="hidden" r:id="rId224"/>
    <sheet name="8,64" sheetId="677" state="hidden" r:id="rId225"/>
    <sheet name="8,65" sheetId="683" state="hidden" r:id="rId226"/>
    <sheet name="8,66" sheetId="684" state="hidden" r:id="rId227"/>
    <sheet name="8,67" sheetId="685" state="hidden" r:id="rId228"/>
    <sheet name="8,69" sheetId="687" state="hidden" r:id="rId229"/>
    <sheet name="8,70" sheetId="688" state="hidden" r:id="rId230"/>
    <sheet name="8,71" sheetId="689" state="hidden" r:id="rId231"/>
    <sheet name="8,72" sheetId="690" state="hidden" r:id="rId232"/>
    <sheet name="8,73" sheetId="691" state="hidden" r:id="rId233"/>
    <sheet name="8,77" sheetId="695" state="hidden" r:id="rId234"/>
    <sheet name="8,78" sheetId="696" state="hidden" r:id="rId235"/>
    <sheet name="8,79" sheetId="697" state="hidden" r:id="rId236"/>
    <sheet name="8,80" sheetId="698" state="hidden" r:id="rId237"/>
    <sheet name="8,82" sheetId="700" state="hidden" r:id="rId238"/>
    <sheet name="8,83" sheetId="701" state="hidden" r:id="rId239"/>
    <sheet name="8,85" sheetId="703" state="hidden" r:id="rId240"/>
    <sheet name="8,86" sheetId="704" state="hidden" r:id="rId241"/>
    <sheet name="8,87" sheetId="705" state="hidden" r:id="rId242"/>
    <sheet name="10,1,1 base mueble concreto" sheetId="485" state="hidden" r:id="rId243"/>
    <sheet name="10,1,3 Alistado pisos" sheetId="273" state="hidden" r:id="rId244"/>
    <sheet name="10,1,4 Mortero afinado" sheetId="425" state="hidden" r:id="rId245"/>
    <sheet name="10,2,1,3 Ceramica 0,20 x 0,20 " sheetId="651" state="hidden" r:id="rId246"/>
    <sheet name="10,2,2,3 Piso tablòn ges 0,30 " sheetId="625" state="hidden" r:id="rId247"/>
    <sheet name="10,2,4,3 gravilla m2" sheetId="507" state="hidden" r:id="rId248"/>
    <sheet name="10,3,1,1 Tablòn cuarto 26" sheetId="626" state="hidden" r:id="rId249"/>
    <sheet name="10,3,2,3 Media Caña" sheetId="395" state="hidden" r:id="rId250"/>
    <sheet name="10,3,2,4 Gravilla " sheetId="508" state="hidden" r:id="rId251"/>
    <sheet name="10,4,2 Escalera en Granito" sheetId="381" state="hidden" r:id="rId252"/>
    <sheet name="11,2,3,1 Domo acrílico" sheetId="537" state="hidden" r:id="rId253"/>
    <sheet name="11,2,3,2 Acrilico transparente" sheetId="499" state="hidden" r:id="rId254"/>
    <sheet name="11,2,4,2 Cubierta placa" sheetId="277" state="hidden" r:id="rId255"/>
    <sheet name="11,3,1 Canal Lámina" sheetId="466" state="hidden" r:id="rId256"/>
    <sheet name="11,3,3 Tragante 5x3" sheetId="496" state="hidden" r:id="rId257"/>
    <sheet name="11,3,5 Canal PVC" sheetId="278" state="hidden" r:id="rId258"/>
    <sheet name="12,1,2 Ventanas aluminio reja" sheetId="448" state="hidden" r:id="rId259"/>
    <sheet name="12,1,4 Puert Alum dob reja" sheetId="450" state="hidden" r:id="rId260"/>
    <sheet name="12,1,7 PERGOLAS ALUM" sheetId="512" state="hidden" r:id="rId261"/>
    <sheet name="12,1,9 BARANDA EN ALUMINIO" sheetId="640" state="hidden" r:id="rId262"/>
    <sheet name="12,2,1,1 Marcos puerta" sheetId="279" state="hidden" r:id="rId263"/>
    <sheet name="12,2,1,2 Puerta Sencilla" sheetId="304" state="hidden" r:id="rId264"/>
    <sheet name="12,2,1,3 Ventana" sheetId="387" state="hidden" r:id="rId265"/>
    <sheet name="12,2,1,5 Puertas Emtamborada" sheetId="280" state="hidden" r:id="rId266"/>
    <sheet name="12,2,2,1 Pasamanos " sheetId="497" state="hidden" r:id="rId267"/>
    <sheet name=" 12,2,2,4 Baranda tubo" sheetId="333" state="hidden" r:id="rId268"/>
    <sheet name="12,2,3,1 Rejas en varilla cuadr" sheetId="281" state="hidden" r:id="rId269"/>
    <sheet name="12,2,3,2 Rejas ventana" sheetId="391" state="hidden" r:id="rId270"/>
    <sheet name="12,2,3,3 Rejas Puerta baño" sheetId="392" state="hidden" r:id="rId271"/>
    <sheet name="12,2,3,4 Reja Ventilación" sheetId="358" state="hidden" r:id="rId272"/>
    <sheet name="12,2,4,1 CORTASOL" sheetId="436" state="hidden" r:id="rId273"/>
    <sheet name="12,2,4,4 Ventana Malla" sheetId="396" state="hidden" r:id="rId274"/>
    <sheet name="16,1,9 Duchas" sheetId="501" state="hidden" r:id="rId275"/>
    <sheet name="16,1,11 POCETA" sheetId="509" state="hidden" r:id="rId276"/>
    <sheet name="16,2,1 Pocetas Aseo" sheetId="538" state="hidden" r:id="rId277"/>
    <sheet name="16,2,5 Llave Terminal" sheetId="306" state="hidden" r:id="rId278"/>
    <sheet name="17,2,1 Puerta Vidrio" sheetId="334" state="hidden" r:id="rId279"/>
    <sheet name="17,2,2 Puerta PVC Baterias" sheetId="337" state="hidden" r:id="rId280"/>
    <sheet name="17,2,3 Divisiones 0,06" sheetId="329" state="hidden" r:id="rId281"/>
    <sheet name="17,2,4 Divisiones baños " sheetId="303" state="hidden" r:id="rId282"/>
    <sheet name="18,1,2 pintura plastica" sheetId="283" state="hidden" r:id="rId283"/>
    <sheet name="18,1,4 Vinilo sin estuco " sheetId="379" state="hidden" r:id="rId284"/>
    <sheet name="18,1,5 Vinilo Cielos " sheetId="284" state="hidden" r:id="rId285"/>
    <sheet name="20,1,2 Exc Man" sheetId="709" state="hidden" r:id="rId286"/>
    <sheet name="20,1,5 Subbase recebo" sheetId="707" state="hidden" r:id="rId287"/>
    <sheet name="20,3,1 Solado esp= 0,05" sheetId="634" state="hidden" r:id="rId288"/>
    <sheet name="20,3,2 Concreto Ciclopeo " sheetId="635" state="hidden" r:id="rId289"/>
    <sheet name="20,3,3 Vigas de Amarre" sheetId="636" state="hidden" r:id="rId290"/>
    <sheet name="20,3,5  Cerramiento Malla Esla" sheetId="638" state="hidden" r:id="rId291"/>
    <sheet name="20,4,1 Mov Tierras" sheetId="217" state="hidden" r:id="rId292"/>
    <sheet name="20,4,2 Pradización" sheetId="533" state="hidden" r:id="rId293"/>
    <sheet name="21,1,3 Aseo" sheetId="285" state="hidden" r:id="rId294"/>
    <sheet name="20,4,4 Arborización" sheetId="388" state="hidden" r:id="rId295"/>
    <sheet name="20,5,1 Gaviones en piedra" sheetId="628" state="hidden" r:id="rId296"/>
    <sheet name="20,5,2 PERGOLA  METALICA" sheetId="633" state="hidden" r:id="rId297"/>
    <sheet name="20,5,3  Acero 37000  Ext." sheetId="629" state="hidden" r:id="rId298"/>
    <sheet name="20,5,4 Acero 60000 psi" sheetId="631" state="hidden" r:id="rId299"/>
    <sheet name="20,5,5 Malla Electrosoldada  " sheetId="632" state="hidden" r:id="rId300"/>
    <sheet name="21,1,1 Lavada ladrillo " sheetId="621" state="hidden" r:id="rId301"/>
    <sheet name="20,2,13 Escalinatas" sheetId="530" state="hidden" r:id="rId302"/>
    <sheet name="21,1,4 Retiro Escombros" sheetId="630" state="hidden" r:id="rId303"/>
    <sheet name="Pasamanos " sheetId="239" state="hidden" r:id="rId304"/>
  </sheets>
  <externalReferences>
    <externalReference r:id="rId305"/>
  </externalReferences>
  <definedNames>
    <definedName name="_xlnm._FilterDatabase" localSheetId="4" hidden="1">COMPONENTES2!$A$481:$G$542</definedName>
    <definedName name="_xlnm._FilterDatabase" localSheetId="5" hidden="1">'INSUMOS 1'!$A$481:$G$542</definedName>
    <definedName name="_xlnm._FilterDatabase" localSheetId="8" hidden="1">OBRA!$A$6:$G$82</definedName>
    <definedName name="_xlnm._FilterDatabase" localSheetId="7" hidden="1">SUMINISTRO!$A$6:$G$27</definedName>
    <definedName name="_xlnm.Print_Area" localSheetId="267">' 12,2,2,4 Baranda tubo'!$A$1:$I$54</definedName>
    <definedName name="_xlnm.Print_Area" localSheetId="24">' Acero 60000 Refuerzo '!$A$1:$I$61</definedName>
    <definedName name="_xlnm.Print_Area" localSheetId="25">' Malla Electrosoldada '!$A$1:$I$54</definedName>
    <definedName name="_xlnm.Print_Area" localSheetId="32">'1,1,1 Campamt'!$A$1:$I$57</definedName>
    <definedName name="_xlnm.Print_Area" localSheetId="33">'1,1,7 Locali Manual'!$A$1:$I$54</definedName>
    <definedName name="_xlnm.Print_Area" localSheetId="34">'1,4,2 Traslado postes'!$A$1:$I$54</definedName>
    <definedName name="_xlnm.Print_Area" localSheetId="35">'1,4,3 Arb 5'!$A$1:$I$54</definedName>
    <definedName name="_xlnm.Print_Area" localSheetId="36">'1,4,4 Arb 10'!$A$1:$I$54</definedName>
    <definedName name="_xlnm.Print_Area" localSheetId="37">'1,4,5 Arb 15'!$A$1:$I$54</definedName>
    <definedName name="_xlnm.Print_Area" localSheetId="38">'1,4,6 Arb 20'!$A$1:$I$54</definedName>
    <definedName name="_xlnm.Print_Area" localSheetId="39">'1,4,7 Arb +20'!$A$1:$I$54</definedName>
    <definedName name="_xlnm.Print_Area" localSheetId="40">'1,4,8 Traslado Arb'!$A$1:$I$54</definedName>
    <definedName name="_xlnm.Print_Area" localSheetId="242">'10,1,1 base mueble concreto'!$A$1:$I$54</definedName>
    <definedName name="_xlnm.Print_Area" localSheetId="243">'10,1,3 Alistado pisos'!$A$1:$I$54</definedName>
    <definedName name="_xlnm.Print_Area" localSheetId="244">'10,1,4 Mortero afinado'!$A$1:$I$54</definedName>
    <definedName name="_xlnm.Print_Area" localSheetId="245">'10,2,1,3 Ceramica 0,20 x 0,20 '!$A$1:$I$54</definedName>
    <definedName name="_xlnm.Print_Area" localSheetId="246">'10,2,2,3 Piso tablòn ges 0,30 '!$A$1:$I$54</definedName>
    <definedName name="_xlnm.Print_Area" localSheetId="247">'10,2,4,3 gravilla m2'!$A$1:$I$54</definedName>
    <definedName name="_xlnm.Print_Area" localSheetId="248">'10,3,1,1 Tablòn cuarto 26'!$A$1:$I$54</definedName>
    <definedName name="_xlnm.Print_Area" localSheetId="249">'10,3,2,3 Media Caña'!$A$1:$I$54</definedName>
    <definedName name="_xlnm.Print_Area" localSheetId="250">'10,3,2,4 Gravilla '!$A$1:$I$54</definedName>
    <definedName name="_xlnm.Print_Area" localSheetId="251">'10,4,2 Escalera en Granito'!$A$1:$I$54</definedName>
    <definedName name="_xlnm.Print_Area" localSheetId="252">'11,2,3,1 Domo acrílico'!$A$1:$I$54</definedName>
    <definedName name="_xlnm.Print_Area" localSheetId="253">'11,2,3,2 Acrilico transparente'!$A$1:$I$54</definedName>
    <definedName name="_xlnm.Print_Area" localSheetId="254">'11,2,4,2 Cubierta placa'!$A$1:$I$54</definedName>
    <definedName name="_xlnm.Print_Area" localSheetId="255">'11,3,1 Canal Lámina'!$A$1:$I$54</definedName>
    <definedName name="_xlnm.Print_Area" localSheetId="256">'11,3,3 Tragante 5x3'!$A$1:$I$54</definedName>
    <definedName name="_xlnm.Print_Area" localSheetId="257">'11,3,5 Canal PVC'!$A$1:$I$54</definedName>
    <definedName name="_xlnm.Print_Area" localSheetId="258">'12,1,2 Ventanas aluminio reja'!$A$1:$I$54</definedName>
    <definedName name="_xlnm.Print_Area" localSheetId="259">'12,1,4 Puert Alum dob reja'!$A$1:$I$54</definedName>
    <definedName name="_xlnm.Print_Area" localSheetId="260">'12,1,7 PERGOLAS ALUM'!$A$1:$I$54</definedName>
    <definedName name="_xlnm.Print_Area" localSheetId="261">'12,1,9 BARANDA EN ALUMINIO'!$A$1:$I$55</definedName>
    <definedName name="_xlnm.Print_Area" localSheetId="262">'12,2,1,1 Marcos puerta'!$A$1:$I$54</definedName>
    <definedName name="_xlnm.Print_Area" localSheetId="263">'12,2,1,2 Puerta Sencilla'!$A$1:$I$54</definedName>
    <definedName name="_xlnm.Print_Area" localSheetId="264">'12,2,1,3 Ventana'!$A$1:$I$54</definedName>
    <definedName name="_xlnm.Print_Area" localSheetId="265">'12,2,1,5 Puertas Emtamborada'!$A$1:$I$54</definedName>
    <definedName name="_xlnm.Print_Area" localSheetId="266">'12,2,2,1 Pasamanos '!$A$1:$I$54</definedName>
    <definedName name="_xlnm.Print_Area" localSheetId="268">'12,2,3,1 Rejas en varilla cuadr'!$A$1:$I$54</definedName>
    <definedName name="_xlnm.Print_Area" localSheetId="269">'12,2,3,2 Rejas ventana'!$A$1:$I$54</definedName>
    <definedName name="_xlnm.Print_Area" localSheetId="270">'12,2,3,3 Rejas Puerta baño'!$A$1:$I$54</definedName>
    <definedName name="_xlnm.Print_Area" localSheetId="271">'12,2,3,4 Reja Ventilación'!$A$1:$I$58</definedName>
    <definedName name="_xlnm.Print_Area" localSheetId="272">'12,2,4,1 CORTASOL'!$A$1:$I$54</definedName>
    <definedName name="_xlnm.Print_Area" localSheetId="273">'12,2,4,4 Ventana Malla'!$A$1:$I$54</definedName>
    <definedName name="_xlnm.Print_Area" localSheetId="275">'16,1,11 POCETA'!$A$1:$I$54</definedName>
    <definedName name="_xlnm.Print_Area" localSheetId="274">'16,1,9 Duchas'!$A$1:$I$54</definedName>
    <definedName name="_xlnm.Print_Area" localSheetId="276">'16,2,1 Pocetas Aseo'!$A$1:$I$54</definedName>
    <definedName name="_xlnm.Print_Area" localSheetId="277">'16,2,5 Llave Terminal'!$A$1:$I$54</definedName>
    <definedName name="_xlnm.Print_Area" localSheetId="278">'17,2,1 Puerta Vidrio'!$A$1:$I$54</definedName>
    <definedName name="_xlnm.Print_Area" localSheetId="279">'17,2,2 Puerta PVC Baterias'!$A$1:$I$54</definedName>
    <definedName name="_xlnm.Print_Area" localSheetId="280">'17,2,3 Divisiones 0,06'!$A$1:$I$54</definedName>
    <definedName name="_xlnm.Print_Area" localSheetId="281">'17,2,4 Divisiones baños '!$A$1:$I$54</definedName>
    <definedName name="_xlnm.Print_Area" localSheetId="282">'18,1,2 pintura plastica'!$A$1:$I$54</definedName>
    <definedName name="_xlnm.Print_Area" localSheetId="283">'18,1,4 Vinilo sin estuco '!$A$1:$I$54</definedName>
    <definedName name="_xlnm.Print_Area" localSheetId="284">'18,1,5 Vinilo Cielos '!$A$1:$I$54</definedName>
    <definedName name="_xlnm.Print_Area" localSheetId="41">'2,1,1 Exc Mec'!$A$1:$I$54</definedName>
    <definedName name="_xlnm.Print_Area" localSheetId="42">'2,1,5 Relleno M Común'!$A$1:$I$54</definedName>
    <definedName name="_xlnm.Print_Area" localSheetId="43">'2,1,7  Sub base Recebo '!$A$1:$I$54</definedName>
    <definedName name="_xlnm.Print_Area" localSheetId="44">'2,1,8 Geotextil NT'!$A$1:$I$54</definedName>
    <definedName name="_xlnm.Print_Area" localSheetId="45">'2,1,9 Geotextil Tejido'!$A$1:$I$54</definedName>
    <definedName name="_xlnm.Print_Area" localSheetId="55">'2,2,10 Placas cont= 0,125'!$A$1:$I$54</definedName>
    <definedName name="_xlnm.Print_Area" localSheetId="56">'2,2,11 Placas cont= 0,15'!$A$1:$I$54</definedName>
    <definedName name="_xlnm.Print_Area" localSheetId="46">'2,2,3 Muros de contencion'!$A$1:$I$54</definedName>
    <definedName name="_xlnm.Print_Area" localSheetId="47">'2,2,6,1 Pilotes 0,30'!$A$1:$I$54</definedName>
    <definedName name="_xlnm.Print_Area" localSheetId="48">'2,2,6,2 Pilotes 0,40'!$A$1:$I$54</definedName>
    <definedName name="_xlnm.Print_Area" localSheetId="49">'2,2,6,3 Pilotes 0,60'!$A$1:$I$54</definedName>
    <definedName name="_xlnm.Print_Area" localSheetId="50">'2,2,6,4 Pilotes 0,80'!$A$1:$I$54</definedName>
    <definedName name="_xlnm.Print_Area" localSheetId="51">'2,2,6,5 Pilotes 0,90 '!$A$1:$I$54</definedName>
    <definedName name="_xlnm.Print_Area" localSheetId="52">'2,2,7 Dados en concreto'!$A$1:$I$54</definedName>
    <definedName name="_xlnm.Print_Area" localSheetId="53">'2,2,8 Placa Flotante 0,60'!$A$1:$I$51</definedName>
    <definedName name="_xlnm.Print_Area" localSheetId="54">'2,2,9 Reposicion -Placa'!$A$1:$I$54</definedName>
    <definedName name="_xlnm.Print_Area" localSheetId="57">'2,3,1 Acero 37000 '!$A$1:$I$54</definedName>
    <definedName name="_xlnm.Print_Area" localSheetId="59">'2,4,1 Gaviones'!$A$1:$I$54</definedName>
    <definedName name="_xlnm.Print_Area" localSheetId="60">'2,4,2 Cajon aislamiento vigas'!$A$1:$I$51</definedName>
    <definedName name="_xlnm.Print_Area" localSheetId="61">'2,4,3 Icopor Aislante ciment. '!$A$1:$I$51</definedName>
    <definedName name="_xlnm.Print_Area" localSheetId="62">'2,4,4 Pañete Taludes '!$A$1:$I$54</definedName>
    <definedName name="_xlnm.Print_Area" localSheetId="285">'20,1,2 Exc Man'!$A$1:$I$54</definedName>
    <definedName name="_xlnm.Print_Area" localSheetId="286">'20,1,5 Subbase recebo'!$A$1:$I$54</definedName>
    <definedName name="_xlnm.Print_Area" localSheetId="301">'20,2,13 Escalinatas'!$A$1:$I$54</definedName>
    <definedName name="_xlnm.Print_Area" localSheetId="287">'20,3,1 Solado esp= 0,05'!$A$1:$I$54</definedName>
    <definedName name="_xlnm.Print_Area" localSheetId="288">'20,3,2 Concreto Ciclopeo '!$A$1:$I$54</definedName>
    <definedName name="_xlnm.Print_Area" localSheetId="289">'20,3,3 Vigas de Amarre'!$A$1:$I$54</definedName>
    <definedName name="_xlnm.Print_Area" localSheetId="290">'20,3,5  Cerramiento Malla Esla'!$A$1:$I$54</definedName>
    <definedName name="_xlnm.Print_Area" localSheetId="291">'20,4,1 Mov Tierras'!$A$1:$I$54</definedName>
    <definedName name="_xlnm.Print_Area" localSheetId="292">'20,4,2 Pradización'!$A$1:$I$54</definedName>
    <definedName name="_xlnm.Print_Area" localSheetId="294">'20,4,4 Arborización'!$A$1:$I$54</definedName>
    <definedName name="_xlnm.Print_Area" localSheetId="295">'20,5,1 Gaviones en piedra'!$A$1:$I$54</definedName>
    <definedName name="_xlnm.Print_Area" localSheetId="296">'20,5,2 PERGOLA  METALICA'!$A$1:$I$54</definedName>
    <definedName name="_xlnm.Print_Area" localSheetId="297">'20,5,3  Acero 37000  Ext.'!$A$1:$I$54</definedName>
    <definedName name="_xlnm.Print_Area" localSheetId="298">'20,5,4 Acero 60000 psi'!$A$1:$I$54</definedName>
    <definedName name="_xlnm.Print_Area" localSheetId="299">'20,5,5 Malla Electrosoldada  '!$A$1:$I$54</definedName>
    <definedName name="_xlnm.Print_Area" localSheetId="300">'21,1,1 Lavada ladrillo '!$A$1:$I$54</definedName>
    <definedName name="_xlnm.Print_Area" localSheetId="293">'21,1,3 Aseo'!$A$1:$I$54</definedName>
    <definedName name="_xlnm.Print_Area" localSheetId="302">'21,1,4 Retiro Escombros'!$A$1:$I$54</definedName>
    <definedName name="_xlnm.Print_Area" localSheetId="63">'3,1,1 Novafort A.LL. 4" 110mm '!$A$1:$I$54</definedName>
    <definedName name="_xlnm.Print_Area" localSheetId="64">'3,1,3 Novafort A.LL 8"200 mm   '!$A$1:$I$54</definedName>
    <definedName name="_xlnm.Print_Area" localSheetId="65">'3,1,4 Novafort 10"A.LL. 255mm '!$A$1:$I$54</definedName>
    <definedName name="_xlnm.Print_Area" localSheetId="66">'3,1,5 Novafort A.LL.12" 315mm  '!$A$1:$I$54</definedName>
    <definedName name="_xlnm.Print_Area" localSheetId="67">'3,1,6  Acc. Novafort. A.LL'!$A$1:$I$54</definedName>
    <definedName name="_xlnm.Print_Area" localSheetId="68">'3,2,3 Novafort A.N. 8"200 mm'!$A$1:$I$54</definedName>
    <definedName name="_xlnm.Print_Area" localSheetId="69">'3,2,4 Novafort 10"A.N. 255 mm'!$A$1:$I$54</definedName>
    <definedName name="_xlnm.Print_Area" localSheetId="70">'3,2,5 Novafort A.N.12" 315mm'!$A$1:$I$54</definedName>
    <definedName name="_xlnm.Print_Area" localSheetId="71">'3,2,6  Acc. Novafort. A.N.'!$A$1:$I$54</definedName>
    <definedName name="_xlnm.Print_Area" localSheetId="72">'3,3,1 Tuberia drenaje PVC 4"'!$A$1:$I$54</definedName>
    <definedName name="_xlnm.Print_Area" localSheetId="73">'3,3,2 Tuberia drenaje PVC 4"'!$A$1:$I$54</definedName>
    <definedName name="_xlnm.Print_Area" localSheetId="74">'3,3,3 Accesorio drenaje PVC 3"'!$A$1:$I$54</definedName>
    <definedName name="_xlnm.Print_Area" localSheetId="75">'3,3,4 Accesorio drenaje PVC 4"'!$A$1:$I$54</definedName>
    <definedName name="_xlnm.Print_Area" localSheetId="76">'3,3,5 Filtros Escorrentias'!$A$1:$I$54</definedName>
    <definedName name="_xlnm.Print_Area" localSheetId="88">'3,3,6 POZO INFILTRACIÓN'!$A$1:$I$54</definedName>
    <definedName name="_xlnm.Print_Area" localSheetId="89">'3,4,1 Caja inspección 0,60 '!$A$1:$I$54</definedName>
    <definedName name="_xlnm.Print_Area" localSheetId="77">'3,4,2 Caja inspección 0,80'!$A$1:$I$54</definedName>
    <definedName name="_xlnm.Print_Area" localSheetId="78">'3,4,3 Caja inspección 1,00'!$A$1:$I$54</definedName>
    <definedName name="_xlnm.Print_Area" localSheetId="79">'3,4,4 Caja Distribuciòn 0,40  '!$A$1:$I$54</definedName>
    <definedName name="_xlnm.Print_Area" localSheetId="80">'3,4,6 Carcamo aguas lluvias'!$A$1:$I$55</definedName>
    <definedName name="_xlnm.Print_Area" localSheetId="81">'3,4,7 Trampa de grasas'!$A$1:$I$55</definedName>
    <definedName name="_xlnm.Print_Area" localSheetId="82">'3,4,8 Pozo Septico'!$A$1:$I$54</definedName>
    <definedName name="_xlnm.Print_Area" localSheetId="83">'3,5,1 Exc Man '!$A$1:$I$54</definedName>
    <definedName name="_xlnm.Print_Area" localSheetId="84">'3,5,2 Exc en recebo comp.'!$A$1:$I$54</definedName>
    <definedName name="_xlnm.Print_Area" localSheetId="85">'3,5,3  Relleno M seleccionado'!$A$1:$I$54</definedName>
    <definedName name="_xlnm.Print_Area" localSheetId="86">'3,5,4 Relleno M Común '!$A$1:$I$54</definedName>
    <definedName name="_xlnm.Print_Area" localSheetId="87">'3,5,5 Retiro sobrantes'!$A$1:$I$54</definedName>
    <definedName name="_xlnm.Print_Area" localSheetId="90">'4,1,2 Pantalla en concreto'!$A$1:$I$54</definedName>
    <definedName name="_xlnm.Print_Area" localSheetId="91">'4,1,3 Muros'!$A$1:$I$54</definedName>
    <definedName name="_xlnm.Print_Area" localSheetId="92">'4,2,3  Vigas Prefabricadas'!$A$1:$I$53</definedName>
    <definedName name="_xlnm.Print_Area" localSheetId="94">'4,3,3 Caseton 45 cm'!$A$1:$I$52</definedName>
    <definedName name="_xlnm.Print_Area" localSheetId="96">'4,3,6 Placa maciza 0,20'!$A$1:$I$54</definedName>
    <definedName name="_xlnm.Print_Area" localSheetId="97">'4,3,7 Placa maciza 0,125'!$A$1:$I$54</definedName>
    <definedName name="_xlnm.Print_Area" localSheetId="99">'4,3,9 Placa maciza 0,15'!$A$1:$I$54</definedName>
    <definedName name="_xlnm.Print_Area" localSheetId="100">'4,4,2 Rampas'!$A$1:$I$54</definedName>
    <definedName name="_xlnm.Print_Area" localSheetId="101">'4,4,3 POZO CONCRETO 20 M3'!$A$1:$I$54</definedName>
    <definedName name="_xlnm.Print_Area" localSheetId="102">'4,4,4 POZO CONCRETO'!$A$1:$I$54</definedName>
    <definedName name="_xlnm.Print_Area" localSheetId="103">'4,5,1 Acero 37000  '!$A$1:$I$54</definedName>
    <definedName name="_xlnm.Print_Area" localSheetId="105">'4,5,2 Acero 60000 est'!$A$1:$I$54</definedName>
    <definedName name="_xlnm.Print_Area" localSheetId="106">'4,6,2,3 Cerrchas  Metàlica'!$A$1:$I$53</definedName>
    <definedName name="_xlnm.Print_Area" localSheetId="107">'5,1,1 Bloq Conc Estruc 0,12'!$A$1:$I$54</definedName>
    <definedName name="_xlnm.Print_Area" localSheetId="104">'5,1,10 camara 8,20&lt;=h&lt;9,20'!$A$1:$I$53</definedName>
    <definedName name="_xlnm.Print_Area" localSheetId="108">'5,1,2 Bloque concreto divisorio'!$A$1:$I$54</definedName>
    <definedName name="_xlnm.Print_Area" localSheetId="109">'5,1,5  Calados en Concreto'!$A$1:$I$54</definedName>
    <definedName name="_xlnm.Print_Area" localSheetId="110">'5,1,6 Bloq Conc Estruc 014'!$A$1:$I$54</definedName>
    <definedName name="_xlnm.Print_Area" localSheetId="93">'5,1,6 camara 5,20&lt;=h&lt;6,20'!$A$1:$I$52</definedName>
    <definedName name="_xlnm.Print_Area" localSheetId="111">'5,1,7 Bloq Conc Estruc 019'!$A$1:$I$54</definedName>
    <definedName name="_xlnm.Print_Area" localSheetId="95">'5,1,7 camara 6,20&lt;=h&lt;7,20'!$A$1:$I$51</definedName>
    <definedName name="_xlnm.Print_Area" localSheetId="98">'5,1,8 camara 7,20&lt;=h&lt;8,20'!$A$1:$I$54</definedName>
    <definedName name="_xlnm.Print_Area" localSheetId="112">'5,2,6 Muro en bloque No 4'!$A$1:$I$54</definedName>
    <definedName name="_xlnm.Print_Area" localSheetId="113">'5,3,1 Enchape ladrillo arcilla'!$A$1:$I$54</definedName>
    <definedName name="_xlnm.Print_Area" localSheetId="114">'5,3,3 Alfagias ladrillo arcilla'!$A$1:$I$54</definedName>
    <definedName name="_xlnm.Print_Area" localSheetId="115">'5,3,4 Remate ladrillo arcilla'!$A$1:$I$54</definedName>
    <definedName name="_xlnm.Print_Area" localSheetId="116">'5,4,1 Grouting-Concreto fluido'!$A$1:$I$54</definedName>
    <definedName name="_xlnm.Print_Area" localSheetId="117">'5,4,2 Remates'!$A$1:$I$54</definedName>
    <definedName name="_xlnm.Print_Area" localSheetId="118">'5,5,3 Malla Electrosoldada '!$A$1:$I$54</definedName>
    <definedName name="_xlnm.Print_Area" localSheetId="119">'5,6,1 Instalaciòn carpint. Meta'!$A$1:$I$54</definedName>
    <definedName name="_xlnm.Print_Area" localSheetId="120">'6,1,1 Alfajias'!$A$1:$I$54</definedName>
    <definedName name="_xlnm.Print_Area" localSheetId="124">'6,1,10 Gradas en Concreto'!$A$1:$I$54</definedName>
    <definedName name="_xlnm.Print_Area" localSheetId="125">'6,1,11 PLAQUETAS'!$A$1:$I$54</definedName>
    <definedName name="_xlnm.Print_Area" localSheetId="126">'6,1,15 Bordillos ducha y aseo'!$A$1:$I$54</definedName>
    <definedName name="_xlnm.Print_Area" localSheetId="121">'6,1,2 Dinteles'!$A$1:$I$54</definedName>
    <definedName name="_xlnm.Print_Area" localSheetId="122">'6,1,3 Remates sobre mamposteria'!$A$1:$I$54</definedName>
    <definedName name="_xlnm.Print_Area" localSheetId="127">'6,2,1 Mesones en concreto'!$A$1:$I$54</definedName>
    <definedName name="_xlnm.Print_Area" localSheetId="128">'6,2,3 Mesones laboratorios'!$A$1:$I$54</definedName>
    <definedName name="_xlnm.Print_Area" localSheetId="129">'6,2,5 Bancas Concreto'!$A$1:$I$54</definedName>
    <definedName name="_xlnm.Print_Area" localSheetId="130">'6,2,8 Alfajias 2'!$A$1:$I$54</definedName>
    <definedName name="_xlnm.Print_Area" localSheetId="123">'6.1.8 Pergolas'!$A$1:$I$54</definedName>
    <definedName name="_xlnm.Print_Area" localSheetId="131">'7,1,1,1 Acometida PVC-P 2"'!$A$1:$I$55</definedName>
    <definedName name="_xlnm.Print_Area" localSheetId="132">'7,1,1,2 Accesorio PVC-P 2" '!$A$1:$I$55</definedName>
    <definedName name="_xlnm.Print_Area" localSheetId="168">'7,1,10,2 Pto 3"'!$A$1:$I$54</definedName>
    <definedName name="_xlnm.Print_Area" localSheetId="169">'7,1,10,2 Punto Vent 3"'!$A$1:$I$54</definedName>
    <definedName name="_xlnm.Print_Area" localSheetId="170">'7,1,11,4"'!$A$1:$I$54</definedName>
    <definedName name="_xlnm.Print_Area" localSheetId="171">'7,1,11,5 Bajante PVC '!$A$1:$I$54</definedName>
    <definedName name="_xlnm.Print_Area" localSheetId="172">'7,1,11,6 Accesorios PVC'!$A$1:$I$54</definedName>
    <definedName name="_xlnm.Print_Area" localSheetId="173">'7,1,12,1 Instalaciòn Lavamanos'!$A$1:$I$55</definedName>
    <definedName name="_xlnm.Print_Area" localSheetId="174">'7,1,12,2 Instalaciòn Sanitario '!$A$1:$I$55</definedName>
    <definedName name="_xlnm.Print_Area" localSheetId="175">'7,1,12,8 Llave  Manguera 1.2 '!$A$1:$I$55</definedName>
    <definedName name="_xlnm.Print_Area" localSheetId="176">'7,1,12,9 Acoflex lav.sant.'!$A$1:$I$55</definedName>
    <definedName name="_xlnm.Print_Area" localSheetId="133">'7,1,3,1 Tuberia H.G. 1"cuarto '!$A$1:$I$55</definedName>
    <definedName name="_xlnm.Print_Area" localSheetId="134">'7,1,3,2  Accesorio H.G.1"cuarto'!$A$1:$I$55</definedName>
    <definedName name="_xlnm.Print_Area" localSheetId="135">'7,1,3,3  Registro R. W. 1"'!$A$1:$I$55</definedName>
    <definedName name="_xlnm.Print_Area" localSheetId="136">'7,1,3,4  Cheque Helber 1"'!$A$1:$I$55</definedName>
    <definedName name="_xlnm.Print_Area" localSheetId="137">'7,1,4,1 Tuberia H.G. 1 1.2"'!$A$1:$I$55</definedName>
    <definedName name="_xlnm.Print_Area" localSheetId="138">'7,1,4,2  Accesorio H.G.1 1.2"'!$A$1:$I$55</definedName>
    <definedName name="_xlnm.Print_Area" localSheetId="139">'7,1,4,3  Registro R. W. 1. 1.2"'!$A$1:$I$55</definedName>
    <definedName name="_xlnm.Print_Area" localSheetId="140">'7,1,4,4  Cheque  Helber 1 1.2"'!$A$1:$I$55</definedName>
    <definedName name="_xlnm.Print_Area" localSheetId="141">'7,1,5,4 Registro 114'!$A$1:$I$55</definedName>
    <definedName name="_xlnm.Print_Area" localSheetId="142">'7,1,5,5 Registro 1 12'!$A$1:$I$55</definedName>
    <definedName name="_xlnm.Print_Area" localSheetId="143">'7,1,5,6 Registro 2 '!$A$1:$I$55</definedName>
    <definedName name="_xlnm.Print_Area" localSheetId="149">'7,1,6,10 Accesorio UZ  2"'!$A$1:$I$55</definedName>
    <definedName name="_xlnm.Print_Area" localSheetId="150">'7,1,6,11 Accesorio UZ 3"'!$A$1:$I$55</definedName>
    <definedName name="_xlnm.Print_Area" localSheetId="144">'7,1,6,4 Acometida 1 14'!$A$1:$I$55</definedName>
    <definedName name="_xlnm.Print_Area" localSheetId="145">'7,1,6,6 Acometida 2'!$A$1:$I$55</definedName>
    <definedName name="_xlnm.Print_Area" localSheetId="146">'7,1,6,7 Tubo UZ 2"'!$A$1:$I$55</definedName>
    <definedName name="_xlnm.Print_Area" localSheetId="147">'7,1,6,8 Acometida 1 12'!$A$1:$I$55</definedName>
    <definedName name="_xlnm.Print_Area" localSheetId="148">'7,1,6,9 Tuberia UZ 3"'!$A$1:$I$55</definedName>
    <definedName name="_xlnm.Print_Area" localSheetId="151">'7,1,7,1 Tuberia H.G. 1.2"'!$A$1:$I$55</definedName>
    <definedName name="_xlnm.Print_Area" localSheetId="152">'7,1,7,2  Accesorio H.G.1.2"'!$A$1:$I$55</definedName>
    <definedName name="_xlnm.Print_Area" localSheetId="153">'7,1,7,3 Registro Corte 1.2" '!$A$1:$I$55</definedName>
    <definedName name="_xlnm.Print_Area" localSheetId="154">'7,1,7,4 Registro 1.2"'!$A$1:$I$55</definedName>
    <definedName name="_xlnm.Print_Area" localSheetId="155">'7,1,7,5 Caja para medidor'!$A$1:$I$55</definedName>
    <definedName name="_xlnm.Print_Area" localSheetId="163">'7,1,8,10  Tapòn H.G.1.2"'!$A$1:$I$54</definedName>
    <definedName name="_xlnm.Print_Area" localSheetId="164">'7,1,8,11  Tapòn P.V.C.1.2" '!$A$1:$I$54</definedName>
    <definedName name="_xlnm.Print_Area" localSheetId="165">'7,1,8,12  Camara aire H.G.1.2"'!$A$1:$I$54</definedName>
    <definedName name="_xlnm.Print_Area" localSheetId="166">'7,1,8,13  Camara aire P.V.C.P '!$A$1:$I$54</definedName>
    <definedName name="_xlnm.Print_Area" localSheetId="156">'7,1,8,2 Punto  Agua Fria 1 1.2"'!$A$1:$I$55</definedName>
    <definedName name="_xlnm.Print_Area" localSheetId="157">'7,1,8,3 P Agua Fria Sanitarios'!$A$1:$I$56</definedName>
    <definedName name="_xlnm.Print_Area" localSheetId="158">'7,1,8,4 P Agua Fria Orinales'!$A$1:$I$56</definedName>
    <definedName name="_xlnm.Print_Area" localSheetId="159">'7,1,8,5 P Agua Fria pocetas lab'!$A$1:$I$56</definedName>
    <definedName name="_xlnm.Print_Area" localSheetId="160">'7,1,8,6 P Agua Fria Ducha'!$A$1:$I$56</definedName>
    <definedName name="_xlnm.Print_Area" localSheetId="161">'7,1,8,7 P Agua Fria Pocetas'!$A$1:$I$55</definedName>
    <definedName name="_xlnm.Print_Area" localSheetId="162">'7,1,8,8 Llave  Manguera 1.2"'!$A$1:$I$55</definedName>
    <definedName name="_xlnm.Print_Area" localSheetId="167">'7,1,9,5  P Sifòn PVC-S 4"'!$A$1:$I$55</definedName>
    <definedName name="_xlnm.Print_Area" localSheetId="177">'7,2,1,1 Punto de gas'!$A$1:$I$54</definedName>
    <definedName name="_xlnm.Print_Area" localSheetId="178">'7,2,1,2 Preinstalación gas'!$A$1:$I$54</definedName>
    <definedName name="_xlnm.Print_Area" localSheetId="179">'7,2,1,3 Tuberia  tipo L 1.2"'!$A$1:$I$54</definedName>
    <definedName name="_xlnm.Print_Area" localSheetId="180">'7,2,1,4 Tuberia  tipo L 1"'!$A$1:$I$54</definedName>
    <definedName name="_xlnm.Print_Area" localSheetId="181">'7,2,1,5  Registro bola 1" '!$A$1:$I$53</definedName>
    <definedName name="_xlnm.Print_Area" localSheetId="182">'7,2,1,7  Rejilla vent. plastica'!$A$1:$I$55</definedName>
    <definedName name="_xlnm.Print_Area" localSheetId="184">'8,10'!$A$1:$I$57</definedName>
    <definedName name="_xlnm.Print_Area" localSheetId="185">'8,11'!$A$1:$I$57</definedName>
    <definedName name="_xlnm.Print_Area" localSheetId="186">'8,12'!$A$1:$I$57</definedName>
    <definedName name="_xlnm.Print_Area" localSheetId="187">'8,13'!$A$1:$I$57</definedName>
    <definedName name="_xlnm.Print_Area" localSheetId="188">'8,14'!$A$1:$I$57</definedName>
    <definedName name="_xlnm.Print_Area" localSheetId="189">'8,15'!$A$1:$I$57</definedName>
    <definedName name="_xlnm.Print_Area" localSheetId="190">'8,16'!$A$1:$I$57</definedName>
    <definedName name="_xlnm.Print_Area" localSheetId="191">'8,19'!$A$1:$I$57</definedName>
    <definedName name="_xlnm.Print_Area" localSheetId="192">'8,20'!$A$1:$I$57</definedName>
    <definedName name="_xlnm.Print_Area" localSheetId="193">'8,21'!$A$1:$I$57</definedName>
    <definedName name="_xlnm.Print_Area" localSheetId="194">'8,22'!$A$1:$I$57</definedName>
    <definedName name="_xlnm.Print_Area" localSheetId="195">'8,23'!$A$1:$I$57</definedName>
    <definedName name="_xlnm.Print_Area" localSheetId="196">'8,24'!$A$1:$I$57</definedName>
    <definedName name="_xlnm.Print_Area" localSheetId="197">'8,25'!$A$1:$I$57</definedName>
    <definedName name="_xlnm.Print_Area" localSheetId="198">'8,26'!$A$1:$I$57</definedName>
    <definedName name="_xlnm.Print_Area" localSheetId="199">'8,27'!$A$1:$I$57</definedName>
    <definedName name="_xlnm.Print_Area" localSheetId="200">'8,28'!$A$1:$I$57</definedName>
    <definedName name="_xlnm.Print_Area" localSheetId="201">'8,29'!$A$1:$I$57</definedName>
    <definedName name="_xlnm.Print_Area" localSheetId="202">'8,30'!$A$1:$I$57</definedName>
    <definedName name="_xlnm.Print_Area" localSheetId="203">'8,31'!$A$1:$I$57</definedName>
    <definedName name="_xlnm.Print_Area" localSheetId="204">'8,32'!$A$1:$I$57</definedName>
    <definedName name="_xlnm.Print_Area" localSheetId="205">'8,33'!$A$1:$I$57</definedName>
    <definedName name="_xlnm.Print_Area" localSheetId="206">'8,34'!$A$1:$I$57</definedName>
    <definedName name="_xlnm.Print_Area" localSheetId="207">'8,35'!$A$1:$I$57</definedName>
    <definedName name="_xlnm.Print_Area" localSheetId="208">'8,36'!$A$1:$I$57</definedName>
    <definedName name="_xlnm.Print_Area" localSheetId="209">'8,37'!$A$1:$I$57</definedName>
    <definedName name="_xlnm.Print_Area" localSheetId="210">'8,38'!$A$1:$I$57</definedName>
    <definedName name="_xlnm.Print_Area" localSheetId="211">'8,40'!$A$1:$I$57</definedName>
    <definedName name="_xlnm.Print_Area" localSheetId="212">'8,43'!$A$1:$I$57</definedName>
    <definedName name="_xlnm.Print_Area" localSheetId="213">'8,44'!$A$1:$I$57</definedName>
    <definedName name="_xlnm.Print_Area" localSheetId="214">'8,45'!$A$1:$I$57</definedName>
    <definedName name="_xlnm.Print_Area" localSheetId="215">'8,46'!$A$1:$I$57</definedName>
    <definedName name="_xlnm.Print_Area" localSheetId="216">'8,47'!$A$1:$I$57</definedName>
    <definedName name="_xlnm.Print_Area" localSheetId="183">'8,5'!$A$1:$I$57</definedName>
    <definedName name="_xlnm.Print_Area" localSheetId="217">'8,51'!$A$1:$I$57</definedName>
    <definedName name="_xlnm.Print_Area" localSheetId="218">'8,52'!$A$1:$I$57</definedName>
    <definedName name="_xlnm.Print_Area" localSheetId="219">'8,56'!$A$1:$I$57</definedName>
    <definedName name="_xlnm.Print_Area" localSheetId="220">'8,57'!$A$1:$I$57</definedName>
    <definedName name="_xlnm.Print_Area" localSheetId="221">'8,58'!$A$1:$I$57</definedName>
    <definedName name="_xlnm.Print_Area" localSheetId="222">'8,61'!$A$1:$I$57</definedName>
    <definedName name="_xlnm.Print_Area" localSheetId="223">'8,62'!$A$1:$I$57</definedName>
    <definedName name="_xlnm.Print_Area" localSheetId="224">'8,64'!$A$1:$I$57</definedName>
    <definedName name="_xlnm.Print_Area" localSheetId="225">'8,65'!$A$1:$I$57</definedName>
    <definedName name="_xlnm.Print_Area" localSheetId="226">'8,66'!$A$1:$I$57</definedName>
    <definedName name="_xlnm.Print_Area" localSheetId="227">'8,67'!$A$1:$I$57</definedName>
    <definedName name="_xlnm.Print_Area" localSheetId="228">'8,69'!$A$1:$I$57</definedName>
    <definedName name="_xlnm.Print_Area" localSheetId="229">'8,70'!$A$1:$I$57</definedName>
    <definedName name="_xlnm.Print_Area" localSheetId="230">'8,71'!$A$1:$I$57</definedName>
    <definedName name="_xlnm.Print_Area" localSheetId="231">'8,72'!$A$1:$I$57</definedName>
    <definedName name="_xlnm.Print_Area" localSheetId="232">'8,73'!$A$1:$I$57</definedName>
    <definedName name="_xlnm.Print_Area" localSheetId="233">'8,77'!$A$1:$I$57</definedName>
    <definedName name="_xlnm.Print_Area" localSheetId="234">'8,78'!$A$1:$I$57</definedName>
    <definedName name="_xlnm.Print_Area" localSheetId="235">'8,79'!$A$1:$I$57</definedName>
    <definedName name="_xlnm.Print_Area" localSheetId="236">'8,80'!$A$1:$I$57</definedName>
    <definedName name="_xlnm.Print_Area" localSheetId="237">'8,82'!$A$1:$I$57</definedName>
    <definedName name="_xlnm.Print_Area" localSheetId="238">'8,83'!$A$1:$I$57</definedName>
    <definedName name="_xlnm.Print_Area" localSheetId="239">'8,85'!$A$1:$I$57</definedName>
    <definedName name="_xlnm.Print_Area" localSheetId="240">'8,86'!$A$1:$I$57</definedName>
    <definedName name="_xlnm.Print_Area" localSheetId="241">'8,87'!$A$1:$I$57</definedName>
    <definedName name="_xlnm.Print_Area" localSheetId="10">'ANALISIS DE AIU'!$A$1:$H$44</definedName>
    <definedName name="_xlnm.Print_Area" localSheetId="4">COMPONENTES2!$A$1:$T$861</definedName>
    <definedName name="_xlnm.Print_Area" localSheetId="19">'Concr 2,000'!$A$1:$I$61</definedName>
    <definedName name="_xlnm.Print_Area" localSheetId="20">'Concr 2,500'!$A$1:$I$61</definedName>
    <definedName name="_xlnm.Print_Area" localSheetId="21">'Concr 3,000'!$A$1:$I$61</definedName>
    <definedName name="_xlnm.Print_Area" localSheetId="22">'Concr 3,500'!$A$1:$I$54</definedName>
    <definedName name="_xlnm.Print_Area" localSheetId="23">'Concr 4,000 '!$A$1:$I$54</definedName>
    <definedName name="_xlnm.Print_Area" localSheetId="1">Cuadrillas!$A$1:$I$47</definedName>
    <definedName name="_xlnm.Print_Area" localSheetId="11">'Cuadro Resumen (2)'!$A$1:$G$45</definedName>
    <definedName name="_xlnm.Print_Area" localSheetId="0">'Datos entrada'!$A$1:$N$19</definedName>
    <definedName name="_xlnm.Print_Area" localSheetId="3">Equ!$A$1:$F$68</definedName>
    <definedName name="_xlnm.Print_Area" localSheetId="29">'Granito pulido '!$A$1:$I$54</definedName>
    <definedName name="_xlnm.Print_Area" localSheetId="12">'Hoja Base'!$A$1:$I$58</definedName>
    <definedName name="_xlnm.Print_Area" localSheetId="5">'INSUMOS 1'!$A$1:$AC$861</definedName>
    <definedName name="_xlnm.Print_Area" localSheetId="30">'Marcos puerta'!$A$1:$I$54</definedName>
    <definedName name="_xlnm.Print_Area" localSheetId="31">'Marcos ventana'!$A$1:$I$54</definedName>
    <definedName name="_xlnm.Print_Area" localSheetId="13">'Mort 1-3'!$A$1:$I$62</definedName>
    <definedName name="_xlnm.Print_Area" localSheetId="14">'Mort 1-3 Imper'!$A$1:$I$61</definedName>
    <definedName name="_xlnm.Print_Area" localSheetId="15">'Mort 1-4'!$A$1:$I$61</definedName>
    <definedName name="_xlnm.Print_Area" localSheetId="16">'Mort 1-4 Imper'!$A$1:$I$61</definedName>
    <definedName name="_xlnm.Print_Area" localSheetId="17">'Mort 1-5'!$A$1:$I$61</definedName>
    <definedName name="_xlnm.Print_Area" localSheetId="18">'Mort 1-7'!$A$1:$I$61</definedName>
    <definedName name="_xlnm.Print_Area" localSheetId="27">'P Agua Fria'!$A$1:$I$54</definedName>
    <definedName name="_xlnm.Print_Area" localSheetId="26">'P Eléctrico'!$A$1:$I$54</definedName>
    <definedName name="_xlnm.Print_Area" localSheetId="28">'P Sanitario'!$A$1:$I$56</definedName>
    <definedName name="_xlnm.Print_Area" localSheetId="303">'Pasamanos '!$A$1:$I$54</definedName>
    <definedName name="_xlnm.Print_Area" localSheetId="2">Salarios!$A$1:$P$78</definedName>
    <definedName name="_xlnm.Print_Area" localSheetId="6">Trans!$A$1:$I$97</definedName>
    <definedName name="CAMARAS" localSheetId="7">SUMINISTRO!#REF!</definedName>
    <definedName name="CAMARAS">OBRA!#REF!</definedName>
    <definedName name="CONDUCCION" localSheetId="7">SUMINISTRO!#REF!</definedName>
    <definedName name="CONDUCCION">OBRA!#REF!</definedName>
    <definedName name="Cuadrillas">Cuadrillas!$A$7:$I$72</definedName>
    <definedName name="desagües" localSheetId="4">COMPONENTES2!$G$81</definedName>
    <definedName name="desagües" localSheetId="5">'INSUMOS 1'!$G$81</definedName>
    <definedName name="desagües" localSheetId="8">OBRA!#REF!</definedName>
    <definedName name="desagües" localSheetId="7">SUMINISTRO!#REF!</definedName>
    <definedName name="desagües">#REF!</definedName>
    <definedName name="Descrip_cuadrillas">Cuadrillas!$A$11:$A$72</definedName>
    <definedName name="Descrip_equipos" localSheetId="6">Trans!$A$13:$A$100</definedName>
    <definedName name="Descrip_equipos">Equ!$A$12:$A$98</definedName>
    <definedName name="Descrip_transporte">Trans!$A$13:$A$63</definedName>
    <definedName name="Descripción">#REF!</definedName>
    <definedName name="DOMICILIARIAS" localSheetId="7">SUMINISTRO!#REF!</definedName>
    <definedName name="DOMICILIARIAS">OBRA!#REF!</definedName>
    <definedName name="Equipos" localSheetId="6">Trans!$A$9:$I$100</definedName>
    <definedName name="Equipos">Equ!$A$8:$G$98</definedName>
    <definedName name="estructuras" localSheetId="4">COMPONENTES2!$G$123</definedName>
    <definedName name="estructuras" localSheetId="5">'INSUMOS 1'!$G$123</definedName>
    <definedName name="estructuras" localSheetId="8">OBRA!#REF!</definedName>
    <definedName name="estructuras" localSheetId="7">SUMINISTRO!#REF!</definedName>
    <definedName name="estructuras">#REF!</definedName>
    <definedName name="EXCAVACIONES" localSheetId="7">SUMINISTRO!#REF!</definedName>
    <definedName name="EXCAVACIONES">OBRA!$G$16</definedName>
    <definedName name="InstElec" localSheetId="4">COMPONENTES2!$G$375</definedName>
    <definedName name="InstElec" localSheetId="5">'INSUMOS 1'!$G$375</definedName>
    <definedName name="InstElec" localSheetId="8">OBRA!#REF!</definedName>
    <definedName name="InstElec" localSheetId="7">SUMINISTRO!#REF!</definedName>
    <definedName name="InstElec">#REF!</definedName>
    <definedName name="instHidrSan" localSheetId="4">COMPONENTES2!$G$244</definedName>
    <definedName name="instHidrSan" localSheetId="5">'INSUMOS 1'!$G$244</definedName>
    <definedName name="instHidrSan" localSheetId="8">OBRA!#REF!</definedName>
    <definedName name="instHidrSan" localSheetId="7">SUMINISTRO!#REF!</definedName>
    <definedName name="instHidrSan">#REF!</definedName>
    <definedName name="item" localSheetId="4">COMPONENTES2!$A$11:$G$1000</definedName>
    <definedName name="item" localSheetId="5">'INSUMOS 1'!$A$11:$G$1000</definedName>
    <definedName name="item" localSheetId="8">OBRA!$A$7:$G$205</definedName>
    <definedName name="item" localSheetId="7">SUMINISTRO!$A$7:$G$150</definedName>
    <definedName name="item">#REF!</definedName>
    <definedName name="List_cuadrillas" localSheetId="0">'Datos entrada'!#REF!</definedName>
    <definedName name="List_cuadrillas">Salarios!$D$8:$P$8</definedName>
    <definedName name="mamposteria" localSheetId="4">COMPONENTES2!$G$172</definedName>
    <definedName name="mamposteria" localSheetId="5">'INSUMOS 1'!$G$172</definedName>
    <definedName name="mamposteria" localSheetId="8">OBRA!#REF!</definedName>
    <definedName name="mamposteria" localSheetId="7">SUMINISTRO!#REF!</definedName>
    <definedName name="mamposteria">#REF!</definedName>
    <definedName name="Materiales">#REF!</definedName>
    <definedName name="PA" localSheetId="4">COMPONENTES2!$D$868</definedName>
    <definedName name="PA" localSheetId="5">'INSUMOS 1'!$D$868</definedName>
    <definedName name="PA" localSheetId="8">OBRA!#REF!</definedName>
    <definedName name="PA" localSheetId="7">SUMINISTRO!#REF!</definedName>
    <definedName name="PA">#REF!</definedName>
    <definedName name="pañetes" localSheetId="4">COMPONENTES2!$G$469</definedName>
    <definedName name="pañetes" localSheetId="5">'INSUMOS 1'!$G$469</definedName>
    <definedName name="pañetes" localSheetId="8">OBRA!#REF!</definedName>
    <definedName name="pañetes" localSheetId="7">SUMINISTRO!#REF!</definedName>
    <definedName name="pañetes">#REF!</definedName>
    <definedName name="PB" localSheetId="4">COMPONENTES2!$D$870</definedName>
    <definedName name="PB" localSheetId="5">'INSUMOS 1'!$D$870</definedName>
    <definedName name="PB" localSheetId="8">OBRA!#REF!</definedName>
    <definedName name="PB" localSheetId="7">SUMINISTRO!#REF!</definedName>
    <definedName name="PB">#REF!</definedName>
    <definedName name="PC" localSheetId="4">COMPONENTES2!$D$871</definedName>
    <definedName name="PC" localSheetId="5">'INSUMOS 1'!$D$871</definedName>
    <definedName name="PC" localSheetId="8">OBRA!#REF!</definedName>
    <definedName name="PC" localSheetId="7">SUMINISTRO!#REF!</definedName>
    <definedName name="PC">#REF!</definedName>
    <definedName name="PE" localSheetId="4">COMPONENTES2!$D$872</definedName>
    <definedName name="PE" localSheetId="5">'INSUMOS 1'!$D$872</definedName>
    <definedName name="PE" localSheetId="8">OBRA!#REF!</definedName>
    <definedName name="PE" localSheetId="7">SUMINISTRO!#REF!</definedName>
    <definedName name="PE">#REF!</definedName>
    <definedName name="PL" localSheetId="4">COMPONENTES2!$D$869</definedName>
    <definedName name="PL" localSheetId="5">'INSUMOS 1'!$D$869</definedName>
    <definedName name="PL" localSheetId="8">OBRA!#REF!</definedName>
    <definedName name="PL" localSheetId="7">SUMINISTRO!#REF!</definedName>
    <definedName name="PL">#REF!</definedName>
    <definedName name="prefabricados" localSheetId="4">COMPONENTES2!$G$205</definedName>
    <definedName name="prefabricados" localSheetId="5">'INSUMOS 1'!$G$205</definedName>
    <definedName name="prefabricados" localSheetId="8">OBRA!#REF!</definedName>
    <definedName name="prefabricados" localSheetId="7">SUMINISTRO!#REF!</definedName>
    <definedName name="prefabricados">#REF!</definedName>
    <definedName name="preliminares" localSheetId="4">COMPONENTES2!$G$11</definedName>
    <definedName name="preliminares" localSheetId="5">'INSUMOS 1'!$G$11</definedName>
    <definedName name="preliminares" localSheetId="8">OBRA!$G$7</definedName>
    <definedName name="preliminares" localSheetId="7">SUMINISTRO!#REF!</definedName>
    <definedName name="preliminares">#REF!</definedName>
    <definedName name="PRELIMINARES." localSheetId="7">SUMINISTRO!#REF!</definedName>
    <definedName name="PRELIMINARES.">OBRA!$G$7</definedName>
    <definedName name="REPOSICION" localSheetId="7">SUMINISTRO!#REF!</definedName>
    <definedName name="REPOSICION">OBRA!#REF!</definedName>
    <definedName name="SA" localSheetId="4">COMPONENTES2!$F$868</definedName>
    <definedName name="SA" localSheetId="5">'INSUMOS 1'!$F$868</definedName>
    <definedName name="SA" localSheetId="8">OBRA!#REF!</definedName>
    <definedName name="SA" localSheetId="7">SUMINISTRO!#REF!</definedName>
    <definedName name="SA">#REF!</definedName>
    <definedName name="Salarios" localSheetId="0">'Datos entrada'!#REF!</definedName>
    <definedName name="Salarios">Salarios!$A$8:$P$17</definedName>
    <definedName name="SB" localSheetId="4">COMPONENTES2!$F$870</definedName>
    <definedName name="SB" localSheetId="5">'INSUMOS 1'!$F$870</definedName>
    <definedName name="SB" localSheetId="8">OBRA!#REF!</definedName>
    <definedName name="SB" localSheetId="7">SUMINISTRO!#REF!</definedName>
    <definedName name="SB">#REF!</definedName>
    <definedName name="SC" localSheetId="4">COMPONENTES2!$F$871</definedName>
    <definedName name="SC" localSheetId="5">'INSUMOS 1'!$F$871</definedName>
    <definedName name="SC" localSheetId="8">OBRA!#REF!</definedName>
    <definedName name="SC" localSheetId="7">SUMINISTRO!#REF!</definedName>
    <definedName name="SC">#REF!</definedName>
    <definedName name="SE" localSheetId="4">COMPONENTES2!$F$872</definedName>
    <definedName name="SE" localSheetId="5">'INSUMOS 1'!$F$872</definedName>
    <definedName name="SE" localSheetId="8">OBRA!#REF!</definedName>
    <definedName name="SE" localSheetId="7">SUMINISTRO!#REF!</definedName>
    <definedName name="SE">#REF!</definedName>
    <definedName name="SL" localSheetId="4">COMPONENTES2!$F$869</definedName>
    <definedName name="SL" localSheetId="5">'INSUMOS 1'!$F$869</definedName>
    <definedName name="SL" localSheetId="8">OBRA!#REF!</definedName>
    <definedName name="SL" localSheetId="7">SUMINISTRO!#REF!</definedName>
    <definedName name="SL">#REF!</definedName>
    <definedName name="SUBTOTAL">'Mort 1-3'!$I$20</definedName>
    <definedName name="SUBTOTALMAT" localSheetId="48">'2,2,6,2 Pilotes 0,40'!$I$19</definedName>
    <definedName name="SUBTOTALMAT" localSheetId="49">'2,2,6,3 Pilotes 0,60'!$I$19</definedName>
    <definedName name="SUBTOTALMAT" localSheetId="50">'2,2,6,4 Pilotes 0,80'!$I$19</definedName>
    <definedName name="SUBTOTALMAT" localSheetId="51">'2,2,6,5 Pilotes 0,90 '!$I$19</definedName>
    <definedName name="SUBTOTALMAT">'2,2,6,1 Pilotes 0,30'!$I$19</definedName>
    <definedName name="TA" localSheetId="4">COMPONENTES2!$K$868</definedName>
    <definedName name="TA" localSheetId="5">'INSUMOS 1'!$K$868</definedName>
    <definedName name="TA" localSheetId="8">OBRA!#REF!</definedName>
    <definedName name="TA" localSheetId="7">SUMINISTRO!#REF!</definedName>
    <definedName name="TA">#REF!</definedName>
    <definedName name="TB" localSheetId="4">COMPONENTES2!$K$870</definedName>
    <definedName name="TB" localSheetId="5">'INSUMOS 1'!$K$870</definedName>
    <definedName name="TB" localSheetId="8">OBRA!#REF!</definedName>
    <definedName name="TB" localSheetId="7">SUMINISTRO!#REF!</definedName>
    <definedName name="TB">#REF!</definedName>
    <definedName name="TC" localSheetId="4">COMPONENTES2!$K$871</definedName>
    <definedName name="TC" localSheetId="5">'INSUMOS 1'!$K$871</definedName>
    <definedName name="TC" localSheetId="8">OBRA!#REF!</definedName>
    <definedName name="TC" localSheetId="7">SUMINISTRO!#REF!</definedName>
    <definedName name="TC">#REF!</definedName>
    <definedName name="TE" localSheetId="4">COMPONENTES2!$K$872</definedName>
    <definedName name="TE" localSheetId="5">'INSUMOS 1'!$K$872</definedName>
    <definedName name="TE" localSheetId="8">OBRA!#REF!</definedName>
    <definedName name="TE" localSheetId="7">SUMINISTRO!#REF!</definedName>
    <definedName name="TE">#REF!</definedName>
    <definedName name="_xlnm.Print_Titles" localSheetId="4">COMPONENTES2!$1:$9</definedName>
    <definedName name="_xlnm.Print_Titles" localSheetId="5">'INSUMOS 1'!$1:$9</definedName>
    <definedName name="_xlnm.Print_Titles" localSheetId="8">OBRA!$1:$6</definedName>
    <definedName name="_xlnm.Print_Titles" localSheetId="7">SUMINISTRO!$1:$6</definedName>
    <definedName name="TL" localSheetId="4">COMPONENTES2!$K$869</definedName>
    <definedName name="TL" localSheetId="5">'INSUMOS 1'!$K$869</definedName>
    <definedName name="TL" localSheetId="8">OBRA!#REF!</definedName>
    <definedName name="TL" localSheetId="7">SUMINISTRO!#REF!</definedName>
    <definedName name="TL">#REF!</definedName>
    <definedName name="Transporte">Trans!$A$9:$I$63</definedName>
    <definedName name="VIADUCTO" localSheetId="7">SUMINISTRO!#REF!</definedName>
    <definedName name="VIADUCTO">OBRA!#REF!</definedName>
    <definedName name="Z_93F324B6_F965_4669_93FF_DBB148734A46_.wvu.Cols" localSheetId="10" hidden="1">'ANALISIS DE AIU'!$C:$C</definedName>
    <definedName name="Z_93F324B6_F965_4669_93FF_DBB148734A46_.wvu.Cols" localSheetId="4" hidden="1">COMPONENTES2!$I:$J</definedName>
    <definedName name="Z_93F324B6_F965_4669_93FF_DBB148734A46_.wvu.Cols" localSheetId="8" hidden="1">OBRA!#REF!</definedName>
    <definedName name="Z_93F324B6_F965_4669_93FF_DBB148734A46_.wvu.Cols" localSheetId="7" hidden="1">SUMINISTRO!#REF!</definedName>
    <definedName name="Z_93F324B6_F965_4669_93FF_DBB148734A46_.wvu.FilterData" localSheetId="4" hidden="1">COMPONENTES2!$A$481:$G$542</definedName>
    <definedName name="Z_93F324B6_F965_4669_93FF_DBB148734A46_.wvu.FilterData" localSheetId="5" hidden="1">'INSUMOS 1'!$A$481:$G$542</definedName>
    <definedName name="Z_93F324B6_F965_4669_93FF_DBB148734A46_.wvu.PrintArea" localSheetId="267" hidden="1">' 12,2,2,4 Baranda tubo'!$A$1:$I$54</definedName>
    <definedName name="Z_93F324B6_F965_4669_93FF_DBB148734A46_.wvu.PrintArea" localSheetId="24" hidden="1">' Acero 60000 Refuerzo '!$A$1:$I$54</definedName>
    <definedName name="Z_93F324B6_F965_4669_93FF_DBB148734A46_.wvu.PrintArea" localSheetId="25" hidden="1">' Malla Electrosoldada '!$A$1:$I$54</definedName>
    <definedName name="Z_93F324B6_F965_4669_93FF_DBB148734A46_.wvu.PrintArea" localSheetId="32" hidden="1">'1,1,1 Campamt'!$A$1:$I$57</definedName>
    <definedName name="Z_93F324B6_F965_4669_93FF_DBB148734A46_.wvu.PrintArea" localSheetId="33" hidden="1">'1,1,7 Locali Manual'!$A$1:$I$54</definedName>
    <definedName name="Z_93F324B6_F965_4669_93FF_DBB148734A46_.wvu.PrintArea" localSheetId="34" hidden="1">'1,4,2 Traslado postes'!$A$1:$I$54</definedName>
    <definedName name="Z_93F324B6_F965_4669_93FF_DBB148734A46_.wvu.PrintArea" localSheetId="35" hidden="1">'1,4,3 Arb 5'!$A$1:$I$54</definedName>
    <definedName name="Z_93F324B6_F965_4669_93FF_DBB148734A46_.wvu.PrintArea" localSheetId="36" hidden="1">'1,4,4 Arb 10'!$A$1:$I$54</definedName>
    <definedName name="Z_93F324B6_F965_4669_93FF_DBB148734A46_.wvu.PrintArea" localSheetId="37" hidden="1">'1,4,5 Arb 15'!$A$1:$I$54</definedName>
    <definedName name="Z_93F324B6_F965_4669_93FF_DBB148734A46_.wvu.PrintArea" localSheetId="38" hidden="1">'1,4,6 Arb 20'!$A$1:$I$54</definedName>
    <definedName name="Z_93F324B6_F965_4669_93FF_DBB148734A46_.wvu.PrintArea" localSheetId="39" hidden="1">'1,4,7 Arb +20'!$A$1:$I$54</definedName>
    <definedName name="Z_93F324B6_F965_4669_93FF_DBB148734A46_.wvu.PrintArea" localSheetId="40" hidden="1">'1,4,8 Traslado Arb'!$A$1:$I$54</definedName>
    <definedName name="Z_93F324B6_F965_4669_93FF_DBB148734A46_.wvu.PrintArea" localSheetId="242" hidden="1">'10,1,1 base mueble concreto'!$A$1:$I$54</definedName>
    <definedName name="Z_93F324B6_F965_4669_93FF_DBB148734A46_.wvu.PrintArea" localSheetId="243" hidden="1">'10,1,3 Alistado pisos'!$A$1:$I$54</definedName>
    <definedName name="Z_93F324B6_F965_4669_93FF_DBB148734A46_.wvu.PrintArea" localSheetId="244" hidden="1">'10,1,4 Mortero afinado'!$A$1:$I$54</definedName>
    <definedName name="Z_93F324B6_F965_4669_93FF_DBB148734A46_.wvu.PrintArea" localSheetId="245" hidden="1">'10,2,1,3 Ceramica 0,20 x 0,20 '!$A$1:$I$54</definedName>
    <definedName name="Z_93F324B6_F965_4669_93FF_DBB148734A46_.wvu.PrintArea" localSheetId="246" hidden="1">'10,2,2,3 Piso tablòn ges 0,30 '!$A$1:$I$54</definedName>
    <definedName name="Z_93F324B6_F965_4669_93FF_DBB148734A46_.wvu.PrintArea" localSheetId="247" hidden="1">'10,2,4,3 gravilla m2'!$A$1:$I$54</definedName>
    <definedName name="Z_93F324B6_F965_4669_93FF_DBB148734A46_.wvu.PrintArea" localSheetId="248" hidden="1">'10,3,1,1 Tablòn cuarto 26'!$A$1:$I$54</definedName>
    <definedName name="Z_93F324B6_F965_4669_93FF_DBB148734A46_.wvu.PrintArea" localSheetId="249" hidden="1">'10,3,2,3 Media Caña'!$A$1:$I$54</definedName>
    <definedName name="Z_93F324B6_F965_4669_93FF_DBB148734A46_.wvu.PrintArea" localSheetId="250" hidden="1">'10,3,2,4 Gravilla '!$A$1:$I$54</definedName>
    <definedName name="Z_93F324B6_F965_4669_93FF_DBB148734A46_.wvu.PrintArea" localSheetId="251" hidden="1">'10,4,2 Escalera en Granito'!$A$1:$I$54</definedName>
    <definedName name="Z_93F324B6_F965_4669_93FF_DBB148734A46_.wvu.PrintArea" localSheetId="252" hidden="1">'11,2,3,1 Domo acrílico'!$A$1:$I$54</definedName>
    <definedName name="Z_93F324B6_F965_4669_93FF_DBB148734A46_.wvu.PrintArea" localSheetId="253" hidden="1">'11,2,3,2 Acrilico transparente'!$A$1:$I$54</definedName>
    <definedName name="Z_93F324B6_F965_4669_93FF_DBB148734A46_.wvu.PrintArea" localSheetId="254" hidden="1">'11,2,4,2 Cubierta placa'!$A$1:$I$54</definedName>
    <definedName name="Z_93F324B6_F965_4669_93FF_DBB148734A46_.wvu.PrintArea" localSheetId="255" hidden="1">'11,3,1 Canal Lámina'!$A$1:$I$54</definedName>
    <definedName name="Z_93F324B6_F965_4669_93FF_DBB148734A46_.wvu.PrintArea" localSheetId="256" hidden="1">'11,3,3 Tragante 5x3'!$A$1:$I$54</definedName>
    <definedName name="Z_93F324B6_F965_4669_93FF_DBB148734A46_.wvu.PrintArea" localSheetId="257" hidden="1">'11,3,5 Canal PVC'!$A$1:$I$54</definedName>
    <definedName name="Z_93F324B6_F965_4669_93FF_DBB148734A46_.wvu.PrintArea" localSheetId="258" hidden="1">'12,1,2 Ventanas aluminio reja'!$A$1:$I$54</definedName>
    <definedName name="Z_93F324B6_F965_4669_93FF_DBB148734A46_.wvu.PrintArea" localSheetId="259" hidden="1">'12,1,4 Puert Alum dob reja'!$A$1:$I$54</definedName>
    <definedName name="Z_93F324B6_F965_4669_93FF_DBB148734A46_.wvu.PrintArea" localSheetId="260" hidden="1">'12,1,7 PERGOLAS ALUM'!$A$1:$I$54</definedName>
    <definedName name="Z_93F324B6_F965_4669_93FF_DBB148734A46_.wvu.PrintArea" localSheetId="261" hidden="1">'12,1,9 BARANDA EN ALUMINIO'!$A$1:$I$55</definedName>
    <definedName name="Z_93F324B6_F965_4669_93FF_DBB148734A46_.wvu.PrintArea" localSheetId="262" hidden="1">'12,2,1,1 Marcos puerta'!$A$1:$I$54</definedName>
    <definedName name="Z_93F324B6_F965_4669_93FF_DBB148734A46_.wvu.PrintArea" localSheetId="263" hidden="1">'12,2,1,2 Puerta Sencilla'!$A$1:$I$54</definedName>
    <definedName name="Z_93F324B6_F965_4669_93FF_DBB148734A46_.wvu.PrintArea" localSheetId="264" hidden="1">'12,2,1,3 Ventana'!$A$1:$I$54</definedName>
    <definedName name="Z_93F324B6_F965_4669_93FF_DBB148734A46_.wvu.PrintArea" localSheetId="265" hidden="1">'12,2,1,5 Puertas Emtamborada'!$A$1:$I$54</definedName>
    <definedName name="Z_93F324B6_F965_4669_93FF_DBB148734A46_.wvu.PrintArea" localSheetId="266" hidden="1">'12,2,2,1 Pasamanos '!$A$1:$I$54</definedName>
    <definedName name="Z_93F324B6_F965_4669_93FF_DBB148734A46_.wvu.PrintArea" localSheetId="268" hidden="1">'12,2,3,1 Rejas en varilla cuadr'!$A$1:$I$54</definedName>
    <definedName name="Z_93F324B6_F965_4669_93FF_DBB148734A46_.wvu.PrintArea" localSheetId="269" hidden="1">'12,2,3,2 Rejas ventana'!$A$1:$I$54</definedName>
    <definedName name="Z_93F324B6_F965_4669_93FF_DBB148734A46_.wvu.PrintArea" localSheetId="270" hidden="1">'12,2,3,3 Rejas Puerta baño'!$A$1:$I$54</definedName>
    <definedName name="Z_93F324B6_F965_4669_93FF_DBB148734A46_.wvu.PrintArea" localSheetId="271" hidden="1">'12,2,3,4 Reja Ventilación'!$A$1:$I$58</definedName>
    <definedName name="Z_93F324B6_F965_4669_93FF_DBB148734A46_.wvu.PrintArea" localSheetId="272" hidden="1">'12,2,4,1 CORTASOL'!$A$1:$I$54</definedName>
    <definedName name="Z_93F324B6_F965_4669_93FF_DBB148734A46_.wvu.PrintArea" localSheetId="273" hidden="1">'12,2,4,4 Ventana Malla'!$A$1:$I$54</definedName>
    <definedName name="Z_93F324B6_F965_4669_93FF_DBB148734A46_.wvu.PrintArea" localSheetId="275" hidden="1">'16,1,11 POCETA'!$A$1:$I$54</definedName>
    <definedName name="Z_93F324B6_F965_4669_93FF_DBB148734A46_.wvu.PrintArea" localSheetId="274" hidden="1">'16,1,9 Duchas'!$A$1:$I$54</definedName>
    <definedName name="Z_93F324B6_F965_4669_93FF_DBB148734A46_.wvu.PrintArea" localSheetId="276" hidden="1">'16,2,1 Pocetas Aseo'!$A$1:$I$54</definedName>
    <definedName name="Z_93F324B6_F965_4669_93FF_DBB148734A46_.wvu.PrintArea" localSheetId="277" hidden="1">'16,2,5 Llave Terminal'!$A$1:$I$54</definedName>
    <definedName name="Z_93F324B6_F965_4669_93FF_DBB148734A46_.wvu.PrintArea" localSheetId="278" hidden="1">'17,2,1 Puerta Vidrio'!$A$1:$I$54</definedName>
    <definedName name="Z_93F324B6_F965_4669_93FF_DBB148734A46_.wvu.PrintArea" localSheetId="279" hidden="1">'17,2,2 Puerta PVC Baterias'!$A$1:$I$54</definedName>
    <definedName name="Z_93F324B6_F965_4669_93FF_DBB148734A46_.wvu.PrintArea" localSheetId="280" hidden="1">'17,2,3 Divisiones 0,06'!$A$1:$I$54</definedName>
    <definedName name="Z_93F324B6_F965_4669_93FF_DBB148734A46_.wvu.PrintArea" localSheetId="281" hidden="1">'17,2,4 Divisiones baños '!$A$1:$I$54</definedName>
    <definedName name="Z_93F324B6_F965_4669_93FF_DBB148734A46_.wvu.PrintArea" localSheetId="282" hidden="1">'18,1,2 pintura plastica'!$A$1:$I$54</definedName>
    <definedName name="Z_93F324B6_F965_4669_93FF_DBB148734A46_.wvu.PrintArea" localSheetId="283" hidden="1">'18,1,4 Vinilo sin estuco '!$A$1:$I$54</definedName>
    <definedName name="Z_93F324B6_F965_4669_93FF_DBB148734A46_.wvu.PrintArea" localSheetId="284" hidden="1">'18,1,5 Vinilo Cielos '!$A$1:$I$54</definedName>
    <definedName name="Z_93F324B6_F965_4669_93FF_DBB148734A46_.wvu.PrintArea" localSheetId="41" hidden="1">'2,1,1 Exc Mec'!$A$1:$I$54</definedName>
    <definedName name="Z_93F324B6_F965_4669_93FF_DBB148734A46_.wvu.PrintArea" localSheetId="42" hidden="1">'2,1,5 Relleno M Común'!$A$1:$I$54</definedName>
    <definedName name="Z_93F324B6_F965_4669_93FF_DBB148734A46_.wvu.PrintArea" localSheetId="43" hidden="1">'2,1,7  Sub base Recebo '!$A$1:$I$54</definedName>
    <definedName name="Z_93F324B6_F965_4669_93FF_DBB148734A46_.wvu.PrintArea" localSheetId="44" hidden="1">'2,1,8 Geotextil NT'!$A$1:$I$54</definedName>
    <definedName name="Z_93F324B6_F965_4669_93FF_DBB148734A46_.wvu.PrintArea" localSheetId="45" hidden="1">'2,1,9 Geotextil Tejido'!$A$1:$I$54</definedName>
    <definedName name="Z_93F324B6_F965_4669_93FF_DBB148734A46_.wvu.PrintArea" localSheetId="55" hidden="1">'2,2,10 Placas cont= 0,125'!$A$1:$I$54</definedName>
    <definedName name="Z_93F324B6_F965_4669_93FF_DBB148734A46_.wvu.PrintArea" localSheetId="56" hidden="1">'2,2,11 Placas cont= 0,15'!$A$1:$I$54</definedName>
    <definedName name="Z_93F324B6_F965_4669_93FF_DBB148734A46_.wvu.PrintArea" localSheetId="46" hidden="1">'2,2,3 Muros de contencion'!$A$1:$I$54</definedName>
    <definedName name="Z_93F324B6_F965_4669_93FF_DBB148734A46_.wvu.PrintArea" localSheetId="47" hidden="1">'2,2,6,1 Pilotes 0,30'!$A$1:$I$54</definedName>
    <definedName name="Z_93F324B6_F965_4669_93FF_DBB148734A46_.wvu.PrintArea" localSheetId="48" hidden="1">'2,2,6,2 Pilotes 0,40'!$A$1:$I$54</definedName>
    <definedName name="Z_93F324B6_F965_4669_93FF_DBB148734A46_.wvu.PrintArea" localSheetId="49" hidden="1">'2,2,6,3 Pilotes 0,60'!$A$1:$I$54</definedName>
    <definedName name="Z_93F324B6_F965_4669_93FF_DBB148734A46_.wvu.PrintArea" localSheetId="50" hidden="1">'2,2,6,4 Pilotes 0,80'!$A$1:$I$54</definedName>
    <definedName name="Z_93F324B6_F965_4669_93FF_DBB148734A46_.wvu.PrintArea" localSheetId="51" hidden="1">'2,2,6,5 Pilotes 0,90 '!$A$1:$I$54</definedName>
    <definedName name="Z_93F324B6_F965_4669_93FF_DBB148734A46_.wvu.PrintArea" localSheetId="52" hidden="1">'2,2,7 Dados en concreto'!$A$1:$I$54</definedName>
    <definedName name="Z_93F324B6_F965_4669_93FF_DBB148734A46_.wvu.PrintArea" localSheetId="53" hidden="1">'2,2,8 Placa Flotante 0,60'!$A$1:$I$51</definedName>
    <definedName name="Z_93F324B6_F965_4669_93FF_DBB148734A46_.wvu.PrintArea" localSheetId="54" hidden="1">'2,2,9 Reposicion -Placa'!$A$1:$I$54</definedName>
    <definedName name="Z_93F324B6_F965_4669_93FF_DBB148734A46_.wvu.PrintArea" localSheetId="57" hidden="1">'2,3,1 Acero 37000 '!$A$1:$I$54</definedName>
    <definedName name="Z_93F324B6_F965_4669_93FF_DBB148734A46_.wvu.PrintArea" localSheetId="59" hidden="1">'2,4,1 Gaviones'!$A$1:$I$54</definedName>
    <definedName name="Z_93F324B6_F965_4669_93FF_DBB148734A46_.wvu.PrintArea" localSheetId="60" hidden="1">'2,4,2 Cajon aislamiento vigas'!$A$1:$I$51</definedName>
    <definedName name="Z_93F324B6_F965_4669_93FF_DBB148734A46_.wvu.PrintArea" localSheetId="61" hidden="1">'2,4,3 Icopor Aislante ciment. '!$A$1:$I$51</definedName>
    <definedName name="Z_93F324B6_F965_4669_93FF_DBB148734A46_.wvu.PrintArea" localSheetId="62" hidden="1">'2,4,4 Pañete Taludes '!$A$1:$I$54</definedName>
    <definedName name="Z_93F324B6_F965_4669_93FF_DBB148734A46_.wvu.PrintArea" localSheetId="285" hidden="1">'20,1,2 Exc Man'!$A$1:$I$54</definedName>
    <definedName name="Z_93F324B6_F965_4669_93FF_DBB148734A46_.wvu.PrintArea" localSheetId="286" hidden="1">'20,1,5 Subbase recebo'!$A$1:$I$54</definedName>
    <definedName name="Z_93F324B6_F965_4669_93FF_DBB148734A46_.wvu.PrintArea" localSheetId="301" hidden="1">'20,2,13 Escalinatas'!$A$1:$I$54</definedName>
    <definedName name="Z_93F324B6_F965_4669_93FF_DBB148734A46_.wvu.PrintArea" localSheetId="287" hidden="1">'20,3,1 Solado esp= 0,05'!$A$1:$I$54</definedName>
    <definedName name="Z_93F324B6_F965_4669_93FF_DBB148734A46_.wvu.PrintArea" localSheetId="288" hidden="1">'20,3,2 Concreto Ciclopeo '!$A$1:$I$54</definedName>
    <definedName name="Z_93F324B6_F965_4669_93FF_DBB148734A46_.wvu.PrintArea" localSheetId="289" hidden="1">'20,3,3 Vigas de Amarre'!$A$1:$I$54</definedName>
    <definedName name="Z_93F324B6_F965_4669_93FF_DBB148734A46_.wvu.PrintArea" localSheetId="290" hidden="1">'20,3,5  Cerramiento Malla Esla'!$A$1:$I$54</definedName>
    <definedName name="Z_93F324B6_F965_4669_93FF_DBB148734A46_.wvu.PrintArea" localSheetId="291" hidden="1">'20,4,1 Mov Tierras'!$A$1:$I$54</definedName>
    <definedName name="Z_93F324B6_F965_4669_93FF_DBB148734A46_.wvu.PrintArea" localSheetId="292" hidden="1">'20,4,2 Pradización'!$A$1:$I$54</definedName>
    <definedName name="Z_93F324B6_F965_4669_93FF_DBB148734A46_.wvu.PrintArea" localSheetId="294" hidden="1">'20,4,4 Arborización'!$A$1:$I$54</definedName>
    <definedName name="Z_93F324B6_F965_4669_93FF_DBB148734A46_.wvu.PrintArea" localSheetId="295" hidden="1">'20,5,1 Gaviones en piedra'!$A$1:$I$54</definedName>
    <definedName name="Z_93F324B6_F965_4669_93FF_DBB148734A46_.wvu.PrintArea" localSheetId="296" hidden="1">'20,5,2 PERGOLA  METALICA'!$A$1:$I$54</definedName>
    <definedName name="Z_93F324B6_F965_4669_93FF_DBB148734A46_.wvu.PrintArea" localSheetId="297" hidden="1">'20,5,3  Acero 37000  Ext.'!$A$1:$I$54</definedName>
    <definedName name="Z_93F324B6_F965_4669_93FF_DBB148734A46_.wvu.PrintArea" localSheetId="298" hidden="1">'20,5,4 Acero 60000 psi'!$A$1:$I$54</definedName>
    <definedName name="Z_93F324B6_F965_4669_93FF_DBB148734A46_.wvu.PrintArea" localSheetId="299" hidden="1">'20,5,5 Malla Electrosoldada  '!$A$1:$I$54</definedName>
    <definedName name="Z_93F324B6_F965_4669_93FF_DBB148734A46_.wvu.PrintArea" localSheetId="300" hidden="1">'21,1,1 Lavada ladrillo '!$A$1:$I$54</definedName>
    <definedName name="Z_93F324B6_F965_4669_93FF_DBB148734A46_.wvu.PrintArea" localSheetId="293" hidden="1">'21,1,3 Aseo'!$A$1:$I$54</definedName>
    <definedName name="Z_93F324B6_F965_4669_93FF_DBB148734A46_.wvu.PrintArea" localSheetId="302" hidden="1">'21,1,4 Retiro Escombros'!$A$1:$I$54</definedName>
    <definedName name="Z_93F324B6_F965_4669_93FF_DBB148734A46_.wvu.PrintArea" localSheetId="63" hidden="1">'3,1,1 Novafort A.LL. 4" 110mm '!$A$1:$I$54</definedName>
    <definedName name="Z_93F324B6_F965_4669_93FF_DBB148734A46_.wvu.PrintArea" localSheetId="64" hidden="1">'3,1,3 Novafort A.LL 8"200 mm   '!$A$1:$I$54</definedName>
    <definedName name="Z_93F324B6_F965_4669_93FF_DBB148734A46_.wvu.PrintArea" localSheetId="65" hidden="1">'3,1,4 Novafort 10"A.LL. 255mm '!$A$1:$I$54</definedName>
    <definedName name="Z_93F324B6_F965_4669_93FF_DBB148734A46_.wvu.PrintArea" localSheetId="66" hidden="1">'3,1,5 Novafort A.LL.12" 315mm  '!$A$1:$I$54</definedName>
    <definedName name="Z_93F324B6_F965_4669_93FF_DBB148734A46_.wvu.PrintArea" localSheetId="67" hidden="1">'3,1,6  Acc. Novafort. A.LL'!$A$1:$I$54</definedName>
    <definedName name="Z_93F324B6_F965_4669_93FF_DBB148734A46_.wvu.PrintArea" localSheetId="68" hidden="1">'3,2,3 Novafort A.N. 8"200 mm'!$A$1:$I$54</definedName>
    <definedName name="Z_93F324B6_F965_4669_93FF_DBB148734A46_.wvu.PrintArea" localSheetId="69" hidden="1">'3,2,4 Novafort 10"A.N. 255 mm'!$A$1:$I$54</definedName>
    <definedName name="Z_93F324B6_F965_4669_93FF_DBB148734A46_.wvu.PrintArea" localSheetId="70" hidden="1">'3,2,5 Novafort A.N.12" 315mm'!$A$1:$I$54</definedName>
    <definedName name="Z_93F324B6_F965_4669_93FF_DBB148734A46_.wvu.PrintArea" localSheetId="71" hidden="1">'3,2,6  Acc. Novafort. A.N.'!$A$1:$I$54</definedName>
    <definedName name="Z_93F324B6_F965_4669_93FF_DBB148734A46_.wvu.PrintArea" localSheetId="72" hidden="1">'3,3,1 Tuberia drenaje PVC 4"'!$A$1:$I$54</definedName>
    <definedName name="Z_93F324B6_F965_4669_93FF_DBB148734A46_.wvu.PrintArea" localSheetId="73" hidden="1">'3,3,2 Tuberia drenaje PVC 4"'!$A$1:$I$54</definedName>
    <definedName name="Z_93F324B6_F965_4669_93FF_DBB148734A46_.wvu.PrintArea" localSheetId="74" hidden="1">'3,3,3 Accesorio drenaje PVC 3"'!$A$1:$I$54</definedName>
    <definedName name="Z_93F324B6_F965_4669_93FF_DBB148734A46_.wvu.PrintArea" localSheetId="75" hidden="1">'3,3,4 Accesorio drenaje PVC 4"'!$A$1:$I$54</definedName>
    <definedName name="Z_93F324B6_F965_4669_93FF_DBB148734A46_.wvu.PrintArea" localSheetId="76" hidden="1">'3,3,5 Filtros Escorrentias'!$A$1:$I$54</definedName>
    <definedName name="Z_93F324B6_F965_4669_93FF_DBB148734A46_.wvu.PrintArea" localSheetId="88" hidden="1">'3,3,6 POZO INFILTRACIÓN'!$A$1:$I$54</definedName>
    <definedName name="Z_93F324B6_F965_4669_93FF_DBB148734A46_.wvu.PrintArea" localSheetId="89" hidden="1">'3,4,1 Caja inspección 0,60 '!$A$1:$I$54</definedName>
    <definedName name="Z_93F324B6_F965_4669_93FF_DBB148734A46_.wvu.PrintArea" localSheetId="77" hidden="1">'3,4,2 Caja inspección 0,80'!$A$1:$I$54</definedName>
    <definedName name="Z_93F324B6_F965_4669_93FF_DBB148734A46_.wvu.PrintArea" localSheetId="78" hidden="1">'3,4,3 Caja inspección 1,00'!$A$1:$I$54</definedName>
    <definedName name="Z_93F324B6_F965_4669_93FF_DBB148734A46_.wvu.PrintArea" localSheetId="79" hidden="1">'3,4,4 Caja Distribuciòn 0,40  '!$A$1:$I$54</definedName>
    <definedName name="Z_93F324B6_F965_4669_93FF_DBB148734A46_.wvu.PrintArea" localSheetId="80" hidden="1">'3,4,6 Carcamo aguas lluvias'!$A$1:$I$55</definedName>
    <definedName name="Z_93F324B6_F965_4669_93FF_DBB148734A46_.wvu.PrintArea" localSheetId="81" hidden="1">'3,4,7 Trampa de grasas'!$A$1:$I$55</definedName>
    <definedName name="Z_93F324B6_F965_4669_93FF_DBB148734A46_.wvu.PrintArea" localSheetId="82" hidden="1">'3,4,8 Pozo Septico'!$A$1:$I$54</definedName>
    <definedName name="Z_93F324B6_F965_4669_93FF_DBB148734A46_.wvu.PrintArea" localSheetId="83" hidden="1">'3,5,1 Exc Man '!$A$1:$I$54</definedName>
    <definedName name="Z_93F324B6_F965_4669_93FF_DBB148734A46_.wvu.PrintArea" localSheetId="84" hidden="1">'3,5,2 Exc en recebo comp.'!$A$1:$I$54</definedName>
    <definedName name="Z_93F324B6_F965_4669_93FF_DBB148734A46_.wvu.PrintArea" localSheetId="85" hidden="1">'3,5,3  Relleno M seleccionado'!$A$1:$I$54</definedName>
    <definedName name="Z_93F324B6_F965_4669_93FF_DBB148734A46_.wvu.PrintArea" localSheetId="86" hidden="1">'3,5,4 Relleno M Común '!$A$1:$I$54</definedName>
    <definedName name="Z_93F324B6_F965_4669_93FF_DBB148734A46_.wvu.PrintArea" localSheetId="87" hidden="1">'3,5,5 Retiro sobrantes'!$A$1:$I$54</definedName>
    <definedName name="Z_93F324B6_F965_4669_93FF_DBB148734A46_.wvu.PrintArea" localSheetId="90" hidden="1">'4,1,2 Pantalla en concreto'!$A$1:$I$54</definedName>
    <definedName name="Z_93F324B6_F965_4669_93FF_DBB148734A46_.wvu.PrintArea" localSheetId="91" hidden="1">'4,1,3 Muros'!$A$1:$I$54</definedName>
    <definedName name="Z_93F324B6_F965_4669_93FF_DBB148734A46_.wvu.PrintArea" localSheetId="92" hidden="1">'4,2,3  Vigas Prefabricadas'!$A$1:$I$53</definedName>
    <definedName name="Z_93F324B6_F965_4669_93FF_DBB148734A46_.wvu.PrintArea" localSheetId="94" hidden="1">'4,3,3 Caseton 45 cm'!$A$1:$I$52</definedName>
    <definedName name="Z_93F324B6_F965_4669_93FF_DBB148734A46_.wvu.PrintArea" localSheetId="96" hidden="1">'4,3,6 Placa maciza 0,20'!$A$1:$I$54</definedName>
    <definedName name="Z_93F324B6_F965_4669_93FF_DBB148734A46_.wvu.PrintArea" localSheetId="97" hidden="1">'4,3,7 Placa maciza 0,125'!$A$1:$I$54</definedName>
    <definedName name="Z_93F324B6_F965_4669_93FF_DBB148734A46_.wvu.PrintArea" localSheetId="99" hidden="1">'4,3,9 Placa maciza 0,15'!$A$1:$I$54</definedName>
    <definedName name="Z_93F324B6_F965_4669_93FF_DBB148734A46_.wvu.PrintArea" localSheetId="100" hidden="1">'4,4,2 Rampas'!$A$1:$I$54</definedName>
    <definedName name="Z_93F324B6_F965_4669_93FF_DBB148734A46_.wvu.PrintArea" localSheetId="101" hidden="1">'4,4,3 POZO CONCRETO 20 M3'!$A$1:$I$54</definedName>
    <definedName name="Z_93F324B6_F965_4669_93FF_DBB148734A46_.wvu.PrintArea" localSheetId="102" hidden="1">'4,4,4 POZO CONCRETO'!$A$1:$I$54</definedName>
    <definedName name="Z_93F324B6_F965_4669_93FF_DBB148734A46_.wvu.PrintArea" localSheetId="103" hidden="1">'4,5,1 Acero 37000  '!$A$1:$I$54</definedName>
    <definedName name="Z_93F324B6_F965_4669_93FF_DBB148734A46_.wvu.PrintArea" localSheetId="105" hidden="1">'4,5,2 Acero 60000 est'!$A$1:$I$54</definedName>
    <definedName name="Z_93F324B6_F965_4669_93FF_DBB148734A46_.wvu.PrintArea" localSheetId="106" hidden="1">'4,6,2,3 Cerrchas  Metàlica'!$A$1:$I$53</definedName>
    <definedName name="Z_93F324B6_F965_4669_93FF_DBB148734A46_.wvu.PrintArea" localSheetId="107" hidden="1">'5,1,1 Bloq Conc Estruc 0,12'!$A$1:$I$54</definedName>
    <definedName name="Z_93F324B6_F965_4669_93FF_DBB148734A46_.wvu.PrintArea" localSheetId="104" hidden="1">'5,1,10 camara 8,20&lt;=h&lt;9,20'!$A$1:$I$53</definedName>
    <definedName name="Z_93F324B6_F965_4669_93FF_DBB148734A46_.wvu.PrintArea" localSheetId="108" hidden="1">'5,1,2 Bloque concreto divisorio'!$A$1:$I$54</definedName>
    <definedName name="Z_93F324B6_F965_4669_93FF_DBB148734A46_.wvu.PrintArea" localSheetId="109" hidden="1">'5,1,5  Calados en Concreto'!$A$1:$I$54</definedName>
    <definedName name="Z_93F324B6_F965_4669_93FF_DBB148734A46_.wvu.PrintArea" localSheetId="110" hidden="1">'5,1,6 Bloq Conc Estruc 014'!$A$1:$I$54</definedName>
    <definedName name="Z_93F324B6_F965_4669_93FF_DBB148734A46_.wvu.PrintArea" localSheetId="93" hidden="1">'5,1,6 camara 5,20&lt;=h&lt;6,20'!$A$1:$I$52</definedName>
    <definedName name="Z_93F324B6_F965_4669_93FF_DBB148734A46_.wvu.PrintArea" localSheetId="111" hidden="1">'5,1,7 Bloq Conc Estruc 019'!$A$1:$I$54</definedName>
    <definedName name="Z_93F324B6_F965_4669_93FF_DBB148734A46_.wvu.PrintArea" localSheetId="95" hidden="1">'5,1,7 camara 6,20&lt;=h&lt;7,20'!$A$1:$I$51</definedName>
    <definedName name="Z_93F324B6_F965_4669_93FF_DBB148734A46_.wvu.PrintArea" localSheetId="98" hidden="1">'5,1,8 camara 7,20&lt;=h&lt;8,20'!$A$1:$I$54</definedName>
    <definedName name="Z_93F324B6_F965_4669_93FF_DBB148734A46_.wvu.PrintArea" localSheetId="112" hidden="1">'5,2,6 Muro en bloque No 4'!$A$1:$I$54</definedName>
    <definedName name="Z_93F324B6_F965_4669_93FF_DBB148734A46_.wvu.PrintArea" localSheetId="113" hidden="1">'5,3,1 Enchape ladrillo arcilla'!$A$1:$I$54</definedName>
    <definedName name="Z_93F324B6_F965_4669_93FF_DBB148734A46_.wvu.PrintArea" localSheetId="114" hidden="1">'5,3,3 Alfagias ladrillo arcilla'!$A$1:$I$54</definedName>
    <definedName name="Z_93F324B6_F965_4669_93FF_DBB148734A46_.wvu.PrintArea" localSheetId="115" hidden="1">'5,3,4 Remate ladrillo arcilla'!$A$1:$I$54</definedName>
    <definedName name="Z_93F324B6_F965_4669_93FF_DBB148734A46_.wvu.PrintArea" localSheetId="116" hidden="1">'5,4,1 Grouting-Concreto fluido'!$A$1:$I$54</definedName>
    <definedName name="Z_93F324B6_F965_4669_93FF_DBB148734A46_.wvu.PrintArea" localSheetId="117" hidden="1">'5,4,2 Remates'!$A$1:$I$54</definedName>
    <definedName name="Z_93F324B6_F965_4669_93FF_DBB148734A46_.wvu.PrintArea" localSheetId="118" hidden="1">'5,5,3 Malla Electrosoldada '!$A$1:$I$54</definedName>
    <definedName name="Z_93F324B6_F965_4669_93FF_DBB148734A46_.wvu.PrintArea" localSheetId="119" hidden="1">'5,6,1 Instalaciòn carpint. Meta'!$A$1:$I$54</definedName>
    <definedName name="Z_93F324B6_F965_4669_93FF_DBB148734A46_.wvu.PrintArea" localSheetId="120" hidden="1">'6,1,1 Alfajias'!$A$1:$I$54</definedName>
    <definedName name="Z_93F324B6_F965_4669_93FF_DBB148734A46_.wvu.PrintArea" localSheetId="124" hidden="1">'6,1,10 Gradas en Concreto'!$A$1:$I$54</definedName>
    <definedName name="Z_93F324B6_F965_4669_93FF_DBB148734A46_.wvu.PrintArea" localSheetId="125" hidden="1">'6,1,11 PLAQUETAS'!$A$1:$I$54</definedName>
    <definedName name="Z_93F324B6_F965_4669_93FF_DBB148734A46_.wvu.PrintArea" localSheetId="126" hidden="1">'6,1,15 Bordillos ducha y aseo'!$A$1:$I$54</definedName>
    <definedName name="Z_93F324B6_F965_4669_93FF_DBB148734A46_.wvu.PrintArea" localSheetId="121" hidden="1">'6,1,2 Dinteles'!$A$1:$I$54</definedName>
    <definedName name="Z_93F324B6_F965_4669_93FF_DBB148734A46_.wvu.PrintArea" localSheetId="122" hidden="1">'6,1,3 Remates sobre mamposteria'!$A$1:$I$54</definedName>
    <definedName name="Z_93F324B6_F965_4669_93FF_DBB148734A46_.wvu.PrintArea" localSheetId="127" hidden="1">'6,2,1 Mesones en concreto'!$A$1:$I$54</definedName>
    <definedName name="Z_93F324B6_F965_4669_93FF_DBB148734A46_.wvu.PrintArea" localSheetId="128" hidden="1">'6,2,3 Mesones laboratorios'!$A$1:$I$54</definedName>
    <definedName name="Z_93F324B6_F965_4669_93FF_DBB148734A46_.wvu.PrintArea" localSheetId="129" hidden="1">'6,2,5 Bancas Concreto'!$A$1:$I$54</definedName>
    <definedName name="Z_93F324B6_F965_4669_93FF_DBB148734A46_.wvu.PrintArea" localSheetId="130" hidden="1">'6,2,8 Alfajias 2'!$A$1:$I$54</definedName>
    <definedName name="Z_93F324B6_F965_4669_93FF_DBB148734A46_.wvu.PrintArea" localSheetId="123" hidden="1">'6.1.8 Pergolas'!$A$1:$I$54</definedName>
    <definedName name="Z_93F324B6_F965_4669_93FF_DBB148734A46_.wvu.PrintArea" localSheetId="131" hidden="1">'7,1,1,1 Acometida PVC-P 2"'!$A$1:$I$55</definedName>
    <definedName name="Z_93F324B6_F965_4669_93FF_DBB148734A46_.wvu.PrintArea" localSheetId="132" hidden="1">'7,1,1,2 Accesorio PVC-P 2" '!$A$1:$I$55</definedName>
    <definedName name="Z_93F324B6_F965_4669_93FF_DBB148734A46_.wvu.PrintArea" localSheetId="168" hidden="1">'7,1,10,2 Pto 3"'!$A$1:$I$54</definedName>
    <definedName name="Z_93F324B6_F965_4669_93FF_DBB148734A46_.wvu.PrintArea" localSheetId="169" hidden="1">'7,1,10,2 Punto Vent 3"'!$A$1:$I$54</definedName>
    <definedName name="Z_93F324B6_F965_4669_93FF_DBB148734A46_.wvu.PrintArea" localSheetId="170" hidden="1">'7,1,11,4"'!$A$1:$I$54</definedName>
    <definedName name="Z_93F324B6_F965_4669_93FF_DBB148734A46_.wvu.PrintArea" localSheetId="171" hidden="1">'7,1,11,5 Bajante PVC '!$A$1:$I$54</definedName>
    <definedName name="Z_93F324B6_F965_4669_93FF_DBB148734A46_.wvu.PrintArea" localSheetId="172" hidden="1">'7,1,11,6 Accesorios PVC'!$A$1:$I$54</definedName>
    <definedName name="Z_93F324B6_F965_4669_93FF_DBB148734A46_.wvu.PrintArea" localSheetId="173" hidden="1">'7,1,12,1 Instalaciòn Lavamanos'!$A$1:$I$55</definedName>
    <definedName name="Z_93F324B6_F965_4669_93FF_DBB148734A46_.wvu.PrintArea" localSheetId="174" hidden="1">'7,1,12,2 Instalaciòn Sanitario '!$A$1:$I$55</definedName>
    <definedName name="Z_93F324B6_F965_4669_93FF_DBB148734A46_.wvu.PrintArea" localSheetId="175" hidden="1">'7,1,12,8 Llave  Manguera 1.2 '!$A$1:$I$55</definedName>
    <definedName name="Z_93F324B6_F965_4669_93FF_DBB148734A46_.wvu.PrintArea" localSheetId="176" hidden="1">'7,1,12,9 Acoflex lav.sant.'!$A$1:$I$55</definedName>
    <definedName name="Z_93F324B6_F965_4669_93FF_DBB148734A46_.wvu.PrintArea" localSheetId="133" hidden="1">'7,1,3,1 Tuberia H.G. 1"cuarto '!$A$1:$I$55</definedName>
    <definedName name="Z_93F324B6_F965_4669_93FF_DBB148734A46_.wvu.PrintArea" localSheetId="134" hidden="1">'7,1,3,2  Accesorio H.G.1"cuarto'!$A$1:$I$55</definedName>
    <definedName name="Z_93F324B6_F965_4669_93FF_DBB148734A46_.wvu.PrintArea" localSheetId="135" hidden="1">'7,1,3,3  Registro R. W. 1"'!$A$1:$I$55</definedName>
    <definedName name="Z_93F324B6_F965_4669_93FF_DBB148734A46_.wvu.PrintArea" localSheetId="136" hidden="1">'7,1,3,4  Cheque Helber 1"'!$A$1:$I$55</definedName>
    <definedName name="Z_93F324B6_F965_4669_93FF_DBB148734A46_.wvu.PrintArea" localSheetId="137" hidden="1">'7,1,4,1 Tuberia H.G. 1 1.2"'!$A$1:$I$55</definedName>
    <definedName name="Z_93F324B6_F965_4669_93FF_DBB148734A46_.wvu.PrintArea" localSheetId="138" hidden="1">'7,1,4,2  Accesorio H.G.1 1.2"'!$A$1:$I$55</definedName>
    <definedName name="Z_93F324B6_F965_4669_93FF_DBB148734A46_.wvu.PrintArea" localSheetId="139" hidden="1">'7,1,4,3  Registro R. W. 1. 1.2"'!$A$1:$I$55</definedName>
    <definedName name="Z_93F324B6_F965_4669_93FF_DBB148734A46_.wvu.PrintArea" localSheetId="140" hidden="1">'7,1,4,4  Cheque  Helber 1 1.2"'!$A$1:$I$55</definedName>
    <definedName name="Z_93F324B6_F965_4669_93FF_DBB148734A46_.wvu.PrintArea" localSheetId="141" hidden="1">'7,1,5,4 Registro 114'!$A$1:$I$55</definedName>
    <definedName name="Z_93F324B6_F965_4669_93FF_DBB148734A46_.wvu.PrintArea" localSheetId="142" hidden="1">'7,1,5,5 Registro 1 12'!$A$1:$I$55</definedName>
    <definedName name="Z_93F324B6_F965_4669_93FF_DBB148734A46_.wvu.PrintArea" localSheetId="143" hidden="1">'7,1,5,6 Registro 2 '!$A$1:$I$55</definedName>
    <definedName name="Z_93F324B6_F965_4669_93FF_DBB148734A46_.wvu.PrintArea" localSheetId="149" hidden="1">'7,1,6,10 Accesorio UZ  2"'!$A$1:$I$55</definedName>
    <definedName name="Z_93F324B6_F965_4669_93FF_DBB148734A46_.wvu.PrintArea" localSheetId="150" hidden="1">'7,1,6,11 Accesorio UZ 3"'!$A$1:$I$55</definedName>
    <definedName name="Z_93F324B6_F965_4669_93FF_DBB148734A46_.wvu.PrintArea" localSheetId="144" hidden="1">'7,1,6,4 Acometida 1 14'!$A$1:$I$55</definedName>
    <definedName name="Z_93F324B6_F965_4669_93FF_DBB148734A46_.wvu.PrintArea" localSheetId="145" hidden="1">'7,1,6,6 Acometida 2'!$A$1:$I$55</definedName>
    <definedName name="Z_93F324B6_F965_4669_93FF_DBB148734A46_.wvu.PrintArea" localSheetId="146" hidden="1">'7,1,6,7 Tubo UZ 2"'!$A$1:$I$55</definedName>
    <definedName name="Z_93F324B6_F965_4669_93FF_DBB148734A46_.wvu.PrintArea" localSheetId="147" hidden="1">'7,1,6,8 Acometida 1 12'!$A$1:$I$55</definedName>
    <definedName name="Z_93F324B6_F965_4669_93FF_DBB148734A46_.wvu.PrintArea" localSheetId="148" hidden="1">'7,1,6,9 Tuberia UZ 3"'!$A$1:$I$55</definedName>
    <definedName name="Z_93F324B6_F965_4669_93FF_DBB148734A46_.wvu.PrintArea" localSheetId="151" hidden="1">'7,1,7,1 Tuberia H.G. 1.2"'!$A$1:$I$55</definedName>
    <definedName name="Z_93F324B6_F965_4669_93FF_DBB148734A46_.wvu.PrintArea" localSheetId="152" hidden="1">'7,1,7,2  Accesorio H.G.1.2"'!$A$1:$I$55</definedName>
    <definedName name="Z_93F324B6_F965_4669_93FF_DBB148734A46_.wvu.PrintArea" localSheetId="153" hidden="1">'7,1,7,3 Registro Corte 1.2" '!$A$1:$I$55</definedName>
    <definedName name="Z_93F324B6_F965_4669_93FF_DBB148734A46_.wvu.PrintArea" localSheetId="154" hidden="1">'7,1,7,4 Registro 1.2"'!$A$1:$I$55</definedName>
    <definedName name="Z_93F324B6_F965_4669_93FF_DBB148734A46_.wvu.PrintArea" localSheetId="155" hidden="1">'7,1,7,5 Caja para medidor'!$A$1:$I$55</definedName>
    <definedName name="Z_93F324B6_F965_4669_93FF_DBB148734A46_.wvu.PrintArea" localSheetId="163" hidden="1">'7,1,8,10  Tapòn H.G.1.2"'!$A$1:$I$54</definedName>
    <definedName name="Z_93F324B6_F965_4669_93FF_DBB148734A46_.wvu.PrintArea" localSheetId="164" hidden="1">'7,1,8,11  Tapòn P.V.C.1.2" '!$A$1:$I$54</definedName>
    <definedName name="Z_93F324B6_F965_4669_93FF_DBB148734A46_.wvu.PrintArea" localSheetId="165" hidden="1">'7,1,8,12  Camara aire H.G.1.2"'!$A$1:$I$54</definedName>
    <definedName name="Z_93F324B6_F965_4669_93FF_DBB148734A46_.wvu.PrintArea" localSheetId="166" hidden="1">'7,1,8,13  Camara aire P.V.C.P '!$A$1:$I$54</definedName>
    <definedName name="Z_93F324B6_F965_4669_93FF_DBB148734A46_.wvu.PrintArea" localSheetId="156" hidden="1">'7,1,8,2 Punto  Agua Fria 1 1.2"'!$A$1:$I$55</definedName>
    <definedName name="Z_93F324B6_F965_4669_93FF_DBB148734A46_.wvu.PrintArea" localSheetId="157" hidden="1">'7,1,8,3 P Agua Fria Sanitarios'!$A$1:$I$56</definedName>
    <definedName name="Z_93F324B6_F965_4669_93FF_DBB148734A46_.wvu.PrintArea" localSheetId="158" hidden="1">'7,1,8,4 P Agua Fria Orinales'!$A$1:$I$56</definedName>
    <definedName name="Z_93F324B6_F965_4669_93FF_DBB148734A46_.wvu.PrintArea" localSheetId="159" hidden="1">'7,1,8,5 P Agua Fria pocetas lab'!$A$1:$I$56</definedName>
    <definedName name="Z_93F324B6_F965_4669_93FF_DBB148734A46_.wvu.PrintArea" localSheetId="160" hidden="1">'7,1,8,6 P Agua Fria Ducha'!$A$1:$I$56</definedName>
    <definedName name="Z_93F324B6_F965_4669_93FF_DBB148734A46_.wvu.PrintArea" localSheetId="161" hidden="1">'7,1,8,7 P Agua Fria Pocetas'!$A$1:$I$55</definedName>
    <definedName name="Z_93F324B6_F965_4669_93FF_DBB148734A46_.wvu.PrintArea" localSheetId="162" hidden="1">'7,1,8,8 Llave  Manguera 1.2"'!$A$1:$I$55</definedName>
    <definedName name="Z_93F324B6_F965_4669_93FF_DBB148734A46_.wvu.PrintArea" localSheetId="167" hidden="1">'7,1,9,5  P Sifòn PVC-S 4"'!$A$1:$I$55</definedName>
    <definedName name="Z_93F324B6_F965_4669_93FF_DBB148734A46_.wvu.PrintArea" localSheetId="177" hidden="1">'7,2,1,1 Punto de gas'!$A$1:$I$54</definedName>
    <definedName name="Z_93F324B6_F965_4669_93FF_DBB148734A46_.wvu.PrintArea" localSheetId="178" hidden="1">'7,2,1,2 Preinstalación gas'!$A$1:$I$54</definedName>
    <definedName name="Z_93F324B6_F965_4669_93FF_DBB148734A46_.wvu.PrintArea" localSheetId="179" hidden="1">'7,2,1,3 Tuberia  tipo L 1.2"'!$A$1:$I$54</definedName>
    <definedName name="Z_93F324B6_F965_4669_93FF_DBB148734A46_.wvu.PrintArea" localSheetId="180" hidden="1">'7,2,1,4 Tuberia  tipo L 1"'!$A$1:$I$54</definedName>
    <definedName name="Z_93F324B6_F965_4669_93FF_DBB148734A46_.wvu.PrintArea" localSheetId="181" hidden="1">'7,2,1,5  Registro bola 1" '!$A$1:$I$53</definedName>
    <definedName name="Z_93F324B6_F965_4669_93FF_DBB148734A46_.wvu.PrintArea" localSheetId="182" hidden="1">'7,2,1,7  Rejilla vent. plastica'!$A$1:$I$55</definedName>
    <definedName name="Z_93F324B6_F965_4669_93FF_DBB148734A46_.wvu.PrintArea" localSheetId="184" hidden="1">'8,10'!$A$1:$I$57</definedName>
    <definedName name="Z_93F324B6_F965_4669_93FF_DBB148734A46_.wvu.PrintArea" localSheetId="185" hidden="1">'8,11'!$A$1:$I$57</definedName>
    <definedName name="Z_93F324B6_F965_4669_93FF_DBB148734A46_.wvu.PrintArea" localSheetId="186" hidden="1">'8,12'!$A$1:$I$57</definedName>
    <definedName name="Z_93F324B6_F965_4669_93FF_DBB148734A46_.wvu.PrintArea" localSheetId="187" hidden="1">'8,13'!$A$1:$I$57</definedName>
    <definedName name="Z_93F324B6_F965_4669_93FF_DBB148734A46_.wvu.PrintArea" localSheetId="188" hidden="1">'8,14'!$A$1:$I$57</definedName>
    <definedName name="Z_93F324B6_F965_4669_93FF_DBB148734A46_.wvu.PrintArea" localSheetId="189" hidden="1">'8,15'!$A$1:$I$57</definedName>
    <definedName name="Z_93F324B6_F965_4669_93FF_DBB148734A46_.wvu.PrintArea" localSheetId="190" hidden="1">'8,16'!$A$1:$I$57</definedName>
    <definedName name="Z_93F324B6_F965_4669_93FF_DBB148734A46_.wvu.PrintArea" localSheetId="191" hidden="1">'8,19'!$A$1:$I$57</definedName>
    <definedName name="Z_93F324B6_F965_4669_93FF_DBB148734A46_.wvu.PrintArea" localSheetId="192" hidden="1">'8,20'!$A$1:$I$57</definedName>
    <definedName name="Z_93F324B6_F965_4669_93FF_DBB148734A46_.wvu.PrintArea" localSheetId="193" hidden="1">'8,21'!$A$1:$I$57</definedName>
    <definedName name="Z_93F324B6_F965_4669_93FF_DBB148734A46_.wvu.PrintArea" localSheetId="194" hidden="1">'8,22'!$A$1:$I$57</definedName>
    <definedName name="Z_93F324B6_F965_4669_93FF_DBB148734A46_.wvu.PrintArea" localSheetId="195" hidden="1">'8,23'!$A$1:$I$57</definedName>
    <definedName name="Z_93F324B6_F965_4669_93FF_DBB148734A46_.wvu.PrintArea" localSheetId="196" hidden="1">'8,24'!$A$1:$I$57</definedName>
    <definedName name="Z_93F324B6_F965_4669_93FF_DBB148734A46_.wvu.PrintArea" localSheetId="197" hidden="1">'8,25'!$A$1:$I$57</definedName>
    <definedName name="Z_93F324B6_F965_4669_93FF_DBB148734A46_.wvu.PrintArea" localSheetId="198" hidden="1">'8,26'!$A$1:$I$57</definedName>
    <definedName name="Z_93F324B6_F965_4669_93FF_DBB148734A46_.wvu.PrintArea" localSheetId="199" hidden="1">'8,27'!$A$1:$I$57</definedName>
    <definedName name="Z_93F324B6_F965_4669_93FF_DBB148734A46_.wvu.PrintArea" localSheetId="200" hidden="1">'8,28'!$A$1:$I$57</definedName>
    <definedName name="Z_93F324B6_F965_4669_93FF_DBB148734A46_.wvu.PrintArea" localSheetId="201" hidden="1">'8,29'!$A$1:$I$57</definedName>
    <definedName name="Z_93F324B6_F965_4669_93FF_DBB148734A46_.wvu.PrintArea" localSheetId="202" hidden="1">'8,30'!$A$1:$I$57</definedName>
    <definedName name="Z_93F324B6_F965_4669_93FF_DBB148734A46_.wvu.PrintArea" localSheetId="203" hidden="1">'8,31'!$A$1:$I$57</definedName>
    <definedName name="Z_93F324B6_F965_4669_93FF_DBB148734A46_.wvu.PrintArea" localSheetId="204" hidden="1">'8,32'!$A$1:$I$57</definedName>
    <definedName name="Z_93F324B6_F965_4669_93FF_DBB148734A46_.wvu.PrintArea" localSheetId="205" hidden="1">'8,33'!$A$1:$I$57</definedName>
    <definedName name="Z_93F324B6_F965_4669_93FF_DBB148734A46_.wvu.PrintArea" localSheetId="206" hidden="1">'8,34'!$A$1:$I$57</definedName>
    <definedName name="Z_93F324B6_F965_4669_93FF_DBB148734A46_.wvu.PrintArea" localSheetId="207" hidden="1">'8,35'!$A$1:$I$57</definedName>
    <definedName name="Z_93F324B6_F965_4669_93FF_DBB148734A46_.wvu.PrintArea" localSheetId="208" hidden="1">'8,36'!$A$1:$I$57</definedName>
    <definedName name="Z_93F324B6_F965_4669_93FF_DBB148734A46_.wvu.PrintArea" localSheetId="209" hidden="1">'8,37'!$A$1:$I$57</definedName>
    <definedName name="Z_93F324B6_F965_4669_93FF_DBB148734A46_.wvu.PrintArea" localSheetId="210" hidden="1">'8,38'!$A$1:$I$57</definedName>
    <definedName name="Z_93F324B6_F965_4669_93FF_DBB148734A46_.wvu.PrintArea" localSheetId="211" hidden="1">'8,40'!$A$1:$I$57</definedName>
    <definedName name="Z_93F324B6_F965_4669_93FF_DBB148734A46_.wvu.PrintArea" localSheetId="212" hidden="1">'8,43'!$A$1:$I$57</definedName>
    <definedName name="Z_93F324B6_F965_4669_93FF_DBB148734A46_.wvu.PrintArea" localSheetId="213" hidden="1">'8,44'!$A$1:$I$57</definedName>
    <definedName name="Z_93F324B6_F965_4669_93FF_DBB148734A46_.wvu.PrintArea" localSheetId="214" hidden="1">'8,45'!$A$1:$I$57</definedName>
    <definedName name="Z_93F324B6_F965_4669_93FF_DBB148734A46_.wvu.PrintArea" localSheetId="215" hidden="1">'8,46'!$A$1:$I$57</definedName>
    <definedName name="Z_93F324B6_F965_4669_93FF_DBB148734A46_.wvu.PrintArea" localSheetId="216" hidden="1">'8,47'!$A$1:$I$57</definedName>
    <definedName name="Z_93F324B6_F965_4669_93FF_DBB148734A46_.wvu.PrintArea" localSheetId="183" hidden="1">'8,5'!$A$1:$I$57</definedName>
    <definedName name="Z_93F324B6_F965_4669_93FF_DBB148734A46_.wvu.PrintArea" localSheetId="217" hidden="1">'8,51'!$A$1:$I$57</definedName>
    <definedName name="Z_93F324B6_F965_4669_93FF_DBB148734A46_.wvu.PrintArea" localSheetId="218" hidden="1">'8,52'!$A$1:$I$57</definedName>
    <definedName name="Z_93F324B6_F965_4669_93FF_DBB148734A46_.wvu.PrintArea" localSheetId="219" hidden="1">'8,56'!$A$1:$I$57</definedName>
    <definedName name="Z_93F324B6_F965_4669_93FF_DBB148734A46_.wvu.PrintArea" localSheetId="220" hidden="1">'8,57'!$A$1:$I$57</definedName>
    <definedName name="Z_93F324B6_F965_4669_93FF_DBB148734A46_.wvu.PrintArea" localSheetId="221" hidden="1">'8,58'!$A$1:$I$57</definedName>
    <definedName name="Z_93F324B6_F965_4669_93FF_DBB148734A46_.wvu.PrintArea" localSheetId="222" hidden="1">'8,61'!$A$1:$I$57</definedName>
    <definedName name="Z_93F324B6_F965_4669_93FF_DBB148734A46_.wvu.PrintArea" localSheetId="223" hidden="1">'8,62'!$A$1:$I$57</definedName>
    <definedName name="Z_93F324B6_F965_4669_93FF_DBB148734A46_.wvu.PrintArea" localSheetId="224" hidden="1">'8,64'!$A$1:$I$57</definedName>
    <definedName name="Z_93F324B6_F965_4669_93FF_DBB148734A46_.wvu.PrintArea" localSheetId="225" hidden="1">'8,65'!$A$1:$I$57</definedName>
    <definedName name="Z_93F324B6_F965_4669_93FF_DBB148734A46_.wvu.PrintArea" localSheetId="226" hidden="1">'8,66'!$A$1:$I$57</definedName>
    <definedName name="Z_93F324B6_F965_4669_93FF_DBB148734A46_.wvu.PrintArea" localSheetId="227" hidden="1">'8,67'!$A$1:$I$57</definedName>
    <definedName name="Z_93F324B6_F965_4669_93FF_DBB148734A46_.wvu.PrintArea" localSheetId="228" hidden="1">'8,69'!$A$1:$I$57</definedName>
    <definedName name="Z_93F324B6_F965_4669_93FF_DBB148734A46_.wvu.PrintArea" localSheetId="229" hidden="1">'8,70'!$A$1:$I$57</definedName>
    <definedName name="Z_93F324B6_F965_4669_93FF_DBB148734A46_.wvu.PrintArea" localSheetId="230" hidden="1">'8,71'!$A$1:$I$57</definedName>
    <definedName name="Z_93F324B6_F965_4669_93FF_DBB148734A46_.wvu.PrintArea" localSheetId="231" hidden="1">'8,72'!$A$1:$I$57</definedName>
    <definedName name="Z_93F324B6_F965_4669_93FF_DBB148734A46_.wvu.PrintArea" localSheetId="232" hidden="1">'8,73'!$A$1:$I$57</definedName>
    <definedName name="Z_93F324B6_F965_4669_93FF_DBB148734A46_.wvu.PrintArea" localSheetId="233" hidden="1">'8,77'!$A$1:$I$57</definedName>
    <definedName name="Z_93F324B6_F965_4669_93FF_DBB148734A46_.wvu.PrintArea" localSheetId="234" hidden="1">'8,78'!$A$1:$I$57</definedName>
    <definedName name="Z_93F324B6_F965_4669_93FF_DBB148734A46_.wvu.PrintArea" localSheetId="235" hidden="1">'8,79'!$A$1:$I$57</definedName>
    <definedName name="Z_93F324B6_F965_4669_93FF_DBB148734A46_.wvu.PrintArea" localSheetId="236" hidden="1">'8,80'!$A$1:$I$57</definedName>
    <definedName name="Z_93F324B6_F965_4669_93FF_DBB148734A46_.wvu.PrintArea" localSheetId="237" hidden="1">'8,82'!$A$1:$I$57</definedName>
    <definedName name="Z_93F324B6_F965_4669_93FF_DBB148734A46_.wvu.PrintArea" localSheetId="238" hidden="1">'8,83'!$A$1:$I$57</definedName>
    <definedName name="Z_93F324B6_F965_4669_93FF_DBB148734A46_.wvu.PrintArea" localSheetId="239" hidden="1">'8,85'!$A$1:$I$57</definedName>
    <definedName name="Z_93F324B6_F965_4669_93FF_DBB148734A46_.wvu.PrintArea" localSheetId="240" hidden="1">'8,86'!$A$1:$I$57</definedName>
    <definedName name="Z_93F324B6_F965_4669_93FF_DBB148734A46_.wvu.PrintArea" localSheetId="241" hidden="1">'8,87'!$A$1:$I$57</definedName>
    <definedName name="Z_93F324B6_F965_4669_93FF_DBB148734A46_.wvu.PrintArea" localSheetId="4" hidden="1">COMPONENTES2!$A$1:$T$861</definedName>
    <definedName name="Z_93F324B6_F965_4669_93FF_DBB148734A46_.wvu.PrintArea" localSheetId="19" hidden="1">'Concr 2,000'!$A$1:$I$54</definedName>
    <definedName name="Z_93F324B6_F965_4669_93FF_DBB148734A46_.wvu.PrintArea" localSheetId="20" hidden="1">'Concr 2,500'!$A$1:$I$54</definedName>
    <definedName name="Z_93F324B6_F965_4669_93FF_DBB148734A46_.wvu.PrintArea" localSheetId="21" hidden="1">'Concr 3,000'!$A$1:$I$54</definedName>
    <definedName name="Z_93F324B6_F965_4669_93FF_DBB148734A46_.wvu.PrintArea" localSheetId="22" hidden="1">'Concr 3,500'!$A$1:$I$54</definedName>
    <definedName name="Z_93F324B6_F965_4669_93FF_DBB148734A46_.wvu.PrintArea" localSheetId="23" hidden="1">'Concr 4,000 '!$A$1:$I$54</definedName>
    <definedName name="Z_93F324B6_F965_4669_93FF_DBB148734A46_.wvu.PrintArea" localSheetId="11" hidden="1">'Cuadro Resumen (2)'!$A$1:$G$45</definedName>
    <definedName name="Z_93F324B6_F965_4669_93FF_DBB148734A46_.wvu.PrintArea" localSheetId="0" hidden="1">'Datos entrada'!$A$1:$R$19</definedName>
    <definedName name="Z_93F324B6_F965_4669_93FF_DBB148734A46_.wvu.PrintArea" localSheetId="3" hidden="1">Equ!$A$1:$F$62</definedName>
    <definedName name="Z_93F324B6_F965_4669_93FF_DBB148734A46_.wvu.PrintArea" localSheetId="29" hidden="1">'Granito pulido '!$A$1:$I$54</definedName>
    <definedName name="Z_93F324B6_F965_4669_93FF_DBB148734A46_.wvu.PrintArea" localSheetId="12" hidden="1">'Hoja Base'!$A$1:$I$58</definedName>
    <definedName name="Z_93F324B6_F965_4669_93FF_DBB148734A46_.wvu.PrintArea" localSheetId="5" hidden="1">'INSUMOS 1'!$A$1:$AC$861</definedName>
    <definedName name="Z_93F324B6_F965_4669_93FF_DBB148734A46_.wvu.PrintArea" localSheetId="30" hidden="1">'Marcos puerta'!$A$1:$I$54</definedName>
    <definedName name="Z_93F324B6_F965_4669_93FF_DBB148734A46_.wvu.PrintArea" localSheetId="31" hidden="1">'Marcos ventana'!$A$1:$I$54</definedName>
    <definedName name="Z_93F324B6_F965_4669_93FF_DBB148734A46_.wvu.PrintArea" localSheetId="13" hidden="1">'Mort 1-3'!$A$1:$I$55</definedName>
    <definedName name="Z_93F324B6_F965_4669_93FF_DBB148734A46_.wvu.PrintArea" localSheetId="14" hidden="1">'Mort 1-3 Imper'!$A$1:$I$54</definedName>
    <definedName name="Z_93F324B6_F965_4669_93FF_DBB148734A46_.wvu.PrintArea" localSheetId="15" hidden="1">'Mort 1-4'!$A$1:$I$54</definedName>
    <definedName name="Z_93F324B6_F965_4669_93FF_DBB148734A46_.wvu.PrintArea" localSheetId="16" hidden="1">'Mort 1-4 Imper'!$A$1:$I$54</definedName>
    <definedName name="Z_93F324B6_F965_4669_93FF_DBB148734A46_.wvu.PrintArea" localSheetId="17" hidden="1">'Mort 1-5'!$A$1:$I$54</definedName>
    <definedName name="Z_93F324B6_F965_4669_93FF_DBB148734A46_.wvu.PrintArea" localSheetId="18" hidden="1">'Mort 1-7'!$A$1:$I$54</definedName>
    <definedName name="Z_93F324B6_F965_4669_93FF_DBB148734A46_.wvu.PrintArea" localSheetId="8" hidden="1">OBRA!$A$1:$G$82</definedName>
    <definedName name="Z_93F324B6_F965_4669_93FF_DBB148734A46_.wvu.PrintArea" localSheetId="27" hidden="1">'P Agua Fria'!$A$1:$I$54</definedName>
    <definedName name="Z_93F324B6_F965_4669_93FF_DBB148734A46_.wvu.PrintArea" localSheetId="26" hidden="1">'P Eléctrico'!$A$1:$I$54</definedName>
    <definedName name="Z_93F324B6_F965_4669_93FF_DBB148734A46_.wvu.PrintArea" localSheetId="28" hidden="1">'P Sanitario'!$A$1:$I$56</definedName>
    <definedName name="Z_93F324B6_F965_4669_93FF_DBB148734A46_.wvu.PrintArea" localSheetId="303" hidden="1">'Pasamanos '!$A$1:$I$54</definedName>
    <definedName name="Z_93F324B6_F965_4669_93FF_DBB148734A46_.wvu.PrintArea" localSheetId="7" hidden="1">SUMINISTRO!$A$1:$G$28</definedName>
    <definedName name="Z_93F324B6_F965_4669_93FF_DBB148734A46_.wvu.PrintArea" localSheetId="6" hidden="1">Trans!$A$1:$I$28</definedName>
    <definedName name="Z_93F324B6_F965_4669_93FF_DBB148734A46_.wvu.PrintTitles" localSheetId="4" hidden="1">COMPONENTES2!$1:$9</definedName>
    <definedName name="Z_93F324B6_F965_4669_93FF_DBB148734A46_.wvu.PrintTitles" localSheetId="5" hidden="1">'INSUMOS 1'!$1:$9</definedName>
    <definedName name="Z_93F324B6_F965_4669_93FF_DBB148734A46_.wvu.PrintTitles" localSheetId="8" hidden="1">OBRA!$1:$6</definedName>
    <definedName name="Z_93F324B6_F965_4669_93FF_DBB148734A46_.wvu.PrintTitles" localSheetId="7" hidden="1">SUMINISTRO!$1:$6</definedName>
    <definedName name="Z_93F324B6_F965_4669_93FF_DBB148734A46_.wvu.Rows" localSheetId="246" hidden="1">'10,2,2,3 Piso tablòn ges 0,30 '!$8:$9,'10,2,2,3 Piso tablòn ges 0,30 '!$24:$24</definedName>
    <definedName name="Z_93F324B6_F965_4669_93FF_DBB148734A46_.wvu.Rows" localSheetId="248" hidden="1">'10,3,1,1 Tablòn cuarto 26'!$8:$9,'10,3,1,1 Tablòn cuarto 26'!$24:$24</definedName>
    <definedName name="Z_93F324B6_F965_4669_93FF_DBB148734A46_.wvu.Rows" localSheetId="95" hidden="1">'5,1,7 camara 6,20&lt;=h&lt;7,20'!$15:$16</definedName>
    <definedName name="Z_93F324B6_F965_4669_93FF_DBB148734A46_.wvu.Rows" localSheetId="10" hidden="1">'ANALISIS DE AIU'!$4:$6,'ANALISIS DE AIU'!$17:$17,'ANALISIS DE AIU'!$21:$21</definedName>
    <definedName name="Z_93F324B6_F965_4669_93FF_DBB148734A46_.wvu.Rows" localSheetId="4" hidden="1">COMPONENTES2!$13:$13,COMPONENTES2!$18:$40,COMPONENTES2!$46:$48,COMPONENTES2!$50:$52,COMPONENTES2!$57:$57,COMPONENTES2!$60:$67,COMPONENTES2!$69:$70,COMPONENTES2!$75:$79,COMPONENTES2!$83:$83,COMPONENTES2!$85:$88,COMPONENTES2!$92:$121,COMPONENTES2!$126:$127,COMPONENTES2!$131:$131,COMPONENTES2!$135:$135,COMPONENTES2!$137:$139,COMPONENTES2!$141:$141,COMPONENTES2!$144:$146,COMPONENTES2!$152:$158,COMPONENTES2!$160:$162,COMPONENTES2!$165:$170,COMPONENTES2!$174:$174,COMPONENTES2!$176:$177,COMPONENTES2!$179:$180,COMPONENTES2!$183:$183,COMPONENTES2!$185:$193,COMPONENTES2!$200:$200,COMPONENTES2!$202:$203,COMPONENTES2!$208:$214,COMPONENTES2!$217:$223,COMPONENTES2!$226:$226,COMPONENTES2!$229:$241,COMPONENTES2!$246:$249,COMPONENTES2!$251:$251,COMPONENTES2!$253:$255,COMPONENTES2!$258:$260,COMPONENTES2!$262:$263,COMPONENTES2!$265:$272,COMPONENTES2!$274:$274,COMPONENTES2!$277:$280,COMPONENTES2!$286:$286,COMPONENTES2!$289:$301,COMPONENTES2!$304:$315,COMPONENTES2!$320:$320,COMPONENTES2!$323:$323,COMPONENTES2!$325:$327,COMPONENTES2!$330:$330,COMPONENTES2!$334:$334,COMPONENTES2!$339:$340,COMPONENTES2!$342:$351,COMPONENTES2!$355:$355,COMPONENTES2!$362:$364,COMPONENTES2!$366:$373,COMPONENTES2!$380:$380,COMPONENTES2!$385:$391,COMPONENTES2!$394:$413,COMPONENTES2!$415:$415,COMPONENTES2!$418:$422,COMPONENTES2!$426:$427,COMPONENTES2!$431:$433,COMPONENTES2!$436:$437,COMPONENTES2!$439:$442,COMPONENTES2!$444:$448,COMPONENTES2!$452:$455,COMPONENTES2!$457:$458,COMPONENTES2!$460:$462,COMPONENTES2!$474:$474,COMPONENTES2!$477:$479,COMPONENTES2!$484:$487,COMPONENTES2!$490:$501,COMPONENTES2!$504:$513,COMPONENTES2!$515:$516,COMPONENTES2!$519:$522,COMPONENTES2!$524:$536,COMPONENTES2!$538:$539,COMPONENTES2!$541:$543,COMPONENTES2!$551:$552,COMPONENTES2!$554:$558,COMPONENTES2!$560:$560,COMPONENTES2!$562:$569,COMPONENTES2!$573:$573,COMPONENTES2!$575:$575,COMPONENTES2!$578:$578,COMPONENTES2!$583:$583,COMPONENTES2!$585:$585,COMPONENTES2!$588:$588,COMPONENTES2!$590:$590,COMPONENTES2!$592:$601,COMPONENTES2!$603:$603,COMPONENTES2!$606:$625,COMPONENTES2!$627:$645,COMPONENTES2!$650:$662,COMPONENTES2!$666:$667,COMPONENTES2!$669:$690,COMPONENTES2!$694:$695,COMPONENTES2!$699:$699,COMPONENTES2!$703:$703,COMPONENTES2!$706:$710,COMPONENTES2!$713:$713,COMPONENTES2!$715:$725,COMPONENTES2!$730:$730,COMPONENTES2!$732:$755,COMPONENTES2!$760:$767,COMPONENTES2!$771:$773,COMPONENTES2!$777:$777,COMPONENTES2!$779:$780,COMPONENTES2!$785:$808,COMPONENTES2!$812:$812,COMPONENTES2!$814:$822,COMPONENTES2!$826:$827,COMPONENTES2!$829:$838,COMPONENTES2!$857:$857</definedName>
    <definedName name="Z_93F324B6_F965_4669_93FF_DBB148734A46_.wvu.Rows" localSheetId="5" hidden="1">'INSUMOS 1'!$13:$13,'INSUMOS 1'!$18:$40,'INSUMOS 1'!$46:$48,'INSUMOS 1'!$50:$52,'INSUMOS 1'!$57:$57,'INSUMOS 1'!$60:$67,'INSUMOS 1'!$69:$70,'INSUMOS 1'!$75:$79,'INSUMOS 1'!$83:$83,'INSUMOS 1'!$85:$88,'INSUMOS 1'!$92:$121,'INSUMOS 1'!$126:$127,'INSUMOS 1'!$131:$131,'INSUMOS 1'!$135:$135,'INSUMOS 1'!$137:$139,'INSUMOS 1'!$141:$141,'INSUMOS 1'!$144:$146,'INSUMOS 1'!$152:$158,'INSUMOS 1'!$160:$162,'INSUMOS 1'!$165:$170,'INSUMOS 1'!$174:$174,'INSUMOS 1'!$176:$177,'INSUMOS 1'!$179:$180,'INSUMOS 1'!$183:$183,'INSUMOS 1'!$185:$193,'INSUMOS 1'!$200:$200,'INSUMOS 1'!$202:$203,'INSUMOS 1'!$208:$214,'INSUMOS 1'!$217:$223,'INSUMOS 1'!$226:$226,'INSUMOS 1'!$229:$241,'INSUMOS 1'!$246:$249,'INSUMOS 1'!$251:$251,'INSUMOS 1'!$253:$255,'INSUMOS 1'!$258:$260,'INSUMOS 1'!$262:$263,'INSUMOS 1'!$265:$272,'INSUMOS 1'!$274:$274,'INSUMOS 1'!$277:$280,'INSUMOS 1'!$286:$286,'INSUMOS 1'!$289:$301,'INSUMOS 1'!$304:$315,'INSUMOS 1'!$320:$320,'INSUMOS 1'!$323:$323,'INSUMOS 1'!$325:$327,'INSUMOS 1'!$330:$330,'INSUMOS 1'!$334:$334,'INSUMOS 1'!$339:$340,'INSUMOS 1'!$342:$351,'INSUMOS 1'!$355:$355,'INSUMOS 1'!$362:$364,'INSUMOS 1'!$366:$373,'INSUMOS 1'!$380:$380,'INSUMOS 1'!$385:$391,'INSUMOS 1'!$394:$413,'INSUMOS 1'!$415:$415,'INSUMOS 1'!$418:$422,'INSUMOS 1'!$426:$427,'INSUMOS 1'!$431:$433,'INSUMOS 1'!$436:$437,'INSUMOS 1'!$439:$442,'INSUMOS 1'!$444:$448,'INSUMOS 1'!$452:$455,'INSUMOS 1'!$457:$458,'INSUMOS 1'!$460:$462,'INSUMOS 1'!$474:$474,'INSUMOS 1'!$477:$479,'INSUMOS 1'!$484:$487,'INSUMOS 1'!$490:$501,'INSUMOS 1'!$504:$513,'INSUMOS 1'!$515:$516,'INSUMOS 1'!$519:$522,'INSUMOS 1'!$524:$536,'INSUMOS 1'!$538:$539,'INSUMOS 1'!$541:$543,'INSUMOS 1'!$551:$552,'INSUMOS 1'!$554:$558,'INSUMOS 1'!$560:$560,'INSUMOS 1'!$562:$569,'INSUMOS 1'!$573:$573,'INSUMOS 1'!$575:$575,'INSUMOS 1'!$578:$578,'INSUMOS 1'!$583:$583,'INSUMOS 1'!$585:$585,'INSUMOS 1'!$588:$588,'INSUMOS 1'!$590:$590,'INSUMOS 1'!$592:$601,'INSUMOS 1'!$603:$603,'INSUMOS 1'!$606:$625,'INSUMOS 1'!$627:$645,'INSUMOS 1'!$650:$662,'INSUMOS 1'!$666:$667,'INSUMOS 1'!$669:$690,'INSUMOS 1'!$694:$695,'INSUMOS 1'!$699:$699,'INSUMOS 1'!$703:$703,'INSUMOS 1'!$706:$710,'INSUMOS 1'!$713:$713,'INSUMOS 1'!$715:$725,'INSUMOS 1'!$730:$730,'INSUMOS 1'!$732:$755,'INSUMOS 1'!$760:$767,'INSUMOS 1'!$771:$773,'INSUMOS 1'!$777:$777,'INSUMOS 1'!$779:$780,'INSUMOS 1'!$785:$808,'INSUMOS 1'!$812:$812,'INSUMOS 1'!$814:$822,'INSUMOS 1'!$826:$827,'INSUMOS 1'!$857:$857</definedName>
    <definedName name="Z_93F324B6_F965_4669_93FF_DBB148734A46_.wvu.Rows" localSheetId="8" hidden="1">OBRA!#REF!,OBRA!#REF!,OBRA!#REF!,OBRA!#REF!,OBRA!#REF!,OBRA!#REF!,OBRA!$83:$83</definedName>
    <definedName name="Z_93F324B6_F965_4669_93FF_DBB148734A46_.wvu.Rows" localSheetId="7" hidden="1">SUMINISTRO!#REF!,SUMINISTRO!#REF!,SUMINISTRO!#REF!,SUMINISTRO!#REF!,SUMINISTRO!#REF!,SUMINISTRO!#REF!,SUMINISTRO!#REF!</definedName>
  </definedNames>
  <calcPr calcId="152511" concurrentCalc="0"/>
  <customWorkbookViews>
    <customWorkbookView name="G10" guid="{93F324B6-F965-4669-93FF-DBB148734A46}" maximized="1" xWindow="-8" yWindow="-8" windowWidth="1382" windowHeight="744" tabRatio="834" activeSheetId="725"/>
  </customWorkbookViews>
</workbook>
</file>

<file path=xl/calcChain.xml><?xml version="1.0" encoding="utf-8"?>
<calcChain xmlns="http://schemas.openxmlformats.org/spreadsheetml/2006/main">
  <c r="D19" i="27" l="1"/>
  <c r="N19" i="27"/>
  <c r="D13" i="27"/>
  <c r="C44" i="27"/>
  <c r="B14" i="27"/>
  <c r="D14" i="27"/>
  <c r="B11" i="24"/>
  <c r="D10" i="27"/>
  <c r="B44" i="27"/>
  <c r="B11" i="27"/>
  <c r="D11" i="27"/>
  <c r="F11" i="24"/>
  <c r="I30" i="24"/>
  <c r="H18" i="24"/>
  <c r="H21" i="24"/>
  <c r="H22" i="24"/>
  <c r="H23" i="24"/>
  <c r="H24" i="24"/>
  <c r="H25" i="24"/>
  <c r="H26" i="24"/>
  <c r="H27" i="24"/>
  <c r="H28" i="24"/>
  <c r="H29" i="24"/>
  <c r="H30" i="24"/>
  <c r="G30" i="24"/>
  <c r="E26" i="28"/>
  <c r="F26" i="28"/>
  <c r="K13" i="27"/>
  <c r="K14" i="27"/>
  <c r="B14" i="24"/>
  <c r="K10" i="27"/>
  <c r="K11" i="27"/>
  <c r="F14" i="24"/>
  <c r="I28" i="24"/>
  <c r="G28" i="24"/>
  <c r="E43" i="28"/>
  <c r="F43" i="28"/>
  <c r="E27" i="28"/>
  <c r="F27" i="28"/>
  <c r="I31" i="24"/>
  <c r="H31" i="24"/>
  <c r="G31" i="24"/>
  <c r="I29" i="24"/>
  <c r="G29" i="24"/>
  <c r="I24" i="24"/>
  <c r="G24" i="24"/>
  <c r="G33" i="24"/>
  <c r="E55" i="28"/>
  <c r="F55" i="28"/>
  <c r="E18" i="28"/>
  <c r="F18" i="28"/>
  <c r="E56" i="28"/>
  <c r="F56" i="28"/>
  <c r="E29" i="28"/>
  <c r="F29" i="28"/>
  <c r="H16" i="29"/>
  <c r="E54" i="28"/>
  <c r="F54" i="28"/>
  <c r="E62" i="28"/>
  <c r="F62" i="28"/>
  <c r="D34" i="28"/>
  <c r="E34" i="28"/>
  <c r="F34" i="28"/>
  <c r="E41" i="28"/>
  <c r="F41" i="28"/>
  <c r="I17" i="24"/>
  <c r="H17" i="24"/>
  <c r="G17" i="24"/>
  <c r="E16" i="28"/>
  <c r="F16" i="28"/>
  <c r="E14" i="28"/>
  <c r="F14" i="28"/>
  <c r="E13" i="27"/>
  <c r="E14" i="27"/>
  <c r="B12" i="24"/>
  <c r="E10" i="27"/>
  <c r="E11" i="27"/>
  <c r="F12" i="24"/>
  <c r="I26" i="24"/>
  <c r="G26" i="24"/>
  <c r="E17" i="28"/>
  <c r="F17" i="28"/>
  <c r="B4" i="41"/>
  <c r="H13" i="29"/>
  <c r="H14" i="29"/>
  <c r="H15" i="29"/>
  <c r="H17" i="29"/>
  <c r="H18" i="29"/>
  <c r="H19" i="29"/>
  <c r="H20" i="29"/>
  <c r="H21" i="29"/>
  <c r="K22" i="29"/>
  <c r="H22" i="29"/>
  <c r="H23" i="29"/>
  <c r="H24" i="29"/>
  <c r="A25" i="29"/>
  <c r="A65" i="28"/>
  <c r="A75" i="27"/>
  <c r="A44" i="24"/>
  <c r="A58" i="295"/>
  <c r="A58" i="25"/>
  <c r="A58" i="34"/>
  <c r="A58" i="30"/>
  <c r="A58" i="165"/>
  <c r="A58" i="155"/>
  <c r="A58" i="259"/>
  <c r="A58" i="225"/>
  <c r="A58" i="232"/>
  <c r="A59" i="98"/>
  <c r="E13" i="28"/>
  <c r="E15" i="28"/>
  <c r="E19" i="28"/>
  <c r="E20" i="28"/>
  <c r="E21" i="28"/>
  <c r="E22" i="28"/>
  <c r="E23" i="28"/>
  <c r="E24" i="28"/>
  <c r="E25" i="28"/>
  <c r="E28" i="28"/>
  <c r="E30" i="28"/>
  <c r="E31" i="28"/>
  <c r="E32" i="28"/>
  <c r="E33" i="28"/>
  <c r="E35" i="28"/>
  <c r="E36" i="28"/>
  <c r="E37" i="28"/>
  <c r="E38" i="28"/>
  <c r="E39" i="28"/>
  <c r="E40" i="28"/>
  <c r="E42" i="28"/>
  <c r="E44" i="28"/>
  <c r="E45" i="28"/>
  <c r="E46" i="28"/>
  <c r="E47" i="28"/>
  <c r="E48" i="28"/>
  <c r="E49" i="28"/>
  <c r="E50" i="28"/>
  <c r="E51" i="28"/>
  <c r="E52" i="28"/>
  <c r="E53" i="28"/>
  <c r="E57" i="28"/>
  <c r="F57" i="28"/>
  <c r="E58" i="28"/>
  <c r="F58" i="28"/>
  <c r="E59" i="28"/>
  <c r="F59" i="28"/>
  <c r="E60" i="28"/>
  <c r="F60" i="28"/>
  <c r="E61" i="28"/>
  <c r="F61" i="28"/>
  <c r="F26" i="688"/>
  <c r="H26" i="688"/>
  <c r="E63" i="28"/>
  <c r="F63" i="28"/>
  <c r="E12" i="28"/>
  <c r="B57" i="28"/>
  <c r="B58" i="28"/>
  <c r="B59" i="28"/>
  <c r="B60" i="28"/>
  <c r="B61" i="28"/>
  <c r="B62" i="28"/>
  <c r="B63" i="28"/>
  <c r="D9" i="24"/>
  <c r="B59" i="27"/>
  <c r="B73" i="27"/>
  <c r="D73" i="27"/>
  <c r="E8" i="355"/>
  <c r="E8" i="445"/>
  <c r="E8" i="356"/>
  <c r="E8" i="236"/>
  <c r="I6" i="236"/>
  <c r="B5" i="236"/>
  <c r="C5" i="236"/>
  <c r="I6" i="356"/>
  <c r="B5" i="356"/>
  <c r="C5" i="356"/>
  <c r="I6" i="445"/>
  <c r="B5" i="445"/>
  <c r="C5" i="445"/>
  <c r="I6" i="355"/>
  <c r="B5" i="355"/>
  <c r="C5" i="355"/>
  <c r="I6" i="734"/>
  <c r="B5" i="734"/>
  <c r="C5" i="734"/>
  <c r="P10" i="356"/>
  <c r="L9" i="356"/>
  <c r="L8" i="356"/>
  <c r="L10" i="356"/>
  <c r="L11" i="356"/>
  <c r="P11" i="445"/>
  <c r="L10" i="445"/>
  <c r="L9" i="445"/>
  <c r="P10" i="355"/>
  <c r="L9" i="355"/>
  <c r="L8" i="355"/>
  <c r="L10" i="355"/>
  <c r="L12" i="356"/>
  <c r="L13" i="356"/>
  <c r="D55" i="734"/>
  <c r="H49" i="734"/>
  <c r="D49" i="734"/>
  <c r="H48" i="734"/>
  <c r="D48" i="734"/>
  <c r="H47" i="734"/>
  <c r="D47" i="734"/>
  <c r="H46" i="734"/>
  <c r="D46" i="734"/>
  <c r="H40" i="734"/>
  <c r="F40" i="734"/>
  <c r="D40" i="734"/>
  <c r="H39" i="734"/>
  <c r="F39" i="734"/>
  <c r="D39" i="734"/>
  <c r="H37" i="734"/>
  <c r="F37" i="734"/>
  <c r="D37" i="734"/>
  <c r="H36" i="734"/>
  <c r="H35" i="734"/>
  <c r="I41" i="734"/>
  <c r="F36" i="734"/>
  <c r="D36" i="734"/>
  <c r="F35" i="734"/>
  <c r="D35" i="734"/>
  <c r="H29" i="734"/>
  <c r="H28" i="734"/>
  <c r="H27" i="734"/>
  <c r="H26" i="734"/>
  <c r="H25" i="734"/>
  <c r="H24" i="734"/>
  <c r="H18" i="734"/>
  <c r="H17" i="734"/>
  <c r="H16" i="734"/>
  <c r="H15" i="734"/>
  <c r="H14" i="734"/>
  <c r="H13" i="734"/>
  <c r="H12" i="734"/>
  <c r="H11" i="734"/>
  <c r="F4" i="734"/>
  <c r="A3" i="734"/>
  <c r="A2" i="734"/>
  <c r="A1" i="734"/>
  <c r="I34" i="734"/>
  <c r="I38" i="734"/>
  <c r="H19" i="24"/>
  <c r="D13" i="721"/>
  <c r="D14" i="721"/>
  <c r="D15" i="721"/>
  <c r="D17" i="721"/>
  <c r="D18" i="721"/>
  <c r="D20" i="721"/>
  <c r="D21" i="721"/>
  <c r="D22" i="721"/>
  <c r="E22" i="721"/>
  <c r="F22" i="721"/>
  <c r="D24" i="721"/>
  <c r="D25" i="721"/>
  <c r="D26" i="721"/>
  <c r="D27" i="721"/>
  <c r="D28" i="721"/>
  <c r="D29" i="721"/>
  <c r="D30" i="721"/>
  <c r="D32" i="721"/>
  <c r="E32" i="721"/>
  <c r="F32" i="721"/>
  <c r="D33" i="721"/>
  <c r="D34" i="721"/>
  <c r="D35" i="721"/>
  <c r="D36" i="721"/>
  <c r="D37" i="721"/>
  <c r="D38" i="721"/>
  <c r="D39" i="721"/>
  <c r="F40" i="721"/>
  <c r="D44" i="721"/>
  <c r="D46" i="721"/>
  <c r="D47" i="721"/>
  <c r="E47" i="721"/>
  <c r="F47" i="721"/>
  <c r="B48" i="721"/>
  <c r="D48" i="721"/>
  <c r="D49" i="721"/>
  <c r="D50" i="721"/>
  <c r="D51" i="721"/>
  <c r="D52" i="721"/>
  <c r="D55" i="721"/>
  <c r="D56" i="721"/>
  <c r="D57" i="721"/>
  <c r="D58" i="721"/>
  <c r="D59" i="721"/>
  <c r="D61" i="721"/>
  <c r="D62" i="721"/>
  <c r="D63" i="721"/>
  <c r="D64" i="721"/>
  <c r="D65" i="721"/>
  <c r="D66" i="721"/>
  <c r="D67" i="721"/>
  <c r="D68" i="721"/>
  <c r="D69" i="721"/>
  <c r="D70" i="721"/>
  <c r="D74" i="721"/>
  <c r="D76" i="721"/>
  <c r="D77" i="721"/>
  <c r="D78" i="721"/>
  <c r="D79" i="721"/>
  <c r="D83" i="721"/>
  <c r="D84" i="721"/>
  <c r="D85" i="721"/>
  <c r="D86" i="721"/>
  <c r="D87" i="721"/>
  <c r="D88" i="721"/>
  <c r="D90" i="721"/>
  <c r="D91" i="721"/>
  <c r="D92" i="721"/>
  <c r="D93" i="721"/>
  <c r="D94" i="721"/>
  <c r="D95" i="721"/>
  <c r="D97" i="721"/>
  <c r="D98" i="721"/>
  <c r="D99" i="721"/>
  <c r="D100" i="721"/>
  <c r="D101" i="721"/>
  <c r="D102" i="721"/>
  <c r="D104" i="721"/>
  <c r="D105" i="721"/>
  <c r="D106" i="721"/>
  <c r="D107" i="721"/>
  <c r="D108" i="721"/>
  <c r="E108" i="721"/>
  <c r="D109" i="721"/>
  <c r="E109" i="721"/>
  <c r="F109" i="721"/>
  <c r="D110" i="721"/>
  <c r="D111" i="721"/>
  <c r="D112" i="721"/>
  <c r="D114" i="721"/>
  <c r="D115" i="721"/>
  <c r="D116" i="721"/>
  <c r="D117" i="721"/>
  <c r="D118" i="721"/>
  <c r="D120" i="721"/>
  <c r="E120" i="721"/>
  <c r="D126" i="721"/>
  <c r="D127" i="721"/>
  <c r="D129" i="721"/>
  <c r="D130" i="721"/>
  <c r="D131" i="721"/>
  <c r="D133" i="721"/>
  <c r="D134" i="721"/>
  <c r="D135" i="721"/>
  <c r="D136" i="721"/>
  <c r="D137" i="721"/>
  <c r="E137" i="721"/>
  <c r="D138" i="721"/>
  <c r="D139" i="721"/>
  <c r="D140" i="721"/>
  <c r="D141" i="721"/>
  <c r="D143" i="721"/>
  <c r="D144" i="721"/>
  <c r="D145" i="721"/>
  <c r="D146" i="721"/>
  <c r="D153" i="721"/>
  <c r="E153" i="721"/>
  <c r="F153" i="721"/>
  <c r="D154" i="721"/>
  <c r="E154" i="721"/>
  <c r="F154" i="721"/>
  <c r="D155" i="721"/>
  <c r="E155" i="721"/>
  <c r="F155" i="721"/>
  <c r="D156" i="721"/>
  <c r="E156" i="721"/>
  <c r="D157" i="721"/>
  <c r="E157" i="721"/>
  <c r="F157" i="721"/>
  <c r="D158" i="721"/>
  <c r="E158" i="721"/>
  <c r="D160" i="721"/>
  <c r="E160" i="721"/>
  <c r="F160" i="721"/>
  <c r="D161" i="721"/>
  <c r="E161" i="721"/>
  <c r="D162" i="721"/>
  <c r="D163" i="721"/>
  <c r="D164" i="721"/>
  <c r="D165" i="721"/>
  <c r="E165" i="721"/>
  <c r="D168" i="721"/>
  <c r="E168" i="721"/>
  <c r="F168" i="721"/>
  <c r="D169" i="721"/>
  <c r="E169" i="721"/>
  <c r="F169" i="721"/>
  <c r="F166" i="721"/>
  <c r="D174" i="721"/>
  <c r="D176" i="721"/>
  <c r="E176" i="721"/>
  <c r="D177" i="721"/>
  <c r="E177" i="721"/>
  <c r="F177" i="721"/>
  <c r="D178" i="721"/>
  <c r="D179" i="721"/>
  <c r="D180" i="721"/>
  <c r="D182" i="721"/>
  <c r="D183" i="721"/>
  <c r="D185" i="721"/>
  <c r="D186" i="721"/>
  <c r="E186" i="721"/>
  <c r="F186" i="721"/>
  <c r="D187" i="721"/>
  <c r="D189" i="721"/>
  <c r="D190" i="721"/>
  <c r="E190" i="721"/>
  <c r="F190" i="721"/>
  <c r="D191" i="721"/>
  <c r="D192" i="721"/>
  <c r="D193" i="721"/>
  <c r="E193" i="721"/>
  <c r="F193" i="721"/>
  <c r="D196" i="721"/>
  <c r="D198" i="721"/>
  <c r="D200" i="721"/>
  <c r="D203" i="721"/>
  <c r="D207" i="721"/>
  <c r="D208" i="721"/>
  <c r="D209" i="721"/>
  <c r="D210" i="721"/>
  <c r="E210" i="721"/>
  <c r="F210" i="721"/>
  <c r="D211" i="721"/>
  <c r="E211" i="721"/>
  <c r="F211" i="721"/>
  <c r="D212" i="721"/>
  <c r="E212" i="721"/>
  <c r="F212" i="721"/>
  <c r="D213" i="721"/>
  <c r="E213" i="721"/>
  <c r="D214" i="721"/>
  <c r="D215" i="721"/>
  <c r="D216" i="721"/>
  <c r="D217" i="721"/>
  <c r="D218" i="721"/>
  <c r="E218" i="721"/>
  <c r="F218" i="721"/>
  <c r="D219" i="721"/>
  <c r="E219" i="721"/>
  <c r="F219" i="721"/>
  <c r="D220" i="721"/>
  <c r="E220" i="721"/>
  <c r="F220" i="721"/>
  <c r="D221" i="721"/>
  <c r="D222" i="721"/>
  <c r="E222" i="721"/>
  <c r="F222" i="721"/>
  <c r="D223" i="721"/>
  <c r="E223" i="721"/>
  <c r="F223" i="721"/>
  <c r="D224" i="721"/>
  <c r="D226" i="721"/>
  <c r="D227" i="721"/>
  <c r="D228" i="721"/>
  <c r="D229" i="721"/>
  <c r="E229" i="721"/>
  <c r="F229" i="721"/>
  <c r="D230" i="721"/>
  <c r="D231" i="721"/>
  <c r="E231" i="721"/>
  <c r="D232" i="721"/>
  <c r="E232" i="721"/>
  <c r="F232" i="721"/>
  <c r="D233" i="721"/>
  <c r="D235" i="721"/>
  <c r="E235" i="721"/>
  <c r="F235" i="721"/>
  <c r="D236" i="721"/>
  <c r="E236" i="721"/>
  <c r="F236" i="721"/>
  <c r="D237" i="721"/>
  <c r="E237" i="721"/>
  <c r="F237" i="721"/>
  <c r="D238" i="721"/>
  <c r="E238" i="721"/>
  <c r="D239" i="721"/>
  <c r="E239" i="721"/>
  <c r="F239" i="721"/>
  <c r="D240" i="721"/>
  <c r="E240" i="721"/>
  <c r="D241" i="721"/>
  <c r="E241" i="721"/>
  <c r="F241" i="721"/>
  <c r="D246" i="721"/>
  <c r="D247" i="721"/>
  <c r="D248" i="721"/>
  <c r="E248" i="721"/>
  <c r="F248" i="721"/>
  <c r="D249" i="721"/>
  <c r="E249" i="721"/>
  <c r="D250" i="721"/>
  <c r="D251" i="721"/>
  <c r="D253" i="721"/>
  <c r="D254" i="721"/>
  <c r="D255" i="721"/>
  <c r="D256" i="721"/>
  <c r="D258" i="721"/>
  <c r="D259" i="721"/>
  <c r="D260" i="721"/>
  <c r="D261" i="721"/>
  <c r="D262" i="721"/>
  <c r="E262" i="721"/>
  <c r="F262" i="721"/>
  <c r="D263" i="721"/>
  <c r="E263" i="721"/>
  <c r="F263" i="721"/>
  <c r="D264" i="721"/>
  <c r="D266" i="721"/>
  <c r="D267" i="721"/>
  <c r="D268" i="721"/>
  <c r="D269" i="721"/>
  <c r="D270" i="721"/>
  <c r="E270" i="721"/>
  <c r="F270" i="721"/>
  <c r="D271" i="721"/>
  <c r="E271" i="721"/>
  <c r="F271" i="721"/>
  <c r="D272" i="721"/>
  <c r="E272" i="721"/>
  <c r="F272" i="721"/>
  <c r="D274" i="721"/>
  <c r="D275" i="721"/>
  <c r="D276" i="721"/>
  <c r="D277" i="721"/>
  <c r="D278" i="721"/>
  <c r="D279" i="721"/>
  <c r="D280" i="721"/>
  <c r="E280" i="721"/>
  <c r="D281" i="721"/>
  <c r="D283" i="721"/>
  <c r="D284" i="721"/>
  <c r="D285" i="721"/>
  <c r="D286" i="721"/>
  <c r="D287" i="721"/>
  <c r="D288" i="721"/>
  <c r="D289" i="721"/>
  <c r="D290" i="721"/>
  <c r="AC290" i="721"/>
  <c r="D291" i="721"/>
  <c r="D292" i="721"/>
  <c r="D293" i="721"/>
  <c r="D295" i="721"/>
  <c r="D296" i="721"/>
  <c r="D297" i="721"/>
  <c r="D298" i="721"/>
  <c r="D299" i="721"/>
  <c r="D300" i="721"/>
  <c r="E300" i="721"/>
  <c r="F300" i="721"/>
  <c r="D301" i="721"/>
  <c r="E301" i="721"/>
  <c r="F301" i="721"/>
  <c r="D303" i="721"/>
  <c r="D304" i="721"/>
  <c r="D305" i="721"/>
  <c r="D306" i="721"/>
  <c r="D307" i="721"/>
  <c r="D308" i="721"/>
  <c r="D309" i="721"/>
  <c r="D310" i="721"/>
  <c r="D311" i="721"/>
  <c r="E311" i="721"/>
  <c r="D312" i="721"/>
  <c r="D313" i="721"/>
  <c r="D314" i="721"/>
  <c r="D315" i="721"/>
  <c r="D317" i="721"/>
  <c r="D318" i="721"/>
  <c r="D319" i="721"/>
  <c r="D320" i="721"/>
  <c r="D321" i="721"/>
  <c r="D322" i="721"/>
  <c r="D323" i="721"/>
  <c r="E323" i="721"/>
  <c r="D324" i="721"/>
  <c r="D325" i="721"/>
  <c r="E325" i="721"/>
  <c r="F325" i="721"/>
  <c r="D326" i="721"/>
  <c r="E326" i="721"/>
  <c r="D327" i="721"/>
  <c r="E327" i="721"/>
  <c r="F327" i="721"/>
  <c r="D329" i="721"/>
  <c r="D330" i="721"/>
  <c r="D331" i="721"/>
  <c r="D332" i="721"/>
  <c r="D333" i="721"/>
  <c r="D334" i="721"/>
  <c r="D336" i="721"/>
  <c r="D337" i="721"/>
  <c r="D338" i="721"/>
  <c r="D339" i="721"/>
  <c r="D340" i="721"/>
  <c r="D342" i="721"/>
  <c r="D343" i="721"/>
  <c r="D344" i="721"/>
  <c r="E344" i="721"/>
  <c r="F344" i="721"/>
  <c r="D345" i="721"/>
  <c r="E345" i="721"/>
  <c r="D346" i="721"/>
  <c r="E346" i="721"/>
  <c r="F346" i="721"/>
  <c r="D347" i="721"/>
  <c r="E347" i="721"/>
  <c r="D348" i="721"/>
  <c r="E348" i="721"/>
  <c r="F348" i="721"/>
  <c r="D349" i="721"/>
  <c r="D350" i="721"/>
  <c r="D351" i="721"/>
  <c r="E351" i="721"/>
  <c r="F351" i="721"/>
  <c r="D352" i="721"/>
  <c r="D353" i="721"/>
  <c r="D355" i="721"/>
  <c r="E355" i="721"/>
  <c r="D356" i="721"/>
  <c r="D359" i="721"/>
  <c r="D360" i="721"/>
  <c r="D361" i="721"/>
  <c r="D362" i="721"/>
  <c r="D363" i="721"/>
  <c r="D364" i="721"/>
  <c r="E364" i="721"/>
  <c r="F364" i="721"/>
  <c r="D365" i="721"/>
  <c r="D366" i="721"/>
  <c r="E366" i="721"/>
  <c r="F366" i="721"/>
  <c r="D367" i="721"/>
  <c r="E367" i="721"/>
  <c r="F367" i="721"/>
  <c r="D368" i="721"/>
  <c r="E368" i="721"/>
  <c r="D369" i="721"/>
  <c r="E369" i="721"/>
  <c r="F369" i="721"/>
  <c r="D371" i="721"/>
  <c r="E371" i="721"/>
  <c r="D372" i="721"/>
  <c r="E372" i="721"/>
  <c r="F372" i="721"/>
  <c r="D376" i="721"/>
  <c r="D377" i="721"/>
  <c r="D378" i="721"/>
  <c r="D379" i="721"/>
  <c r="D380" i="721"/>
  <c r="D381" i="721"/>
  <c r="D382" i="721"/>
  <c r="D383" i="721"/>
  <c r="D384" i="721"/>
  <c r="D385" i="721"/>
  <c r="D386" i="721"/>
  <c r="D387" i="721"/>
  <c r="D388" i="721"/>
  <c r="D389" i="721"/>
  <c r="D390" i="721"/>
  <c r="D391" i="721"/>
  <c r="D392" i="721"/>
  <c r="D393" i="721"/>
  <c r="D394" i="721"/>
  <c r="D395" i="721"/>
  <c r="D396" i="721"/>
  <c r="D397" i="721"/>
  <c r="D398" i="721"/>
  <c r="D399" i="721"/>
  <c r="D400" i="721"/>
  <c r="D401" i="721"/>
  <c r="D402" i="721"/>
  <c r="D403" i="721"/>
  <c r="D404" i="721"/>
  <c r="D405" i="721"/>
  <c r="D406" i="721"/>
  <c r="D407" i="721"/>
  <c r="D408" i="721"/>
  <c r="D409" i="721"/>
  <c r="D410" i="721"/>
  <c r="D411" i="721"/>
  <c r="D412" i="721"/>
  <c r="D413" i="721"/>
  <c r="D414" i="721"/>
  <c r="D415" i="721"/>
  <c r="D416" i="721"/>
  <c r="D417" i="721"/>
  <c r="D418" i="721"/>
  <c r="D419" i="721"/>
  <c r="D420" i="721"/>
  <c r="D421" i="721"/>
  <c r="D422" i="721"/>
  <c r="D423" i="721"/>
  <c r="D424" i="721"/>
  <c r="D425" i="721"/>
  <c r="D426" i="721"/>
  <c r="D427" i="721"/>
  <c r="D428" i="721"/>
  <c r="D429" i="721"/>
  <c r="D430" i="721"/>
  <c r="D431" i="721"/>
  <c r="D432" i="721"/>
  <c r="D433" i="721"/>
  <c r="D434" i="721"/>
  <c r="D435" i="721"/>
  <c r="D436" i="721"/>
  <c r="D437" i="721"/>
  <c r="D438" i="721"/>
  <c r="D439" i="721"/>
  <c r="D440" i="721"/>
  <c r="D441" i="721"/>
  <c r="D442" i="721"/>
  <c r="D443" i="721"/>
  <c r="D444" i="721"/>
  <c r="D445" i="721"/>
  <c r="D446" i="721"/>
  <c r="D447" i="721"/>
  <c r="D448" i="721"/>
  <c r="D449" i="721"/>
  <c r="D450" i="721"/>
  <c r="D451" i="721"/>
  <c r="D452" i="721"/>
  <c r="D453" i="721"/>
  <c r="D454" i="721"/>
  <c r="D455" i="721"/>
  <c r="D456" i="721"/>
  <c r="D457" i="721"/>
  <c r="D458" i="721"/>
  <c r="D459" i="721"/>
  <c r="D460" i="721"/>
  <c r="D461" i="721"/>
  <c r="D462" i="721"/>
  <c r="D463" i="721"/>
  <c r="D464" i="721"/>
  <c r="D465" i="721"/>
  <c r="D466" i="721"/>
  <c r="D467" i="721"/>
  <c r="D474" i="721"/>
  <c r="E474" i="721"/>
  <c r="F474" i="721"/>
  <c r="D476" i="721"/>
  <c r="D477" i="721"/>
  <c r="E477" i="721"/>
  <c r="D478" i="721"/>
  <c r="E478" i="721"/>
  <c r="F478" i="721"/>
  <c r="D483" i="721"/>
  <c r="D484" i="721"/>
  <c r="E484" i="721"/>
  <c r="D485" i="721"/>
  <c r="D486" i="721"/>
  <c r="D487" i="721"/>
  <c r="E487" i="721"/>
  <c r="D488" i="721"/>
  <c r="D491" i="721"/>
  <c r="E491" i="721"/>
  <c r="F491" i="721"/>
  <c r="D492" i="721"/>
  <c r="E492" i="721"/>
  <c r="F492" i="721"/>
  <c r="D493" i="721"/>
  <c r="D494" i="721"/>
  <c r="E494" i="721"/>
  <c r="F494" i="721"/>
  <c r="D496" i="721"/>
  <c r="E496" i="721"/>
  <c r="F496" i="721"/>
  <c r="D497" i="721"/>
  <c r="E497" i="721"/>
  <c r="D498" i="721"/>
  <c r="D500" i="721"/>
  <c r="E500" i="721"/>
  <c r="F500" i="721"/>
  <c r="D501" i="721"/>
  <c r="E501" i="721"/>
  <c r="D503" i="721"/>
  <c r="D504" i="721"/>
  <c r="E504" i="721"/>
  <c r="D505" i="721"/>
  <c r="D507" i="721"/>
  <c r="E507" i="721"/>
  <c r="D508" i="721"/>
  <c r="E508" i="721"/>
  <c r="F508" i="721"/>
  <c r="D510" i="721"/>
  <c r="E510" i="721"/>
  <c r="D512" i="721"/>
  <c r="E512" i="721"/>
  <c r="T512" i="721"/>
  <c r="T511" i="721"/>
  <c r="F513" i="721"/>
  <c r="E514" i="721"/>
  <c r="D516" i="721"/>
  <c r="D518" i="721"/>
  <c r="D519" i="721"/>
  <c r="E519" i="721"/>
  <c r="F519" i="721"/>
  <c r="D520" i="721"/>
  <c r="D521" i="721"/>
  <c r="E521" i="721"/>
  <c r="F521" i="721"/>
  <c r="D522" i="721"/>
  <c r="D523" i="721"/>
  <c r="D525" i="721"/>
  <c r="E525" i="721"/>
  <c r="F525" i="721"/>
  <c r="D526" i="721"/>
  <c r="E526" i="721"/>
  <c r="F526" i="721"/>
  <c r="F524" i="721"/>
  <c r="D528" i="721"/>
  <c r="E528" i="721"/>
  <c r="F528" i="721"/>
  <c r="F527" i="721"/>
  <c r="D530" i="721"/>
  <c r="E530" i="721"/>
  <c r="D532" i="721"/>
  <c r="E532" i="721"/>
  <c r="F532" i="721"/>
  <c r="D533" i="721"/>
  <c r="D534" i="721"/>
  <c r="E534" i="721"/>
  <c r="F534" i="721"/>
  <c r="D535" i="721"/>
  <c r="E535" i="721"/>
  <c r="F535" i="721"/>
  <c r="D536" i="721"/>
  <c r="E536" i="721"/>
  <c r="F536" i="721"/>
  <c r="D538" i="721"/>
  <c r="E538" i="721"/>
  <c r="F538" i="721"/>
  <c r="D539" i="721"/>
  <c r="E539" i="721"/>
  <c r="F539" i="721"/>
  <c r="D540" i="721"/>
  <c r="D541" i="721"/>
  <c r="E541" i="721"/>
  <c r="D542" i="721"/>
  <c r="E542" i="721"/>
  <c r="F542" i="721"/>
  <c r="D547" i="721"/>
  <c r="D548" i="721"/>
  <c r="D549" i="721"/>
  <c r="D551" i="721"/>
  <c r="E551" i="721"/>
  <c r="D552" i="721"/>
  <c r="E552" i="721"/>
  <c r="F552" i="721"/>
  <c r="D555" i="721"/>
  <c r="E555" i="721"/>
  <c r="F555" i="721"/>
  <c r="D556" i="721"/>
  <c r="E556" i="721"/>
  <c r="F556" i="721"/>
  <c r="D557" i="721"/>
  <c r="E557" i="721"/>
  <c r="D558" i="721"/>
  <c r="E558" i="721"/>
  <c r="F558" i="721"/>
  <c r="D560" i="721"/>
  <c r="D561" i="721"/>
  <c r="D562" i="721"/>
  <c r="E562" i="721"/>
  <c r="F562" i="721"/>
  <c r="D563" i="721"/>
  <c r="E563" i="721"/>
  <c r="D564" i="721"/>
  <c r="E564" i="721"/>
  <c r="F564" i="721"/>
  <c r="D565" i="721"/>
  <c r="E565" i="721"/>
  <c r="D567" i="721"/>
  <c r="D568" i="721"/>
  <c r="D569" i="721"/>
  <c r="D571" i="721"/>
  <c r="D573" i="721"/>
  <c r="D574" i="721"/>
  <c r="D575" i="721"/>
  <c r="D576" i="721"/>
  <c r="D577" i="721"/>
  <c r="D583" i="721"/>
  <c r="D585" i="721"/>
  <c r="D587" i="721"/>
  <c r="D588" i="721"/>
  <c r="D589" i="721"/>
  <c r="D590" i="721"/>
  <c r="D593" i="721"/>
  <c r="D594" i="721"/>
  <c r="D595" i="721"/>
  <c r="D596" i="721"/>
  <c r="E596" i="721"/>
  <c r="D597" i="721"/>
  <c r="D598" i="721"/>
  <c r="E598" i="721"/>
  <c r="F598" i="721"/>
  <c r="D599" i="721"/>
  <c r="E599" i="721"/>
  <c r="D600" i="721"/>
  <c r="E600" i="721"/>
  <c r="F600" i="721"/>
  <c r="D601" i="721"/>
  <c r="E601" i="721"/>
  <c r="D603" i="721"/>
  <c r="D604" i="721"/>
  <c r="D605" i="721"/>
  <c r="D606" i="721"/>
  <c r="D608" i="721"/>
  <c r="D609" i="721"/>
  <c r="D610" i="721"/>
  <c r="D611" i="721"/>
  <c r="D612" i="721"/>
  <c r="E612" i="721"/>
  <c r="F612" i="721"/>
  <c r="D613" i="721"/>
  <c r="E613" i="721"/>
  <c r="D615" i="721"/>
  <c r="D616" i="721"/>
  <c r="E616" i="721"/>
  <c r="F616" i="721"/>
  <c r="D617" i="721"/>
  <c r="E617" i="721"/>
  <c r="F617" i="721"/>
  <c r="D618" i="721"/>
  <c r="D619" i="721"/>
  <c r="E619" i="721"/>
  <c r="D620" i="721"/>
  <c r="E620" i="721"/>
  <c r="F620" i="721"/>
  <c r="D621" i="721"/>
  <c r="E621" i="721"/>
  <c r="D622" i="721"/>
  <c r="E622" i="721"/>
  <c r="F622" i="721"/>
  <c r="D623" i="721"/>
  <c r="E623" i="721"/>
  <c r="D624" i="721"/>
  <c r="E624" i="721"/>
  <c r="F624" i="721"/>
  <c r="D629" i="721"/>
  <c r="E629" i="721"/>
  <c r="D630" i="721"/>
  <c r="E630" i="721"/>
  <c r="D631" i="721"/>
  <c r="E631" i="721"/>
  <c r="F631" i="721"/>
  <c r="D632" i="721"/>
  <c r="E632" i="721"/>
  <c r="F632" i="721"/>
  <c r="D634" i="721"/>
  <c r="E634" i="721"/>
  <c r="F634" i="721"/>
  <c r="D635" i="721"/>
  <c r="E635" i="721"/>
  <c r="F635" i="721"/>
  <c r="D636" i="721"/>
  <c r="E636" i="721"/>
  <c r="D637" i="721"/>
  <c r="E637" i="721"/>
  <c r="F637" i="721"/>
  <c r="D638" i="721"/>
  <c r="E638" i="721"/>
  <c r="D639" i="721"/>
  <c r="E639" i="721"/>
  <c r="F639" i="721"/>
  <c r="D640" i="721"/>
  <c r="E640" i="721"/>
  <c r="D641" i="721"/>
  <c r="E641" i="721"/>
  <c r="F641" i="721"/>
  <c r="D643" i="721"/>
  <c r="E643" i="721"/>
  <c r="D644" i="721"/>
  <c r="E644" i="721"/>
  <c r="F644" i="721"/>
  <c r="F643" i="721"/>
  <c r="F642" i="721"/>
  <c r="D650" i="721"/>
  <c r="E650" i="721"/>
  <c r="D651" i="721"/>
  <c r="E651" i="721"/>
  <c r="F651" i="721"/>
  <c r="D652" i="721"/>
  <c r="E652" i="721"/>
  <c r="D654" i="721"/>
  <c r="E654" i="721"/>
  <c r="F654" i="721"/>
  <c r="D655" i="721"/>
  <c r="E655" i="721"/>
  <c r="F655" i="721"/>
  <c r="D656" i="721"/>
  <c r="E656" i="721"/>
  <c r="F656" i="721"/>
  <c r="D657" i="721"/>
  <c r="E657" i="721"/>
  <c r="D659" i="721"/>
  <c r="E659" i="721"/>
  <c r="F659" i="721"/>
  <c r="R659" i="721"/>
  <c r="D660" i="721"/>
  <c r="E660" i="721"/>
  <c r="D661" i="721"/>
  <c r="E661" i="721"/>
  <c r="F661" i="721"/>
  <c r="D666" i="721"/>
  <c r="E666" i="721"/>
  <c r="D667" i="721"/>
  <c r="E667" i="721"/>
  <c r="F667" i="721"/>
  <c r="D668" i="721"/>
  <c r="D669" i="721"/>
  <c r="E669" i="721"/>
  <c r="F669" i="721"/>
  <c r="D670" i="721"/>
  <c r="E670" i="721"/>
  <c r="F670" i="721"/>
  <c r="D671" i="721"/>
  <c r="E671" i="721"/>
  <c r="F671" i="721"/>
  <c r="D673" i="721"/>
  <c r="E673" i="721"/>
  <c r="D674" i="721"/>
  <c r="E674" i="721"/>
  <c r="F674" i="721"/>
  <c r="D675" i="721"/>
  <c r="E675" i="721"/>
  <c r="F675" i="721"/>
  <c r="D676" i="721"/>
  <c r="E676" i="721"/>
  <c r="F676" i="721"/>
  <c r="D677" i="721"/>
  <c r="E677" i="721"/>
  <c r="D678" i="721"/>
  <c r="E678" i="721"/>
  <c r="F678" i="721"/>
  <c r="D680" i="721"/>
  <c r="E680" i="721"/>
  <c r="D681" i="721"/>
  <c r="E681" i="721"/>
  <c r="F681" i="721"/>
  <c r="D682" i="721"/>
  <c r="E682" i="721"/>
  <c r="D683" i="721"/>
  <c r="E683" i="721"/>
  <c r="F683" i="721"/>
  <c r="D684" i="721"/>
  <c r="E684" i="721"/>
  <c r="D685" i="721"/>
  <c r="E685" i="721"/>
  <c r="F685" i="721"/>
  <c r="D686" i="721"/>
  <c r="E686" i="721"/>
  <c r="D688" i="721"/>
  <c r="E688" i="721"/>
  <c r="D689" i="721"/>
  <c r="E689" i="721"/>
  <c r="D694" i="721"/>
  <c r="E694" i="721"/>
  <c r="F694" i="721"/>
  <c r="D695" i="721"/>
  <c r="E695" i="721"/>
  <c r="D696" i="721"/>
  <c r="D697" i="721"/>
  <c r="D698" i="721"/>
  <c r="D699" i="721"/>
  <c r="E699" i="721"/>
  <c r="F699" i="721"/>
  <c r="D700" i="721"/>
  <c r="D701" i="721"/>
  <c r="D702" i="721"/>
  <c r="D703" i="721"/>
  <c r="E703" i="721"/>
  <c r="F703" i="721"/>
  <c r="D704" i="721"/>
  <c r="D706" i="721"/>
  <c r="D707" i="721"/>
  <c r="E707" i="721"/>
  <c r="F707" i="721"/>
  <c r="D708" i="721"/>
  <c r="E708" i="721"/>
  <c r="F708" i="721"/>
  <c r="D709" i="721"/>
  <c r="E709" i="721"/>
  <c r="F709" i="721"/>
  <c r="D710" i="721"/>
  <c r="D711" i="721"/>
  <c r="D712" i="721"/>
  <c r="D717" i="721"/>
  <c r="E717" i="721"/>
  <c r="F717" i="721"/>
  <c r="D718" i="721"/>
  <c r="E718" i="721"/>
  <c r="D719" i="721"/>
  <c r="E719" i="721"/>
  <c r="F719" i="721"/>
  <c r="D720" i="721"/>
  <c r="E720" i="721"/>
  <c r="D722" i="721"/>
  <c r="D723" i="721"/>
  <c r="D724" i="721"/>
  <c r="D730" i="721"/>
  <c r="D732" i="721"/>
  <c r="D733" i="721"/>
  <c r="D735" i="721"/>
  <c r="E735" i="721"/>
  <c r="F735" i="721"/>
  <c r="D736" i="721"/>
  <c r="E736" i="721"/>
  <c r="F736" i="721"/>
  <c r="D737" i="721"/>
  <c r="E737" i="721"/>
  <c r="D738" i="721"/>
  <c r="E738" i="721"/>
  <c r="F738" i="721"/>
  <c r="D739" i="721"/>
  <c r="E739" i="721"/>
  <c r="D740" i="721"/>
  <c r="E740" i="721"/>
  <c r="F740" i="721"/>
  <c r="D741" i="721"/>
  <c r="E741" i="721"/>
  <c r="D742" i="721"/>
  <c r="E742" i="721"/>
  <c r="F742" i="721"/>
  <c r="D743" i="721"/>
  <c r="E743" i="721"/>
  <c r="D745" i="721"/>
  <c r="E745" i="721"/>
  <c r="F745" i="721"/>
  <c r="D746" i="721"/>
  <c r="E746" i="721"/>
  <c r="D747" i="721"/>
  <c r="E747" i="721"/>
  <c r="F747" i="721"/>
  <c r="D748" i="721"/>
  <c r="E748" i="721"/>
  <c r="D749" i="721"/>
  <c r="E749" i="721"/>
  <c r="F749" i="721"/>
  <c r="D750" i="721"/>
  <c r="E750" i="721"/>
  <c r="F750" i="721"/>
  <c r="D751" i="721"/>
  <c r="E751" i="721"/>
  <c r="F751" i="721"/>
  <c r="D753" i="721"/>
  <c r="E753" i="721"/>
  <c r="F753" i="721"/>
  <c r="D754" i="721"/>
  <c r="E754" i="721"/>
  <c r="F754" i="721"/>
  <c r="F752" i="721"/>
  <c r="D759" i="721"/>
  <c r="D760" i="721"/>
  <c r="E760" i="721"/>
  <c r="D761" i="721"/>
  <c r="E761" i="721"/>
  <c r="F761" i="721"/>
  <c r="D762" i="721"/>
  <c r="E762" i="721"/>
  <c r="F762" i="721"/>
  <c r="D763" i="721"/>
  <c r="E763" i="721"/>
  <c r="F763" i="721"/>
  <c r="D764" i="721"/>
  <c r="D765" i="721"/>
  <c r="E765" i="721"/>
  <c r="F765" i="721"/>
  <c r="D766" i="721"/>
  <c r="E766" i="721"/>
  <c r="F766" i="721"/>
  <c r="D767" i="721"/>
  <c r="E767" i="721"/>
  <c r="F767" i="721"/>
  <c r="D769" i="721"/>
  <c r="D771" i="721"/>
  <c r="E771" i="721"/>
  <c r="F771" i="721"/>
  <c r="D772" i="721"/>
  <c r="E772" i="721"/>
  <c r="D777" i="721"/>
  <c r="E777" i="721"/>
  <c r="D778" i="721"/>
  <c r="D779" i="721"/>
  <c r="E779" i="721"/>
  <c r="D780" i="721"/>
  <c r="E780" i="721"/>
  <c r="F780" i="721"/>
  <c r="D783" i="721"/>
  <c r="D785" i="721"/>
  <c r="E785" i="721"/>
  <c r="F785" i="721"/>
  <c r="D786" i="721"/>
  <c r="E786" i="721"/>
  <c r="F786" i="721"/>
  <c r="D787" i="721"/>
  <c r="E787" i="721"/>
  <c r="F787" i="721"/>
  <c r="D788" i="721"/>
  <c r="E788" i="721"/>
  <c r="D789" i="721"/>
  <c r="E789" i="721"/>
  <c r="F789" i="721"/>
  <c r="D790" i="721"/>
  <c r="E790" i="721"/>
  <c r="D791" i="721"/>
  <c r="E791" i="721"/>
  <c r="F791" i="721"/>
  <c r="D792" i="721"/>
  <c r="E792" i="721"/>
  <c r="F792" i="721"/>
  <c r="D793" i="721"/>
  <c r="E793" i="721"/>
  <c r="F793" i="721"/>
  <c r="D794" i="721"/>
  <c r="E794" i="721"/>
  <c r="F794" i="721"/>
  <c r="D795" i="721"/>
  <c r="D796" i="721"/>
  <c r="E796" i="721"/>
  <c r="F796" i="721"/>
  <c r="D797" i="721"/>
  <c r="E797" i="721"/>
  <c r="D798" i="721"/>
  <c r="E798" i="721"/>
  <c r="F798" i="721"/>
  <c r="D799" i="721"/>
  <c r="E799" i="721"/>
  <c r="F799" i="721"/>
  <c r="D800" i="721"/>
  <c r="E800" i="721"/>
  <c r="F800" i="721"/>
  <c r="D802" i="721"/>
  <c r="D803" i="721"/>
  <c r="D804" i="721"/>
  <c r="D805" i="721"/>
  <c r="E805" i="721"/>
  <c r="F805" i="721"/>
  <c r="D806" i="721"/>
  <c r="D807" i="721"/>
  <c r="D808" i="721"/>
  <c r="E808" i="721"/>
  <c r="D810" i="721"/>
  <c r="D812" i="721"/>
  <c r="E812" i="721"/>
  <c r="F812" i="721"/>
  <c r="D813" i="721"/>
  <c r="D814" i="721"/>
  <c r="E814" i="721"/>
  <c r="F814" i="721"/>
  <c r="D816" i="721"/>
  <c r="D817" i="721"/>
  <c r="D818" i="721"/>
  <c r="D819" i="721"/>
  <c r="D820" i="721"/>
  <c r="D821" i="721"/>
  <c r="E821" i="721"/>
  <c r="D826" i="721"/>
  <c r="D827" i="721"/>
  <c r="E827" i="721"/>
  <c r="D829" i="721"/>
  <c r="D831" i="721"/>
  <c r="E831" i="721"/>
  <c r="F831" i="721"/>
  <c r="D832" i="721"/>
  <c r="E832" i="721"/>
  <c r="D833" i="721"/>
  <c r="E833" i="721"/>
  <c r="F833" i="721"/>
  <c r="D834" i="721"/>
  <c r="E834" i="721"/>
  <c r="F834" i="721"/>
  <c r="D835" i="721"/>
  <c r="E835" i="721"/>
  <c r="F835" i="721"/>
  <c r="D836" i="721"/>
  <c r="E836" i="721"/>
  <c r="D837" i="721"/>
  <c r="E837" i="721"/>
  <c r="S16" i="720"/>
  <c r="L40" i="720"/>
  <c r="N40" i="720"/>
  <c r="P40" i="720"/>
  <c r="R40" i="720"/>
  <c r="T40" i="720"/>
  <c r="K45" i="720"/>
  <c r="O45" i="720"/>
  <c r="S45" i="720"/>
  <c r="K53" i="720"/>
  <c r="O53" i="720"/>
  <c r="K125" i="720"/>
  <c r="K150" i="720"/>
  <c r="M150" i="720"/>
  <c r="O150" i="720"/>
  <c r="Q150" i="720"/>
  <c r="D150" i="720"/>
  <c r="L152" i="720"/>
  <c r="N152" i="720"/>
  <c r="P152" i="720"/>
  <c r="R152" i="720"/>
  <c r="T152" i="720"/>
  <c r="L159" i="720"/>
  <c r="N159" i="720"/>
  <c r="T159" i="720"/>
  <c r="R159" i="720"/>
  <c r="P159" i="720"/>
  <c r="AE159" i="720"/>
  <c r="K184" i="720"/>
  <c r="O184" i="720"/>
  <c r="K195" i="720"/>
  <c r="O195" i="720"/>
  <c r="K199" i="720"/>
  <c r="O199" i="720"/>
  <c r="D199" i="720"/>
  <c r="M471" i="720"/>
  <c r="O471" i="720"/>
  <c r="K472" i="720"/>
  <c r="M472" i="720"/>
  <c r="O472" i="720"/>
  <c r="K473" i="720"/>
  <c r="M473" i="720"/>
  <c r="O473" i="720"/>
  <c r="S473" i="720"/>
  <c r="L513" i="720"/>
  <c r="N513" i="720"/>
  <c r="P513" i="720"/>
  <c r="R513" i="720"/>
  <c r="T513" i="720"/>
  <c r="O550" i="720"/>
  <c r="K582" i="720"/>
  <c r="M582" i="720"/>
  <c r="O582" i="720"/>
  <c r="M584" i="720"/>
  <c r="O584" i="720"/>
  <c r="K586" i="720"/>
  <c r="M649" i="720"/>
  <c r="K729" i="720"/>
  <c r="M729" i="720"/>
  <c r="O729" i="720"/>
  <c r="S729" i="720"/>
  <c r="D729" i="720"/>
  <c r="AC729" i="720"/>
  <c r="K731" i="720"/>
  <c r="M731" i="720"/>
  <c r="O731" i="720"/>
  <c r="D731" i="720"/>
  <c r="AC731" i="720"/>
  <c r="K770" i="720"/>
  <c r="M770" i="720"/>
  <c r="O770" i="720"/>
  <c r="D770" i="720"/>
  <c r="S781" i="720"/>
  <c r="S784" i="720"/>
  <c r="S811" i="720"/>
  <c r="D811" i="720"/>
  <c r="S828" i="720"/>
  <c r="D828" i="720"/>
  <c r="F541" i="721"/>
  <c r="F371" i="721"/>
  <c r="F326" i="721"/>
  <c r="F280" i="721"/>
  <c r="F827" i="721"/>
  <c r="F808" i="721"/>
  <c r="F557" i="721"/>
  <c r="F240" i="721"/>
  <c r="F108" i="721"/>
  <c r="F650" i="721"/>
  <c r="F623" i="721"/>
  <c r="F619" i="721"/>
  <c r="F158" i="721"/>
  <c r="F551" i="721"/>
  <c r="F345" i="721"/>
  <c r="F323" i="721"/>
  <c r="F746" i="721"/>
  <c r="F682" i="721"/>
  <c r="F836" i="721"/>
  <c r="F821" i="721"/>
  <c r="F797" i="721"/>
  <c r="F680" i="721"/>
  <c r="F629" i="721"/>
  <c r="F368" i="721"/>
  <c r="F718" i="721"/>
  <c r="F686" i="721"/>
  <c r="F684" i="721"/>
  <c r="F652" i="721"/>
  <c r="F507" i="721"/>
  <c r="F506" i="721"/>
  <c r="F238" i="721"/>
  <c r="F165" i="721"/>
  <c r="F530" i="721"/>
  <c r="F529" i="721"/>
  <c r="F720" i="721"/>
  <c r="F677" i="721"/>
  <c r="F673" i="721"/>
  <c r="F640" i="721"/>
  <c r="F636" i="721"/>
  <c r="F621" i="721"/>
  <c r="F599" i="721"/>
  <c r="F510" i="721"/>
  <c r="F509" i="721"/>
  <c r="F504" i="721"/>
  <c r="F487" i="721"/>
  <c r="F477" i="721"/>
  <c r="F176" i="721"/>
  <c r="F161" i="721"/>
  <c r="F596" i="721"/>
  <c r="F832" i="721"/>
  <c r="F660" i="721"/>
  <c r="F501" i="721"/>
  <c r="F499" i="721"/>
  <c r="F311" i="721"/>
  <c r="F231" i="721"/>
  <c r="F788" i="721"/>
  <c r="F779" i="721"/>
  <c r="F741" i="721"/>
  <c r="F666" i="721"/>
  <c r="F638" i="721"/>
  <c r="F156" i="721"/>
  <c r="F120" i="721"/>
  <c r="F119" i="721"/>
  <c r="F772" i="721"/>
  <c r="F737" i="721"/>
  <c r="F695" i="721"/>
  <c r="F689" i="721"/>
  <c r="F657" i="721"/>
  <c r="F613" i="721"/>
  <c r="F563" i="721"/>
  <c r="F497" i="721"/>
  <c r="F347" i="721"/>
  <c r="F137" i="721"/>
  <c r="F837" i="721"/>
  <c r="F790" i="721"/>
  <c r="F748" i="721"/>
  <c r="F743" i="721"/>
  <c r="F739" i="721"/>
  <c r="F630" i="721"/>
  <c r="F628" i="721"/>
  <c r="F601" i="721"/>
  <c r="F565" i="721"/>
  <c r="F512" i="721"/>
  <c r="F511" i="721"/>
  <c r="F484" i="721"/>
  <c r="F249" i="721"/>
  <c r="F213" i="721"/>
  <c r="A1" i="445"/>
  <c r="B14" i="28"/>
  <c r="A4" i="734"/>
  <c r="A1" i="262"/>
  <c r="A1" i="388"/>
  <c r="A1" i="533"/>
  <c r="A1" i="217"/>
  <c r="A1" i="707"/>
  <c r="A1" i="709"/>
  <c r="A1" i="509"/>
  <c r="A1" i="501"/>
  <c r="A1" i="278"/>
  <c r="A1" i="485"/>
  <c r="A1" i="285"/>
  <c r="A1" i="639"/>
  <c r="A1" i="541"/>
  <c r="A1" i="540"/>
  <c r="A1" i="539"/>
  <c r="A1" i="404"/>
  <c r="A1" i="716"/>
  <c r="A1" i="504"/>
  <c r="A1" i="494"/>
  <c r="A1" i="243"/>
  <c r="A1" i="481"/>
  <c r="A1" i="271"/>
  <c r="A1" i="484"/>
  <c r="A1" i="473"/>
  <c r="A1" i="236"/>
  <c r="A1" i="235"/>
  <c r="A1" i="479"/>
  <c r="A1" i="356"/>
  <c r="A1" i="355"/>
  <c r="A1" i="231"/>
  <c r="A1" i="478"/>
  <c r="A1" i="227"/>
  <c r="A1" i="715"/>
  <c r="A1" i="263"/>
  <c r="A1" i="338"/>
  <c r="A1" i="438"/>
  <c r="A1" i="296"/>
  <c r="A1" i="455"/>
  <c r="A1" i="471"/>
  <c r="E880" i="721"/>
  <c r="F880" i="721"/>
  <c r="D880" i="721"/>
  <c r="D879" i="721"/>
  <c r="D878" i="721"/>
  <c r="F877" i="721"/>
  <c r="D877" i="721"/>
  <c r="D876" i="721"/>
  <c r="C872" i="721"/>
  <c r="G872" i="721"/>
  <c r="C846" i="721"/>
  <c r="E871" i="721"/>
  <c r="C871" i="721"/>
  <c r="G870" i="721"/>
  <c r="C844" i="721"/>
  <c r="G869" i="721"/>
  <c r="C843" i="721"/>
  <c r="G868" i="721"/>
  <c r="C842" i="721"/>
  <c r="F862" i="721"/>
  <c r="F858" i="721"/>
  <c r="F857" i="721"/>
  <c r="F856" i="721"/>
  <c r="F855" i="721"/>
  <c r="F854" i="721"/>
  <c r="S828" i="721"/>
  <c r="D828" i="721"/>
  <c r="AE823" i="721"/>
  <c r="AE822" i="721"/>
  <c r="S811" i="721"/>
  <c r="D811" i="721"/>
  <c r="S784" i="721"/>
  <c r="D784" i="721"/>
  <c r="S781" i="721"/>
  <c r="D781" i="721"/>
  <c r="AE774" i="721"/>
  <c r="AE773" i="721"/>
  <c r="O770" i="721"/>
  <c r="M770" i="721"/>
  <c r="K770" i="721"/>
  <c r="T765" i="721"/>
  <c r="AE756" i="721"/>
  <c r="AE755" i="721"/>
  <c r="T753" i="721"/>
  <c r="O731" i="721"/>
  <c r="M731" i="721"/>
  <c r="K731" i="721"/>
  <c r="D731" i="721"/>
  <c r="S729" i="721"/>
  <c r="O729" i="721"/>
  <c r="M729" i="721"/>
  <c r="K729" i="721"/>
  <c r="AE726" i="721"/>
  <c r="AE725" i="721"/>
  <c r="R717" i="721"/>
  <c r="AE714" i="721"/>
  <c r="AE713" i="721"/>
  <c r="AE691" i="721"/>
  <c r="AE690" i="721"/>
  <c r="AE662" i="721"/>
  <c r="R654" i="721"/>
  <c r="M649" i="721"/>
  <c r="D649" i="721"/>
  <c r="AE645" i="721"/>
  <c r="T643" i="721"/>
  <c r="T629" i="721"/>
  <c r="AE625" i="721"/>
  <c r="AE591" i="721"/>
  <c r="K586" i="721"/>
  <c r="D586" i="721"/>
  <c r="O584" i="721"/>
  <c r="M584" i="721"/>
  <c r="O582" i="721"/>
  <c r="K582" i="721"/>
  <c r="M582" i="721"/>
  <c r="D582" i="721"/>
  <c r="AE578" i="721"/>
  <c r="R555" i="721"/>
  <c r="AC554" i="721"/>
  <c r="AA554" i="721"/>
  <c r="Y554" i="721"/>
  <c r="W554" i="721"/>
  <c r="O550" i="721"/>
  <c r="D550" i="721"/>
  <c r="AE543" i="721"/>
  <c r="R538" i="721"/>
  <c r="T532" i="721"/>
  <c r="T530" i="721"/>
  <c r="T529" i="721"/>
  <c r="T528" i="721"/>
  <c r="T527" i="721"/>
  <c r="T525" i="721"/>
  <c r="AE514" i="721"/>
  <c r="AC513" i="721"/>
  <c r="AA513" i="721"/>
  <c r="Y513" i="721"/>
  <c r="W513" i="721"/>
  <c r="R512" i="721"/>
  <c r="R511" i="721"/>
  <c r="R510" i="721"/>
  <c r="R509" i="721"/>
  <c r="R507" i="721"/>
  <c r="R500" i="721"/>
  <c r="R496" i="721"/>
  <c r="R491" i="721"/>
  <c r="AE489" i="721"/>
  <c r="AE479" i="721"/>
  <c r="S473" i="721"/>
  <c r="O473" i="721"/>
  <c r="M473" i="721"/>
  <c r="K473" i="721"/>
  <c r="D473" i="721"/>
  <c r="O472" i="721"/>
  <c r="M472" i="721"/>
  <c r="K472" i="721"/>
  <c r="O471" i="721"/>
  <c r="M471" i="721"/>
  <c r="AE468" i="721"/>
  <c r="J375" i="721"/>
  <c r="AE373" i="721"/>
  <c r="R371" i="721"/>
  <c r="AE357" i="721"/>
  <c r="AE327" i="721"/>
  <c r="AE326" i="721"/>
  <c r="AE244" i="721"/>
  <c r="O199" i="721"/>
  <c r="K199" i="721"/>
  <c r="O195" i="721"/>
  <c r="K195" i="721"/>
  <c r="D195" i="721"/>
  <c r="O184" i="721"/>
  <c r="K184" i="721"/>
  <c r="AE170" i="721"/>
  <c r="T168" i="721"/>
  <c r="AE167" i="721"/>
  <c r="T159" i="721"/>
  <c r="R159" i="721"/>
  <c r="P159" i="721"/>
  <c r="N159" i="721"/>
  <c r="L159" i="721"/>
  <c r="J159" i="721"/>
  <c r="T152" i="721"/>
  <c r="R152" i="721"/>
  <c r="P152" i="721"/>
  <c r="N152" i="721"/>
  <c r="L152" i="721"/>
  <c r="J152" i="721"/>
  <c r="Q150" i="721"/>
  <c r="O150" i="721"/>
  <c r="M150" i="721"/>
  <c r="K150" i="721"/>
  <c r="K125" i="721"/>
  <c r="D125" i="721"/>
  <c r="AE121" i="721"/>
  <c r="R120" i="721"/>
  <c r="R119" i="721"/>
  <c r="AE60" i="721"/>
  <c r="AC56" i="721"/>
  <c r="O53" i="721"/>
  <c r="K53" i="721"/>
  <c r="D53" i="721"/>
  <c r="S45" i="721"/>
  <c r="O45" i="721"/>
  <c r="K45" i="721"/>
  <c r="D45" i="721"/>
  <c r="AC40" i="721"/>
  <c r="AA40" i="721"/>
  <c r="Y40" i="721"/>
  <c r="W40" i="721"/>
  <c r="T40" i="721"/>
  <c r="R40" i="721"/>
  <c r="P40" i="721"/>
  <c r="N40" i="721"/>
  <c r="L40" i="721"/>
  <c r="J40" i="721"/>
  <c r="AB38" i="721"/>
  <c r="Z38" i="721"/>
  <c r="X38" i="721"/>
  <c r="S16" i="721"/>
  <c r="D16" i="721"/>
  <c r="E880" i="720"/>
  <c r="F880" i="720"/>
  <c r="D880" i="720"/>
  <c r="D879" i="720"/>
  <c r="D878" i="720"/>
  <c r="F877" i="720"/>
  <c r="D877" i="720"/>
  <c r="D876" i="720"/>
  <c r="C872" i="720"/>
  <c r="G872" i="720"/>
  <c r="C846" i="720"/>
  <c r="E871" i="720"/>
  <c r="C871" i="720"/>
  <c r="C873" i="720"/>
  <c r="D869" i="720"/>
  <c r="G870" i="720"/>
  <c r="C844" i="720"/>
  <c r="G869" i="720"/>
  <c r="C843" i="720"/>
  <c r="G868" i="720"/>
  <c r="C842" i="720"/>
  <c r="F862" i="720"/>
  <c r="F858" i="720"/>
  <c r="F857" i="720"/>
  <c r="F856" i="720"/>
  <c r="F855" i="720"/>
  <c r="F854" i="720"/>
  <c r="E837" i="720"/>
  <c r="E836" i="720"/>
  <c r="E835" i="720"/>
  <c r="T835" i="720"/>
  <c r="E834" i="720"/>
  <c r="P834" i="720"/>
  <c r="E833" i="720"/>
  <c r="E832" i="720"/>
  <c r="E831" i="720"/>
  <c r="D829" i="720"/>
  <c r="W829" i="720"/>
  <c r="AC828" i="720"/>
  <c r="E827" i="720"/>
  <c r="L827" i="720"/>
  <c r="D827" i="720"/>
  <c r="AA827" i="720"/>
  <c r="D826" i="720"/>
  <c r="AE823" i="720"/>
  <c r="AE822" i="720"/>
  <c r="E821" i="720"/>
  <c r="E814" i="720"/>
  <c r="N814" i="720"/>
  <c r="D814" i="720"/>
  <c r="AC814" i="720"/>
  <c r="D813" i="720"/>
  <c r="E812" i="720"/>
  <c r="P812" i="720"/>
  <c r="D812" i="720"/>
  <c r="AC812" i="720"/>
  <c r="D810" i="720"/>
  <c r="E808" i="720"/>
  <c r="R808" i="720"/>
  <c r="E805" i="720"/>
  <c r="E800" i="720"/>
  <c r="E799" i="720"/>
  <c r="E798" i="720"/>
  <c r="T798" i="720"/>
  <c r="E797" i="720"/>
  <c r="E796" i="720"/>
  <c r="E794" i="720"/>
  <c r="E793" i="720"/>
  <c r="E792" i="720"/>
  <c r="E791" i="720"/>
  <c r="E790" i="720"/>
  <c r="L790" i="720"/>
  <c r="E789" i="720"/>
  <c r="E788" i="720"/>
  <c r="E787" i="720"/>
  <c r="E786" i="720"/>
  <c r="E785" i="720"/>
  <c r="D781" i="720"/>
  <c r="E780" i="720"/>
  <c r="D780" i="720"/>
  <c r="AC780" i="720"/>
  <c r="E779" i="720"/>
  <c r="P779" i="720"/>
  <c r="D779" i="720"/>
  <c r="AC779" i="720"/>
  <c r="D778" i="720"/>
  <c r="E777" i="720"/>
  <c r="D777" i="720"/>
  <c r="AC777" i="720"/>
  <c r="AE774" i="720"/>
  <c r="AE773" i="720"/>
  <c r="E772" i="720"/>
  <c r="D772" i="720"/>
  <c r="AC772" i="720"/>
  <c r="E771" i="720"/>
  <c r="D771" i="720"/>
  <c r="AC771" i="720"/>
  <c r="D769" i="720"/>
  <c r="E767" i="720"/>
  <c r="D767" i="720"/>
  <c r="AC767" i="720"/>
  <c r="E766" i="720"/>
  <c r="D766" i="720"/>
  <c r="AC766" i="720"/>
  <c r="E765" i="720"/>
  <c r="D765" i="720"/>
  <c r="AC765" i="720"/>
  <c r="D764" i="720"/>
  <c r="E763" i="720"/>
  <c r="D763" i="720"/>
  <c r="AC763" i="720"/>
  <c r="E762" i="720"/>
  <c r="D762" i="720"/>
  <c r="E761" i="720"/>
  <c r="J761" i="720"/>
  <c r="D761" i="720"/>
  <c r="AC761" i="720"/>
  <c r="E760" i="720"/>
  <c r="D760" i="720"/>
  <c r="AC760" i="720"/>
  <c r="D759" i="720"/>
  <c r="AC759" i="720"/>
  <c r="AE756" i="720"/>
  <c r="AE755" i="720"/>
  <c r="E754" i="720"/>
  <c r="D754" i="720"/>
  <c r="AC754" i="720"/>
  <c r="E753" i="720"/>
  <c r="D753" i="720"/>
  <c r="AC753" i="720"/>
  <c r="E751" i="720"/>
  <c r="E750" i="720"/>
  <c r="E749" i="720"/>
  <c r="E748" i="720"/>
  <c r="L748" i="720"/>
  <c r="E747" i="720"/>
  <c r="E746" i="720"/>
  <c r="E745" i="720"/>
  <c r="L745" i="720"/>
  <c r="L746" i="720"/>
  <c r="L747" i="720"/>
  <c r="L749" i="720"/>
  <c r="L750" i="720"/>
  <c r="L751" i="720"/>
  <c r="L744" i="720"/>
  <c r="E743" i="720"/>
  <c r="N743" i="720"/>
  <c r="E742" i="720"/>
  <c r="E741" i="720"/>
  <c r="E740" i="720"/>
  <c r="E739" i="720"/>
  <c r="L739" i="720"/>
  <c r="E738" i="720"/>
  <c r="E737" i="720"/>
  <c r="E736" i="720"/>
  <c r="N736" i="720"/>
  <c r="E735" i="720"/>
  <c r="D733" i="720"/>
  <c r="AC733" i="720"/>
  <c r="D732" i="720"/>
  <c r="AC732" i="720"/>
  <c r="D730" i="720"/>
  <c r="AC730" i="720"/>
  <c r="AE726" i="720"/>
  <c r="AE725" i="720"/>
  <c r="D724" i="720"/>
  <c r="AC724" i="720"/>
  <c r="D723" i="720"/>
  <c r="D722" i="720"/>
  <c r="AC722" i="720"/>
  <c r="E720" i="720"/>
  <c r="J720" i="720"/>
  <c r="D720" i="720"/>
  <c r="AA720" i="720"/>
  <c r="E719" i="720"/>
  <c r="D719" i="720"/>
  <c r="E718" i="720"/>
  <c r="D718" i="720"/>
  <c r="AA718" i="720"/>
  <c r="E717" i="720"/>
  <c r="D717" i="720"/>
  <c r="AA717" i="720"/>
  <c r="AE714" i="720"/>
  <c r="AE713" i="720"/>
  <c r="E709" i="720"/>
  <c r="E708" i="720"/>
  <c r="E707" i="720"/>
  <c r="E703" i="720"/>
  <c r="E699" i="720"/>
  <c r="P699" i="720"/>
  <c r="E695" i="720"/>
  <c r="R695" i="720"/>
  <c r="E694" i="720"/>
  <c r="AE691" i="720"/>
  <c r="AE690" i="720"/>
  <c r="E689" i="720"/>
  <c r="T689" i="720"/>
  <c r="D689" i="720"/>
  <c r="AA689" i="720"/>
  <c r="E688" i="720"/>
  <c r="D688" i="720"/>
  <c r="AA688" i="720"/>
  <c r="E686" i="720"/>
  <c r="E685" i="720"/>
  <c r="E684" i="720"/>
  <c r="E683" i="720"/>
  <c r="R683" i="720"/>
  <c r="E682" i="720"/>
  <c r="E681" i="720"/>
  <c r="E680" i="720"/>
  <c r="T680" i="720"/>
  <c r="E678" i="720"/>
  <c r="E677" i="720"/>
  <c r="E676" i="720"/>
  <c r="E675" i="720"/>
  <c r="E674" i="720"/>
  <c r="E673" i="720"/>
  <c r="E671" i="720"/>
  <c r="E670" i="720"/>
  <c r="R670" i="720"/>
  <c r="E669" i="720"/>
  <c r="E667" i="720"/>
  <c r="E666" i="720"/>
  <c r="AE662" i="720"/>
  <c r="E661" i="720"/>
  <c r="P661" i="720"/>
  <c r="D661" i="720"/>
  <c r="AC661" i="720"/>
  <c r="E660" i="720"/>
  <c r="D660" i="720"/>
  <c r="AC660" i="720"/>
  <c r="E659" i="720"/>
  <c r="R659" i="720"/>
  <c r="D659" i="720"/>
  <c r="E657" i="720"/>
  <c r="D657" i="720"/>
  <c r="AC657" i="720"/>
  <c r="E656" i="720"/>
  <c r="D656" i="720"/>
  <c r="AC656" i="720"/>
  <c r="E655" i="720"/>
  <c r="N655" i="720"/>
  <c r="D655" i="720"/>
  <c r="AC655" i="720"/>
  <c r="E654" i="720"/>
  <c r="N654" i="720"/>
  <c r="N656" i="720"/>
  <c r="N657" i="720"/>
  <c r="N653" i="720"/>
  <c r="D654" i="720"/>
  <c r="AC654" i="720"/>
  <c r="E652" i="720"/>
  <c r="D652" i="720"/>
  <c r="F652" i="720"/>
  <c r="E651" i="720"/>
  <c r="R651" i="720"/>
  <c r="D651" i="720"/>
  <c r="AC651" i="720"/>
  <c r="E650" i="720"/>
  <c r="D650" i="720"/>
  <c r="AC650" i="720"/>
  <c r="D649" i="720"/>
  <c r="AE645" i="720"/>
  <c r="E644" i="720"/>
  <c r="T644" i="720"/>
  <c r="D644" i="720"/>
  <c r="AC644" i="720"/>
  <c r="E643" i="720"/>
  <c r="D643" i="720"/>
  <c r="AC643" i="720"/>
  <c r="E641" i="720"/>
  <c r="T641" i="720"/>
  <c r="E640" i="720"/>
  <c r="P640" i="720"/>
  <c r="E639" i="720"/>
  <c r="E638" i="720"/>
  <c r="E637" i="720"/>
  <c r="E636" i="720"/>
  <c r="E635" i="720"/>
  <c r="E634" i="720"/>
  <c r="E632" i="720"/>
  <c r="R632" i="720"/>
  <c r="D632" i="720"/>
  <c r="AC632" i="720"/>
  <c r="E631" i="720"/>
  <c r="D631" i="720"/>
  <c r="AC631" i="720"/>
  <c r="E630" i="720"/>
  <c r="N630" i="720"/>
  <c r="D630" i="720"/>
  <c r="AC630" i="720"/>
  <c r="E629" i="720"/>
  <c r="D629" i="720"/>
  <c r="AC629" i="720"/>
  <c r="AE625" i="720"/>
  <c r="E624" i="720"/>
  <c r="R624" i="720"/>
  <c r="E623" i="720"/>
  <c r="T623" i="720"/>
  <c r="E622" i="720"/>
  <c r="E621" i="720"/>
  <c r="P621" i="720"/>
  <c r="E620" i="720"/>
  <c r="R620" i="720"/>
  <c r="E619" i="720"/>
  <c r="E617" i="720"/>
  <c r="E616" i="720"/>
  <c r="E613" i="720"/>
  <c r="E612" i="720"/>
  <c r="L612" i="720"/>
  <c r="D606" i="720"/>
  <c r="D605" i="720"/>
  <c r="AC605" i="720"/>
  <c r="D604" i="720"/>
  <c r="D603" i="720"/>
  <c r="E601" i="720"/>
  <c r="E600" i="720"/>
  <c r="E599" i="720"/>
  <c r="L599" i="720"/>
  <c r="E598" i="720"/>
  <c r="E596" i="720"/>
  <c r="R596" i="720"/>
  <c r="AE591" i="720"/>
  <c r="AE578" i="720"/>
  <c r="D577" i="720"/>
  <c r="AC577" i="720"/>
  <c r="D576" i="720"/>
  <c r="D575" i="720"/>
  <c r="D574" i="720"/>
  <c r="D573" i="720"/>
  <c r="D571" i="720"/>
  <c r="D569" i="720"/>
  <c r="D568" i="720"/>
  <c r="D567" i="720"/>
  <c r="E565" i="720"/>
  <c r="E564" i="720"/>
  <c r="E563" i="720"/>
  <c r="E562" i="720"/>
  <c r="P562" i="720"/>
  <c r="E558" i="720"/>
  <c r="D558" i="720"/>
  <c r="AC558" i="720"/>
  <c r="E557" i="720"/>
  <c r="N557" i="720"/>
  <c r="D557" i="720"/>
  <c r="AC557" i="720"/>
  <c r="E556" i="720"/>
  <c r="D556" i="720"/>
  <c r="AC556" i="720"/>
  <c r="E555" i="720"/>
  <c r="D555" i="720"/>
  <c r="AC555" i="720"/>
  <c r="AC554" i="720"/>
  <c r="AA554" i="720"/>
  <c r="Y554" i="720"/>
  <c r="W554" i="720"/>
  <c r="E552" i="720"/>
  <c r="T552" i="720"/>
  <c r="E551" i="720"/>
  <c r="AE543" i="720"/>
  <c r="E542" i="720"/>
  <c r="D542" i="720"/>
  <c r="AC542" i="720"/>
  <c r="E541" i="720"/>
  <c r="D541" i="720"/>
  <c r="AC541" i="720"/>
  <c r="D540" i="720"/>
  <c r="E539" i="720"/>
  <c r="D539" i="720"/>
  <c r="Y539" i="720"/>
  <c r="E538" i="720"/>
  <c r="D538" i="720"/>
  <c r="AC538" i="720"/>
  <c r="E536" i="720"/>
  <c r="L536" i="720"/>
  <c r="D536" i="720"/>
  <c r="AC536" i="720"/>
  <c r="E535" i="720"/>
  <c r="D535" i="720"/>
  <c r="E534" i="720"/>
  <c r="D534" i="720"/>
  <c r="AC534" i="720"/>
  <c r="D533" i="720"/>
  <c r="AC533" i="720"/>
  <c r="E532" i="720"/>
  <c r="T532" i="720"/>
  <c r="D532" i="720"/>
  <c r="AA532" i="720"/>
  <c r="E530" i="720"/>
  <c r="D530" i="720"/>
  <c r="E528" i="720"/>
  <c r="D528" i="720"/>
  <c r="E526" i="720"/>
  <c r="D526" i="720"/>
  <c r="AA526" i="720"/>
  <c r="E525" i="720"/>
  <c r="D525" i="720"/>
  <c r="AA525" i="720"/>
  <c r="E521" i="720"/>
  <c r="E519" i="720"/>
  <c r="D516" i="720"/>
  <c r="AE514" i="720"/>
  <c r="E514" i="720"/>
  <c r="AC513" i="720"/>
  <c r="AA513" i="720"/>
  <c r="Y513" i="720"/>
  <c r="W513" i="720"/>
  <c r="AE513" i="720"/>
  <c r="J513" i="720"/>
  <c r="F513" i="720"/>
  <c r="E512" i="720"/>
  <c r="D512" i="720"/>
  <c r="AA512" i="720"/>
  <c r="AA511" i="720"/>
  <c r="E510" i="720"/>
  <c r="P510" i="720"/>
  <c r="P509" i="720"/>
  <c r="D510" i="720"/>
  <c r="AA510" i="720"/>
  <c r="AA509" i="720"/>
  <c r="E508" i="720"/>
  <c r="D508" i="720"/>
  <c r="AA508" i="720"/>
  <c r="D507" i="720"/>
  <c r="AA507" i="720"/>
  <c r="AA506" i="720"/>
  <c r="E507" i="720"/>
  <c r="D505" i="720"/>
  <c r="E504" i="720"/>
  <c r="D504" i="720"/>
  <c r="AA504" i="720"/>
  <c r="D503" i="720"/>
  <c r="E501" i="720"/>
  <c r="D501" i="720"/>
  <c r="E500" i="720"/>
  <c r="N500" i="720"/>
  <c r="D500" i="720"/>
  <c r="AC500" i="720"/>
  <c r="D498" i="720"/>
  <c r="E497" i="720"/>
  <c r="R497" i="720"/>
  <c r="D497" i="720"/>
  <c r="AC497" i="720"/>
  <c r="E496" i="720"/>
  <c r="N496" i="720"/>
  <c r="D496" i="720"/>
  <c r="AC496" i="720"/>
  <c r="E494" i="720"/>
  <c r="D494" i="720"/>
  <c r="D493" i="720"/>
  <c r="E492" i="720"/>
  <c r="D492" i="720"/>
  <c r="AC492" i="720"/>
  <c r="E491" i="720"/>
  <c r="D491" i="720"/>
  <c r="AC491" i="720"/>
  <c r="AE489" i="720"/>
  <c r="E487" i="720"/>
  <c r="E484" i="720"/>
  <c r="AE479" i="720"/>
  <c r="E478" i="720"/>
  <c r="N478" i="720"/>
  <c r="D478" i="720"/>
  <c r="AC478" i="720"/>
  <c r="E477" i="720"/>
  <c r="D477" i="720"/>
  <c r="AC477" i="720"/>
  <c r="D476" i="720"/>
  <c r="AC476" i="720"/>
  <c r="AC475" i="720"/>
  <c r="E474" i="720"/>
  <c r="D474" i="720"/>
  <c r="AA474" i="720"/>
  <c r="AE468" i="720"/>
  <c r="D376" i="720"/>
  <c r="J375" i="720"/>
  <c r="AE373" i="720"/>
  <c r="E372" i="720"/>
  <c r="T372" i="720"/>
  <c r="D372" i="720"/>
  <c r="E371" i="720"/>
  <c r="N371" i="720"/>
  <c r="D371" i="720"/>
  <c r="AC371" i="720"/>
  <c r="E369" i="720"/>
  <c r="E368" i="720"/>
  <c r="T368" i="720"/>
  <c r="E367" i="720"/>
  <c r="P367" i="720"/>
  <c r="E366" i="720"/>
  <c r="P366" i="720"/>
  <c r="E364" i="720"/>
  <c r="AE357" i="720"/>
  <c r="D356" i="720"/>
  <c r="E355" i="720"/>
  <c r="D355" i="720"/>
  <c r="AC355" i="720"/>
  <c r="E351" i="720"/>
  <c r="R351" i="720"/>
  <c r="E348" i="720"/>
  <c r="E347" i="720"/>
  <c r="E346" i="720"/>
  <c r="R346" i="720"/>
  <c r="E345" i="720"/>
  <c r="E344" i="720"/>
  <c r="D340" i="720"/>
  <c r="D339" i="720"/>
  <c r="D338" i="720"/>
  <c r="D337" i="720"/>
  <c r="AC337" i="720"/>
  <c r="D336" i="720"/>
  <c r="AE327" i="720"/>
  <c r="E327" i="720"/>
  <c r="D327" i="720"/>
  <c r="AE326" i="720"/>
  <c r="E326" i="720"/>
  <c r="D326" i="720"/>
  <c r="E325" i="720"/>
  <c r="E323" i="720"/>
  <c r="E311" i="720"/>
  <c r="L311" i="720"/>
  <c r="E301" i="720"/>
  <c r="E300" i="720"/>
  <c r="E280" i="720"/>
  <c r="E272" i="720"/>
  <c r="E271" i="720"/>
  <c r="P271" i="720"/>
  <c r="E270" i="720"/>
  <c r="E263" i="720"/>
  <c r="E262" i="720"/>
  <c r="L262" i="720"/>
  <c r="D256" i="720"/>
  <c r="D255" i="720"/>
  <c r="D254" i="720"/>
  <c r="D253" i="720"/>
  <c r="E249" i="720"/>
  <c r="R249" i="720"/>
  <c r="E248" i="720"/>
  <c r="AE244" i="720"/>
  <c r="E241" i="720"/>
  <c r="N241" i="720"/>
  <c r="E240" i="720"/>
  <c r="E239" i="720"/>
  <c r="E238" i="720"/>
  <c r="E237" i="720"/>
  <c r="E236" i="720"/>
  <c r="E235" i="720"/>
  <c r="E232" i="720"/>
  <c r="E231" i="720"/>
  <c r="E229" i="720"/>
  <c r="E223" i="720"/>
  <c r="E222" i="720"/>
  <c r="E220" i="720"/>
  <c r="R220" i="720"/>
  <c r="E219" i="720"/>
  <c r="L219" i="720"/>
  <c r="E218" i="720"/>
  <c r="E213" i="720"/>
  <c r="E212" i="720"/>
  <c r="R212" i="720"/>
  <c r="E211" i="720"/>
  <c r="E210" i="720"/>
  <c r="D203" i="720"/>
  <c r="D200" i="720"/>
  <c r="D198" i="720"/>
  <c r="D196" i="720"/>
  <c r="E193" i="720"/>
  <c r="N193" i="720"/>
  <c r="D193" i="720"/>
  <c r="AC193" i="720"/>
  <c r="D192" i="720"/>
  <c r="D191" i="720"/>
  <c r="E190" i="720"/>
  <c r="L190" i="720"/>
  <c r="D190" i="720"/>
  <c r="AC190" i="720"/>
  <c r="D189" i="720"/>
  <c r="E186" i="720"/>
  <c r="T186" i="720"/>
  <c r="E177" i="720"/>
  <c r="E176" i="720"/>
  <c r="R176" i="720"/>
  <c r="AE170" i="720"/>
  <c r="E169" i="720"/>
  <c r="P169" i="720"/>
  <c r="D169" i="720"/>
  <c r="AA169" i="720"/>
  <c r="E168" i="720"/>
  <c r="D168" i="720"/>
  <c r="AA168" i="720"/>
  <c r="AE167" i="720"/>
  <c r="E165" i="720"/>
  <c r="E161" i="720"/>
  <c r="E160" i="720"/>
  <c r="J159" i="720"/>
  <c r="E158" i="720"/>
  <c r="E157" i="720"/>
  <c r="E156" i="720"/>
  <c r="E155" i="720"/>
  <c r="E154" i="720"/>
  <c r="N154" i="720"/>
  <c r="E153" i="720"/>
  <c r="J152" i="720"/>
  <c r="D146" i="720"/>
  <c r="D145" i="720"/>
  <c r="D144" i="720"/>
  <c r="D143" i="720"/>
  <c r="E137" i="720"/>
  <c r="R137" i="720"/>
  <c r="D131" i="720"/>
  <c r="D130" i="720"/>
  <c r="D129" i="720"/>
  <c r="D127" i="720"/>
  <c r="D126" i="720"/>
  <c r="D125" i="720"/>
  <c r="AE121" i="720"/>
  <c r="E120" i="720"/>
  <c r="D120" i="720"/>
  <c r="AC120" i="720"/>
  <c r="D118" i="720"/>
  <c r="D117" i="720"/>
  <c r="D116" i="720"/>
  <c r="D115" i="720"/>
  <c r="D114" i="720"/>
  <c r="E109" i="720"/>
  <c r="L109" i="720"/>
  <c r="E108" i="720"/>
  <c r="D79" i="720"/>
  <c r="D78" i="720"/>
  <c r="D77" i="720"/>
  <c r="D76" i="720"/>
  <c r="D74" i="720"/>
  <c r="AE60" i="720"/>
  <c r="D59" i="720"/>
  <c r="AC59" i="720"/>
  <c r="D58" i="720"/>
  <c r="D57" i="720"/>
  <c r="D56" i="720"/>
  <c r="AC56" i="720"/>
  <c r="D55" i="720"/>
  <c r="AC55" i="720"/>
  <c r="B48" i="720"/>
  <c r="E47" i="720"/>
  <c r="AC40" i="720"/>
  <c r="AA40" i="720"/>
  <c r="Y40" i="720"/>
  <c r="W40" i="720"/>
  <c r="J40" i="720"/>
  <c r="F40" i="720"/>
  <c r="AB38" i="720"/>
  <c r="Z38" i="720"/>
  <c r="X38" i="720"/>
  <c r="E38" i="720"/>
  <c r="E32" i="720"/>
  <c r="E22" i="720"/>
  <c r="R22" i="720"/>
  <c r="D22" i="720"/>
  <c r="D21" i="720"/>
  <c r="D20" i="720"/>
  <c r="E38" i="721"/>
  <c r="F38" i="721"/>
  <c r="D184" i="721"/>
  <c r="D199" i="721"/>
  <c r="D472" i="721"/>
  <c r="D584" i="721"/>
  <c r="D729" i="721"/>
  <c r="D770" i="721"/>
  <c r="D150" i="721"/>
  <c r="L137" i="720"/>
  <c r="T155" i="720"/>
  <c r="N155" i="720"/>
  <c r="L186" i="720"/>
  <c r="P186" i="720"/>
  <c r="P347" i="720"/>
  <c r="N347" i="720"/>
  <c r="L347" i="720"/>
  <c r="R347" i="720"/>
  <c r="T347" i="720"/>
  <c r="N366" i="720"/>
  <c r="L366" i="720"/>
  <c r="T366" i="720"/>
  <c r="R366" i="720"/>
  <c r="P477" i="720"/>
  <c r="L477" i="720"/>
  <c r="T491" i="720"/>
  <c r="R491" i="720"/>
  <c r="P491" i="720"/>
  <c r="N491" i="720"/>
  <c r="L491" i="720"/>
  <c r="T510" i="720"/>
  <c r="T509" i="720"/>
  <c r="N510" i="720"/>
  <c r="N509" i="720"/>
  <c r="R510" i="720"/>
  <c r="R509" i="720"/>
  <c r="L510" i="720"/>
  <c r="L509" i="720"/>
  <c r="R538" i="720"/>
  <c r="L538" i="720"/>
  <c r="T555" i="720"/>
  <c r="T563" i="720"/>
  <c r="R563" i="720"/>
  <c r="P563" i="720"/>
  <c r="N563" i="720"/>
  <c r="L563" i="720"/>
  <c r="P599" i="720"/>
  <c r="N599" i="720"/>
  <c r="T599" i="720"/>
  <c r="R599" i="720"/>
  <c r="L624" i="720"/>
  <c r="T640" i="720"/>
  <c r="N640" i="720"/>
  <c r="R640" i="720"/>
  <c r="L640" i="720"/>
  <c r="N670" i="720"/>
  <c r="L670" i="720"/>
  <c r="P670" i="720"/>
  <c r="T670" i="720"/>
  <c r="L680" i="720"/>
  <c r="R680" i="720"/>
  <c r="P680" i="720"/>
  <c r="N680" i="720"/>
  <c r="N703" i="720"/>
  <c r="T703" i="720"/>
  <c r="R703" i="720"/>
  <c r="P703" i="720"/>
  <c r="L703" i="720"/>
  <c r="T737" i="720"/>
  <c r="R737" i="720"/>
  <c r="P737" i="720"/>
  <c r="N737" i="720"/>
  <c r="L737" i="720"/>
  <c r="T746" i="720"/>
  <c r="R746" i="720"/>
  <c r="P746" i="720"/>
  <c r="N746" i="720"/>
  <c r="L761" i="720"/>
  <c r="T761" i="720"/>
  <c r="R761" i="720"/>
  <c r="P761" i="720"/>
  <c r="P772" i="720"/>
  <c r="N772" i="720"/>
  <c r="L772" i="720"/>
  <c r="T772" i="720"/>
  <c r="R772" i="720"/>
  <c r="N790" i="720"/>
  <c r="T790" i="720"/>
  <c r="R790" i="720"/>
  <c r="R799" i="720"/>
  <c r="P799" i="720"/>
  <c r="N799" i="720"/>
  <c r="P827" i="720"/>
  <c r="T827" i="720"/>
  <c r="R836" i="720"/>
  <c r="P836" i="720"/>
  <c r="N836" i="720"/>
  <c r="L836" i="720"/>
  <c r="T836" i="720"/>
  <c r="P154" i="720"/>
  <c r="L154" i="720"/>
  <c r="T154" i="720"/>
  <c r="R154" i="720"/>
  <c r="P165" i="720"/>
  <c r="N165" i="720"/>
  <c r="L165" i="720"/>
  <c r="P177" i="720"/>
  <c r="N177" i="720"/>
  <c r="L177" i="720"/>
  <c r="T177" i="720"/>
  <c r="R177" i="720"/>
  <c r="R193" i="720"/>
  <c r="P193" i="720"/>
  <c r="L193" i="720"/>
  <c r="T212" i="720"/>
  <c r="P212" i="720"/>
  <c r="N212" i="720"/>
  <c r="N231" i="720"/>
  <c r="L231" i="720"/>
  <c r="R231" i="720"/>
  <c r="R241" i="720"/>
  <c r="P241" i="720"/>
  <c r="L241" i="720"/>
  <c r="R262" i="720"/>
  <c r="P262" i="720"/>
  <c r="N262" i="720"/>
  <c r="P311" i="720"/>
  <c r="T311" i="720"/>
  <c r="R311" i="720"/>
  <c r="P346" i="720"/>
  <c r="N346" i="720"/>
  <c r="R364" i="720"/>
  <c r="P364" i="720"/>
  <c r="N364" i="720"/>
  <c r="L364" i="720"/>
  <c r="T364" i="720"/>
  <c r="L372" i="720"/>
  <c r="N372" i="720"/>
  <c r="R372" i="720"/>
  <c r="P372" i="720"/>
  <c r="P371" i="720"/>
  <c r="P370" i="720"/>
  <c r="L496" i="720"/>
  <c r="T496" i="720"/>
  <c r="R496" i="720"/>
  <c r="R542" i="720"/>
  <c r="P542" i="720"/>
  <c r="R562" i="720"/>
  <c r="L562" i="720"/>
  <c r="T562" i="720"/>
  <c r="R598" i="720"/>
  <c r="T598" i="720"/>
  <c r="P598" i="720"/>
  <c r="N598" i="720"/>
  <c r="L598" i="720"/>
  <c r="R612" i="720"/>
  <c r="P612" i="720"/>
  <c r="N612" i="720"/>
  <c r="T612" i="720"/>
  <c r="N623" i="720"/>
  <c r="L623" i="720"/>
  <c r="R623" i="720"/>
  <c r="P623" i="720"/>
  <c r="N631" i="720"/>
  <c r="T631" i="720"/>
  <c r="R631" i="720"/>
  <c r="P631" i="720"/>
  <c r="L631" i="720"/>
  <c r="T654" i="720"/>
  <c r="T655" i="720"/>
  <c r="T656" i="720"/>
  <c r="T657" i="720"/>
  <c r="T653" i="720"/>
  <c r="N659" i="720"/>
  <c r="P659" i="720"/>
  <c r="L659" i="720"/>
  <c r="R669" i="720"/>
  <c r="L669" i="720"/>
  <c r="R678" i="720"/>
  <c r="N699" i="720"/>
  <c r="L699" i="720"/>
  <c r="R699" i="720"/>
  <c r="T699" i="720"/>
  <c r="T717" i="720"/>
  <c r="R717" i="720"/>
  <c r="P717" i="720"/>
  <c r="N717" i="720"/>
  <c r="L717" i="720"/>
  <c r="L736" i="720"/>
  <c r="T736" i="720"/>
  <c r="R736" i="720"/>
  <c r="T745" i="720"/>
  <c r="R745" i="720"/>
  <c r="T753" i="720"/>
  <c r="R753" i="720"/>
  <c r="P753" i="720"/>
  <c r="N753" i="720"/>
  <c r="L753" i="720"/>
  <c r="R765" i="720"/>
  <c r="T765" i="720"/>
  <c r="R779" i="720"/>
  <c r="N779" i="720"/>
  <c r="L779" i="720"/>
  <c r="T779" i="720"/>
  <c r="N789" i="720"/>
  <c r="N798" i="720"/>
  <c r="P798" i="720"/>
  <c r="T812" i="720"/>
  <c r="R812" i="720"/>
  <c r="N812" i="720"/>
  <c r="L812" i="720"/>
  <c r="L835" i="720"/>
  <c r="P835" i="720"/>
  <c r="N835" i="720"/>
  <c r="R835" i="720"/>
  <c r="R153" i="720"/>
  <c r="N153" i="720"/>
  <c r="T176" i="720"/>
  <c r="N176" i="720"/>
  <c r="P176" i="720"/>
  <c r="L176" i="720"/>
  <c r="P211" i="720"/>
  <c r="T211" i="720"/>
  <c r="P229" i="720"/>
  <c r="N240" i="720"/>
  <c r="T240" i="720"/>
  <c r="T301" i="720"/>
  <c r="N301" i="720"/>
  <c r="T345" i="720"/>
  <c r="N345" i="720"/>
  <c r="P501" i="720"/>
  <c r="T501" i="720"/>
  <c r="R501" i="720"/>
  <c r="L501" i="720"/>
  <c r="N501" i="720"/>
  <c r="R508" i="720"/>
  <c r="L508" i="720"/>
  <c r="N536" i="720"/>
  <c r="R536" i="720"/>
  <c r="T536" i="720"/>
  <c r="P536" i="720"/>
  <c r="L558" i="720"/>
  <c r="N596" i="720"/>
  <c r="L596" i="720"/>
  <c r="T596" i="720"/>
  <c r="P596" i="720"/>
  <c r="T622" i="720"/>
  <c r="R622" i="720"/>
  <c r="P622" i="720"/>
  <c r="N622" i="720"/>
  <c r="L622" i="720"/>
  <c r="R638" i="720"/>
  <c r="T638" i="720"/>
  <c r="P638" i="720"/>
  <c r="L638" i="720"/>
  <c r="N638" i="720"/>
  <c r="L667" i="720"/>
  <c r="T667" i="720"/>
  <c r="R667" i="720"/>
  <c r="N667" i="720"/>
  <c r="P667" i="720"/>
  <c r="R677" i="720"/>
  <c r="P677" i="720"/>
  <c r="N677" i="720"/>
  <c r="L677" i="720"/>
  <c r="T677" i="720"/>
  <c r="P686" i="720"/>
  <c r="N686" i="720"/>
  <c r="L686" i="720"/>
  <c r="R686" i="720"/>
  <c r="T686" i="720"/>
  <c r="T695" i="720"/>
  <c r="N695" i="720"/>
  <c r="P695" i="720"/>
  <c r="L695" i="720"/>
  <c r="R735" i="720"/>
  <c r="P735" i="720"/>
  <c r="N735" i="720"/>
  <c r="T743" i="720"/>
  <c r="R743" i="720"/>
  <c r="P743" i="720"/>
  <c r="L743" i="720"/>
  <c r="T760" i="720"/>
  <c r="R760" i="720"/>
  <c r="P760" i="720"/>
  <c r="N760" i="720"/>
  <c r="L760" i="720"/>
  <c r="T771" i="720"/>
  <c r="N771" i="720"/>
  <c r="L771" i="720"/>
  <c r="P771" i="720"/>
  <c r="R771" i="720"/>
  <c r="R788" i="720"/>
  <c r="P788" i="720"/>
  <c r="N788" i="720"/>
  <c r="L788" i="720"/>
  <c r="T788" i="720"/>
  <c r="T797" i="720"/>
  <c r="R797" i="720"/>
  <c r="P797" i="720"/>
  <c r="L797" i="720"/>
  <c r="N797" i="720"/>
  <c r="T834" i="720"/>
  <c r="R834" i="720"/>
  <c r="N834" i="720"/>
  <c r="L834" i="720"/>
  <c r="L831" i="720"/>
  <c r="L832" i="720"/>
  <c r="L833" i="720"/>
  <c r="L837" i="720"/>
  <c r="L830" i="720"/>
  <c r="T22" i="720"/>
  <c r="P22" i="720"/>
  <c r="N22" i="720"/>
  <c r="L22" i="720"/>
  <c r="T108" i="720"/>
  <c r="N108" i="720"/>
  <c r="L108" i="720"/>
  <c r="R108" i="720"/>
  <c r="P108" i="720"/>
  <c r="T160" i="720"/>
  <c r="R160" i="720"/>
  <c r="P160" i="720"/>
  <c r="N160" i="720"/>
  <c r="L160" i="720"/>
  <c r="T210" i="720"/>
  <c r="R210" i="720"/>
  <c r="P210" i="720"/>
  <c r="N210" i="720"/>
  <c r="L210" i="720"/>
  <c r="N344" i="720"/>
  <c r="L344" i="720"/>
  <c r="P344" i="720"/>
  <c r="T344" i="720"/>
  <c r="R344" i="720"/>
  <c r="N474" i="720"/>
  <c r="R521" i="720"/>
  <c r="P521" i="720"/>
  <c r="N521" i="720"/>
  <c r="L521" i="720"/>
  <c r="T521" i="720"/>
  <c r="T541" i="720"/>
  <c r="R541" i="720"/>
  <c r="L541" i="720"/>
  <c r="P541" i="720"/>
  <c r="N541" i="720"/>
  <c r="P630" i="720"/>
  <c r="L630" i="720"/>
  <c r="L629" i="720"/>
  <c r="L632" i="720"/>
  <c r="L628" i="720"/>
  <c r="R630" i="720"/>
  <c r="R629" i="720"/>
  <c r="R628" i="720"/>
  <c r="T630" i="720"/>
  <c r="R666" i="720"/>
  <c r="P666" i="720"/>
  <c r="T742" i="720"/>
  <c r="R742" i="720"/>
  <c r="P742" i="720"/>
  <c r="N742" i="720"/>
  <c r="L742" i="720"/>
  <c r="L169" i="720"/>
  <c r="T169" i="720"/>
  <c r="R169" i="720"/>
  <c r="N169" i="720"/>
  <c r="T355" i="720"/>
  <c r="R355" i="720"/>
  <c r="P355" i="720"/>
  <c r="N355" i="720"/>
  <c r="L355" i="720"/>
  <c r="T763" i="720"/>
  <c r="R763" i="720"/>
  <c r="P763" i="720"/>
  <c r="N763" i="720"/>
  <c r="L763" i="720"/>
  <c r="P120" i="720"/>
  <c r="P119" i="720"/>
  <c r="L120" i="720"/>
  <c r="L119" i="720"/>
  <c r="R120" i="720"/>
  <c r="R119" i="720"/>
  <c r="T239" i="720"/>
  <c r="R239" i="720"/>
  <c r="P239" i="720"/>
  <c r="N239" i="720"/>
  <c r="L239" i="720"/>
  <c r="T371" i="720"/>
  <c r="R371" i="720"/>
  <c r="L371" i="720"/>
  <c r="T494" i="720"/>
  <c r="R494" i="720"/>
  <c r="P494" i="720"/>
  <c r="N494" i="720"/>
  <c r="L494" i="720"/>
  <c r="R621" i="720"/>
  <c r="N621" i="720"/>
  <c r="L621" i="720"/>
  <c r="T621" i="720"/>
  <c r="R644" i="720"/>
  <c r="N644" i="720"/>
  <c r="P644" i="720"/>
  <c r="R657" i="720"/>
  <c r="P657" i="720"/>
  <c r="L657" i="720"/>
  <c r="R685" i="720"/>
  <c r="L685" i="720"/>
  <c r="P280" i="720"/>
  <c r="R500" i="720"/>
  <c r="P500" i="720"/>
  <c r="P499" i="720"/>
  <c r="L500" i="720"/>
  <c r="L499" i="720"/>
  <c r="T500" i="720"/>
  <c r="N620" i="720"/>
  <c r="T675" i="720"/>
  <c r="N675" i="720"/>
  <c r="R675" i="720"/>
  <c r="P675" i="720"/>
  <c r="L675" i="720"/>
  <c r="N741" i="720"/>
  <c r="L741" i="720"/>
  <c r="T741" i="720"/>
  <c r="P741" i="720"/>
  <c r="R741" i="720"/>
  <c r="T777" i="720"/>
  <c r="R777" i="720"/>
  <c r="P777" i="720"/>
  <c r="N777" i="720"/>
  <c r="L777" i="720"/>
  <c r="T794" i="720"/>
  <c r="R794" i="720"/>
  <c r="P794" i="720"/>
  <c r="N794" i="720"/>
  <c r="L794" i="720"/>
  <c r="T832" i="720"/>
  <c r="P832" i="720"/>
  <c r="N832" i="720"/>
  <c r="R832" i="720"/>
  <c r="T47" i="720"/>
  <c r="P47" i="720"/>
  <c r="P190" i="720"/>
  <c r="N190" i="720"/>
  <c r="R190" i="720"/>
  <c r="T190" i="720"/>
  <c r="T220" i="720"/>
  <c r="P220" i="720"/>
  <c r="N220" i="720"/>
  <c r="L220" i="720"/>
  <c r="P369" i="720"/>
  <c r="N369" i="720"/>
  <c r="L369" i="720"/>
  <c r="R369" i="720"/>
  <c r="T369" i="720"/>
  <c r="N528" i="720"/>
  <c r="N527" i="720"/>
  <c r="L528" i="720"/>
  <c r="L527" i="720"/>
  <c r="P528" i="720"/>
  <c r="P527" i="720"/>
  <c r="T528" i="720"/>
  <c r="T527" i="720"/>
  <c r="R528" i="720"/>
  <c r="R527" i="720"/>
  <c r="P635" i="720"/>
  <c r="N635" i="720"/>
  <c r="L656" i="720"/>
  <c r="R656" i="720"/>
  <c r="P656" i="720"/>
  <c r="T749" i="720"/>
  <c r="R749" i="720"/>
  <c r="P749" i="720"/>
  <c r="N749" i="720"/>
  <c r="N793" i="720"/>
  <c r="T793" i="720"/>
  <c r="T821" i="720"/>
  <c r="R821" i="720"/>
  <c r="P821" i="720"/>
  <c r="N821" i="720"/>
  <c r="L821" i="720"/>
  <c r="P157" i="720"/>
  <c r="N157" i="720"/>
  <c r="R168" i="720"/>
  <c r="P168" i="720"/>
  <c r="N219" i="720"/>
  <c r="T219" i="720"/>
  <c r="P219" i="720"/>
  <c r="R219" i="720"/>
  <c r="R236" i="720"/>
  <c r="P236" i="720"/>
  <c r="L236" i="720"/>
  <c r="L249" i="720"/>
  <c r="N249" i="720"/>
  <c r="T249" i="720"/>
  <c r="P249" i="720"/>
  <c r="T271" i="720"/>
  <c r="R271" i="720"/>
  <c r="N271" i="720"/>
  <c r="L271" i="720"/>
  <c r="T351" i="720"/>
  <c r="N351" i="720"/>
  <c r="L351" i="720"/>
  <c r="P351" i="720"/>
  <c r="R368" i="720"/>
  <c r="P368" i="720"/>
  <c r="L368" i="720"/>
  <c r="L478" i="720"/>
  <c r="T478" i="720"/>
  <c r="R478" i="720"/>
  <c r="P478" i="720"/>
  <c r="AA478" i="720"/>
  <c r="Y478" i="720"/>
  <c r="W478" i="720"/>
  <c r="AE478" i="720"/>
  <c r="T492" i="720"/>
  <c r="R492" i="720"/>
  <c r="P492" i="720"/>
  <c r="N492" i="720"/>
  <c r="L492" i="720"/>
  <c r="T512" i="720"/>
  <c r="T511" i="720"/>
  <c r="R512" i="720"/>
  <c r="R511" i="720"/>
  <c r="P512" i="720"/>
  <c r="P511" i="720"/>
  <c r="N512" i="720"/>
  <c r="N511" i="720"/>
  <c r="L512" i="720"/>
  <c r="L511" i="720"/>
  <c r="R534" i="720"/>
  <c r="P534" i="720"/>
  <c r="N534" i="720"/>
  <c r="L534" i="720"/>
  <c r="T534" i="720"/>
  <c r="T539" i="720"/>
  <c r="P539" i="720"/>
  <c r="R539" i="720"/>
  <c r="L539" i="720"/>
  <c r="N539" i="720"/>
  <c r="R552" i="720"/>
  <c r="P552" i="720"/>
  <c r="N552" i="720"/>
  <c r="L552" i="720"/>
  <c r="T556" i="720"/>
  <c r="R556" i="720"/>
  <c r="P556" i="720"/>
  <c r="N556" i="720"/>
  <c r="L556" i="720"/>
  <c r="T565" i="720"/>
  <c r="L601" i="720"/>
  <c r="T601" i="720"/>
  <c r="P601" i="720"/>
  <c r="N601" i="720"/>
  <c r="R601" i="720"/>
  <c r="R617" i="720"/>
  <c r="T617" i="720"/>
  <c r="N617" i="720"/>
  <c r="L617" i="720"/>
  <c r="P617" i="720"/>
  <c r="R634" i="720"/>
  <c r="P634" i="720"/>
  <c r="N634" i="720"/>
  <c r="L634" i="720"/>
  <c r="T634" i="720"/>
  <c r="R673" i="720"/>
  <c r="T673" i="720"/>
  <c r="P673" i="720"/>
  <c r="N673" i="720"/>
  <c r="L673" i="720"/>
  <c r="P682" i="720"/>
  <c r="T682" i="720"/>
  <c r="R682" i="720"/>
  <c r="N682" i="720"/>
  <c r="L682" i="720"/>
  <c r="R689" i="720"/>
  <c r="P689" i="720"/>
  <c r="N689" i="720"/>
  <c r="L689" i="720"/>
  <c r="T708" i="720"/>
  <c r="N708" i="720"/>
  <c r="P708" i="720"/>
  <c r="R739" i="720"/>
  <c r="P739" i="720"/>
  <c r="N739" i="720"/>
  <c r="T739" i="720"/>
  <c r="P748" i="720"/>
  <c r="N748" i="720"/>
  <c r="R748" i="720"/>
  <c r="T748" i="720"/>
  <c r="R762" i="720"/>
  <c r="P762" i="720"/>
  <c r="N762" i="720"/>
  <c r="L762" i="720"/>
  <c r="T762" i="720"/>
  <c r="T792" i="720"/>
  <c r="L792" i="720"/>
  <c r="R792" i="720"/>
  <c r="P792" i="720"/>
  <c r="N792" i="720"/>
  <c r="R805" i="720"/>
  <c r="P805" i="720"/>
  <c r="N805" i="720"/>
  <c r="L805" i="720"/>
  <c r="T805" i="720"/>
  <c r="R814" i="720"/>
  <c r="P814" i="720"/>
  <c r="L814" i="720"/>
  <c r="T814" i="720"/>
  <c r="T223" i="720"/>
  <c r="R223" i="720"/>
  <c r="P223" i="720"/>
  <c r="N223" i="720"/>
  <c r="L223" i="720"/>
  <c r="R300" i="720"/>
  <c r="P300" i="720"/>
  <c r="N300" i="720"/>
  <c r="L300" i="720"/>
  <c r="T300" i="720"/>
  <c r="T487" i="720"/>
  <c r="R487" i="720"/>
  <c r="P487" i="720"/>
  <c r="N487" i="720"/>
  <c r="L487" i="720"/>
  <c r="R530" i="720"/>
  <c r="R529" i="720"/>
  <c r="P530" i="720"/>
  <c r="P529" i="720"/>
  <c r="N530" i="720"/>
  <c r="N529" i="720"/>
  <c r="L530" i="720"/>
  <c r="L529" i="720"/>
  <c r="T530" i="720"/>
  <c r="T529" i="720"/>
  <c r="R637" i="720"/>
  <c r="P637" i="720"/>
  <c r="L637" i="720"/>
  <c r="L652" i="720"/>
  <c r="T652" i="720"/>
  <c r="P652" i="720"/>
  <c r="N652" i="720"/>
  <c r="R652" i="720"/>
  <c r="L676" i="720"/>
  <c r="P676" i="720"/>
  <c r="P694" i="720"/>
  <c r="N694" i="720"/>
  <c r="L694" i="720"/>
  <c r="R694" i="720"/>
  <c r="T694" i="720"/>
  <c r="R751" i="720"/>
  <c r="P751" i="720"/>
  <c r="N751" i="720"/>
  <c r="T751" i="720"/>
  <c r="L787" i="720"/>
  <c r="P787" i="720"/>
  <c r="T787" i="720"/>
  <c r="N787" i="720"/>
  <c r="R787" i="720"/>
  <c r="R796" i="720"/>
  <c r="P796" i="720"/>
  <c r="N796" i="720"/>
  <c r="L796" i="720"/>
  <c r="T796" i="720"/>
  <c r="P833" i="720"/>
  <c r="N833" i="720"/>
  <c r="R833" i="720"/>
  <c r="T833" i="720"/>
  <c r="T484" i="720"/>
  <c r="R484" i="720"/>
  <c r="P484" i="720"/>
  <c r="N484" i="720"/>
  <c r="L484" i="720"/>
  <c r="N507" i="720"/>
  <c r="L507" i="720"/>
  <c r="L506" i="720"/>
  <c r="P507" i="720"/>
  <c r="R507" i="720"/>
  <c r="T507" i="720"/>
  <c r="R519" i="720"/>
  <c r="P535" i="720"/>
  <c r="T535" i="720"/>
  <c r="R535" i="720"/>
  <c r="N535" i="720"/>
  <c r="L535" i="720"/>
  <c r="L557" i="720"/>
  <c r="T557" i="720"/>
  <c r="R557" i="720"/>
  <c r="P557" i="720"/>
  <c r="N636" i="720"/>
  <c r="L636" i="720"/>
  <c r="T636" i="720"/>
  <c r="R636" i="720"/>
  <c r="P636" i="720"/>
  <c r="T684" i="720"/>
  <c r="R684" i="720"/>
  <c r="P684" i="720"/>
  <c r="L684" i="720"/>
  <c r="N684" i="720"/>
  <c r="T750" i="720"/>
  <c r="R750" i="720"/>
  <c r="P750" i="720"/>
  <c r="N750" i="720"/>
  <c r="T786" i="720"/>
  <c r="R786" i="720"/>
  <c r="P786" i="720"/>
  <c r="N786" i="720"/>
  <c r="L786" i="720"/>
  <c r="T158" i="720"/>
  <c r="R158" i="720"/>
  <c r="P158" i="720"/>
  <c r="L158" i="720"/>
  <c r="N158" i="720"/>
  <c r="L237" i="720"/>
  <c r="N237" i="720"/>
  <c r="T237" i="720"/>
  <c r="R237" i="720"/>
  <c r="P237" i="720"/>
  <c r="N272" i="720"/>
  <c r="L272" i="720"/>
  <c r="T272" i="720"/>
  <c r="R272" i="720"/>
  <c r="P272" i="720"/>
  <c r="N619" i="720"/>
  <c r="T619" i="720"/>
  <c r="R619" i="720"/>
  <c r="P619" i="720"/>
  <c r="L619" i="720"/>
  <c r="T629" i="720"/>
  <c r="P629" i="720"/>
  <c r="N629" i="720"/>
  <c r="N643" i="720"/>
  <c r="N642" i="720"/>
  <c r="L643" i="720"/>
  <c r="T651" i="720"/>
  <c r="N651" i="720"/>
  <c r="P651" i="720"/>
  <c r="L651" i="720"/>
  <c r="R661" i="720"/>
  <c r="R660" i="720"/>
  <c r="R658" i="720"/>
  <c r="N661" i="720"/>
  <c r="N660" i="720"/>
  <c r="N658" i="720"/>
  <c r="L661" i="720"/>
  <c r="T661" i="720"/>
  <c r="N674" i="720"/>
  <c r="L674" i="720"/>
  <c r="T674" i="720"/>
  <c r="N683" i="720"/>
  <c r="L683" i="720"/>
  <c r="P683" i="720"/>
  <c r="T683" i="720"/>
  <c r="R709" i="720"/>
  <c r="P709" i="720"/>
  <c r="N709" i="720"/>
  <c r="L709" i="720"/>
  <c r="T709" i="720"/>
  <c r="T719" i="720"/>
  <c r="R719" i="720"/>
  <c r="N719" i="720"/>
  <c r="P719" i="720"/>
  <c r="L719" i="720"/>
  <c r="T740" i="720"/>
  <c r="R740" i="720"/>
  <c r="P740" i="720"/>
  <c r="N740" i="720"/>
  <c r="L740" i="720"/>
  <c r="T767" i="720"/>
  <c r="R767" i="720"/>
  <c r="P767" i="720"/>
  <c r="AA767" i="720"/>
  <c r="Y767" i="720"/>
  <c r="W767" i="720"/>
  <c r="N767" i="720"/>
  <c r="L767" i="720"/>
  <c r="AE767" i="720"/>
  <c r="N785" i="720"/>
  <c r="R785" i="720"/>
  <c r="T808" i="720"/>
  <c r="P808" i="720"/>
  <c r="N808" i="720"/>
  <c r="L808" i="720"/>
  <c r="T831" i="720"/>
  <c r="R831" i="720"/>
  <c r="P831" i="720"/>
  <c r="N831" i="720"/>
  <c r="T32" i="720"/>
  <c r="R32" i="720"/>
  <c r="P32" i="720"/>
  <c r="N32" i="720"/>
  <c r="L32" i="720"/>
  <c r="P109" i="720"/>
  <c r="N109" i="720"/>
  <c r="T109" i="720"/>
  <c r="R109" i="720"/>
  <c r="L156" i="720"/>
  <c r="T156" i="720"/>
  <c r="R156" i="720"/>
  <c r="P156" i="720"/>
  <c r="N156" i="720"/>
  <c r="T218" i="720"/>
  <c r="R218" i="720"/>
  <c r="N218" i="720"/>
  <c r="L218" i="720"/>
  <c r="P218" i="720"/>
  <c r="P235" i="720"/>
  <c r="N235" i="720"/>
  <c r="L235" i="720"/>
  <c r="R235" i="720"/>
  <c r="T235" i="720"/>
  <c r="T248" i="720"/>
  <c r="R248" i="720"/>
  <c r="P248" i="720"/>
  <c r="N248" i="720"/>
  <c r="L248" i="720"/>
  <c r="R270" i="720"/>
  <c r="P270" i="720"/>
  <c r="N270" i="720"/>
  <c r="L270" i="720"/>
  <c r="T270" i="720"/>
  <c r="L325" i="720"/>
  <c r="N325" i="720"/>
  <c r="T325" i="720"/>
  <c r="R325" i="720"/>
  <c r="P325" i="720"/>
  <c r="T348" i="720"/>
  <c r="R348" i="720"/>
  <c r="P348" i="720"/>
  <c r="N348" i="720"/>
  <c r="L348" i="720"/>
  <c r="T367" i="720"/>
  <c r="R367" i="720"/>
  <c r="N367" i="720"/>
  <c r="L367" i="720"/>
  <c r="T497" i="720"/>
  <c r="P497" i="720"/>
  <c r="N497" i="720"/>
  <c r="L497" i="720"/>
  <c r="T504" i="720"/>
  <c r="L504" i="720"/>
  <c r="R504" i="720"/>
  <c r="P504" i="720"/>
  <c r="N504" i="720"/>
  <c r="R526" i="720"/>
  <c r="T526" i="720"/>
  <c r="P526" i="720"/>
  <c r="N526" i="720"/>
  <c r="L526" i="720"/>
  <c r="P551" i="720"/>
  <c r="N551" i="720"/>
  <c r="N564" i="720"/>
  <c r="L564" i="720"/>
  <c r="R564" i="720"/>
  <c r="P564" i="720"/>
  <c r="T564" i="720"/>
  <c r="N600" i="720"/>
  <c r="T616" i="720"/>
  <c r="R616" i="720"/>
  <c r="P616" i="720"/>
  <c r="N616" i="720"/>
  <c r="L616" i="720"/>
  <c r="T632" i="720"/>
  <c r="P632" i="720"/>
  <c r="P628" i="720"/>
  <c r="N632" i="720"/>
  <c r="L641" i="720"/>
  <c r="N641" i="720"/>
  <c r="R641" i="720"/>
  <c r="P641" i="720"/>
  <c r="P650" i="720"/>
  <c r="N650" i="720"/>
  <c r="L650" i="720"/>
  <c r="T650" i="720"/>
  <c r="R650" i="720"/>
  <c r="R655" i="720"/>
  <c r="P655" i="720"/>
  <c r="L655" i="720"/>
  <c r="L660" i="720"/>
  <c r="T660" i="720"/>
  <c r="P660" i="720"/>
  <c r="T671" i="720"/>
  <c r="N671" i="720"/>
  <c r="P681" i="720"/>
  <c r="T707" i="720"/>
  <c r="R707" i="720"/>
  <c r="P707" i="720"/>
  <c r="N707" i="720"/>
  <c r="L707" i="720"/>
  <c r="P718" i="720"/>
  <c r="N718" i="720"/>
  <c r="L718" i="720"/>
  <c r="R718" i="720"/>
  <c r="T718" i="720"/>
  <c r="L738" i="720"/>
  <c r="T738" i="720"/>
  <c r="R738" i="720"/>
  <c r="P738" i="720"/>
  <c r="N738" i="720"/>
  <c r="T747" i="720"/>
  <c r="P747" i="720"/>
  <c r="R747" i="720"/>
  <c r="N747" i="720"/>
  <c r="L754" i="720"/>
  <c r="L752" i="720"/>
  <c r="P754" i="720"/>
  <c r="T754" i="720"/>
  <c r="N754" i="720"/>
  <c r="R754" i="720"/>
  <c r="R752" i="720"/>
  <c r="R766" i="720"/>
  <c r="R764" i="720"/>
  <c r="T766" i="720"/>
  <c r="T780" i="720"/>
  <c r="R780" i="720"/>
  <c r="L780" i="720"/>
  <c r="P780" i="720"/>
  <c r="N780" i="720"/>
  <c r="T791" i="720"/>
  <c r="R791" i="720"/>
  <c r="P791" i="720"/>
  <c r="N791" i="720"/>
  <c r="L791" i="720"/>
  <c r="T800" i="720"/>
  <c r="N800" i="720"/>
  <c r="R800" i="720"/>
  <c r="P800" i="720"/>
  <c r="L800" i="720"/>
  <c r="T837" i="720"/>
  <c r="R837" i="720"/>
  <c r="P837" i="720"/>
  <c r="N837" i="720"/>
  <c r="C873" i="721"/>
  <c r="AA166" i="720"/>
  <c r="D473" i="720"/>
  <c r="AC473" i="720"/>
  <c r="AA524" i="720"/>
  <c r="AA687" i="720"/>
  <c r="D472" i="720"/>
  <c r="AC472" i="720"/>
  <c r="F326" i="720"/>
  <c r="D471" i="720"/>
  <c r="AC471" i="720"/>
  <c r="AC474" i="720"/>
  <c r="AC470" i="720"/>
  <c r="AC469" i="720"/>
  <c r="AA814" i="720"/>
  <c r="F859" i="720"/>
  <c r="AE152" i="721"/>
  <c r="AE159" i="721"/>
  <c r="L371" i="721"/>
  <c r="T371" i="721"/>
  <c r="L507" i="721"/>
  <c r="P507" i="721"/>
  <c r="T507" i="721"/>
  <c r="L510" i="721"/>
  <c r="L509" i="721"/>
  <c r="P510" i="721"/>
  <c r="P509" i="721"/>
  <c r="T510" i="721"/>
  <c r="T509" i="721"/>
  <c r="P512" i="721"/>
  <c r="P511" i="721"/>
  <c r="L654" i="721"/>
  <c r="P654" i="721"/>
  <c r="T654" i="721"/>
  <c r="L659" i="721"/>
  <c r="P659" i="721"/>
  <c r="T659" i="721"/>
  <c r="F859" i="721"/>
  <c r="F327" i="720"/>
  <c r="AE40" i="721"/>
  <c r="P371" i="721"/>
  <c r="W22" i="720"/>
  <c r="AA120" i="720"/>
  <c r="AA119" i="720"/>
  <c r="W190" i="720"/>
  <c r="W193" i="720"/>
  <c r="W355" i="720"/>
  <c r="W660" i="720"/>
  <c r="W661" i="720"/>
  <c r="AA661" i="720"/>
  <c r="Y661" i="720"/>
  <c r="AE661" i="720"/>
  <c r="J760" i="720"/>
  <c r="W760" i="720"/>
  <c r="AA761" i="720"/>
  <c r="AA762" i="720"/>
  <c r="AA763" i="720"/>
  <c r="AC59" i="721"/>
  <c r="AA22" i="720"/>
  <c r="AE40" i="720"/>
  <c r="W120" i="720"/>
  <c r="W119" i="720"/>
  <c r="AE152" i="720"/>
  <c r="AA190" i="720"/>
  <c r="AA193" i="720"/>
  <c r="D195" i="720"/>
  <c r="AA355" i="720"/>
  <c r="W558" i="720"/>
  <c r="AA660" i="720"/>
  <c r="AA760" i="720"/>
  <c r="W761" i="720"/>
  <c r="W763" i="720"/>
  <c r="W814" i="720"/>
  <c r="G871" i="720"/>
  <c r="G873" i="720"/>
  <c r="K869" i="720"/>
  <c r="AC104" i="721"/>
  <c r="L120" i="721"/>
  <c r="L119" i="721"/>
  <c r="P120" i="721"/>
  <c r="P119" i="721"/>
  <c r="T120" i="721"/>
  <c r="T119" i="721"/>
  <c r="J168" i="721"/>
  <c r="N168" i="721"/>
  <c r="R168" i="721"/>
  <c r="AC293" i="721"/>
  <c r="T355" i="721"/>
  <c r="P355" i="721"/>
  <c r="L355" i="721"/>
  <c r="R355" i="721"/>
  <c r="J120" i="721"/>
  <c r="J119" i="721"/>
  <c r="N120" i="721"/>
  <c r="N119" i="721"/>
  <c r="L168" i="721"/>
  <c r="P168" i="721"/>
  <c r="N355" i="721"/>
  <c r="J371" i="721"/>
  <c r="N371" i="721"/>
  <c r="L491" i="721"/>
  <c r="P491" i="721"/>
  <c r="T491" i="721"/>
  <c r="L496" i="721"/>
  <c r="P496" i="721"/>
  <c r="T496" i="721"/>
  <c r="L500" i="721"/>
  <c r="P500" i="721"/>
  <c r="T500" i="721"/>
  <c r="J507" i="721"/>
  <c r="N507" i="721"/>
  <c r="J510" i="721"/>
  <c r="J509" i="721"/>
  <c r="N510" i="721"/>
  <c r="N509" i="721"/>
  <c r="N512" i="721"/>
  <c r="N511" i="721"/>
  <c r="J525" i="721"/>
  <c r="N525" i="721"/>
  <c r="R525" i="721"/>
  <c r="J528" i="721"/>
  <c r="J527" i="721"/>
  <c r="N528" i="721"/>
  <c r="N527" i="721"/>
  <c r="R528" i="721"/>
  <c r="R527" i="721"/>
  <c r="J530" i="721"/>
  <c r="J529" i="721"/>
  <c r="N530" i="721"/>
  <c r="N529" i="721"/>
  <c r="R530" i="721"/>
  <c r="R529" i="721"/>
  <c r="J532" i="721"/>
  <c r="N532" i="721"/>
  <c r="R532" i="721"/>
  <c r="L538" i="721"/>
  <c r="P538" i="721"/>
  <c r="T538" i="721"/>
  <c r="L555" i="721"/>
  <c r="P555" i="721"/>
  <c r="T555" i="721"/>
  <c r="J491" i="721"/>
  <c r="N491" i="721"/>
  <c r="J496" i="721"/>
  <c r="N496" i="721"/>
  <c r="J500" i="721"/>
  <c r="N500" i="721"/>
  <c r="L525" i="721"/>
  <c r="P525" i="721"/>
  <c r="L528" i="721"/>
  <c r="L527" i="721"/>
  <c r="P528" i="721"/>
  <c r="P527" i="721"/>
  <c r="L530" i="721"/>
  <c r="L529" i="721"/>
  <c r="P530" i="721"/>
  <c r="P529" i="721"/>
  <c r="L532" i="721"/>
  <c r="P532" i="721"/>
  <c r="J538" i="721"/>
  <c r="N538" i="721"/>
  <c r="J555" i="721"/>
  <c r="N555" i="721"/>
  <c r="J629" i="721"/>
  <c r="N629" i="721"/>
  <c r="R629" i="721"/>
  <c r="J643" i="721"/>
  <c r="N643" i="721"/>
  <c r="R643" i="721"/>
  <c r="J654" i="721"/>
  <c r="N654" i="721"/>
  <c r="J659" i="721"/>
  <c r="N659" i="721"/>
  <c r="L629" i="721"/>
  <c r="P629" i="721"/>
  <c r="L643" i="721"/>
  <c r="P643" i="721"/>
  <c r="P688" i="721"/>
  <c r="T688" i="721"/>
  <c r="L717" i="721"/>
  <c r="P717" i="721"/>
  <c r="T717" i="721"/>
  <c r="J753" i="721"/>
  <c r="N753" i="721"/>
  <c r="R753" i="721"/>
  <c r="AC759" i="721"/>
  <c r="L760" i="721"/>
  <c r="J765" i="721"/>
  <c r="N765" i="721"/>
  <c r="R765" i="721"/>
  <c r="N688" i="721"/>
  <c r="J717" i="721"/>
  <c r="N717" i="721"/>
  <c r="L753" i="721"/>
  <c r="P753" i="721"/>
  <c r="J760" i="721"/>
  <c r="L765" i="721"/>
  <c r="P765" i="721"/>
  <c r="J777" i="721"/>
  <c r="L777" i="721"/>
  <c r="P777" i="721"/>
  <c r="E873" i="721"/>
  <c r="J22" i="720"/>
  <c r="F22" i="720"/>
  <c r="J32" i="720"/>
  <c r="AC74" i="720"/>
  <c r="J108" i="720"/>
  <c r="J109" i="720"/>
  <c r="J120" i="720"/>
  <c r="J119" i="720"/>
  <c r="J137" i="720"/>
  <c r="J160" i="720"/>
  <c r="J161" i="720"/>
  <c r="J165" i="720"/>
  <c r="Y168" i="720"/>
  <c r="AC168" i="720"/>
  <c r="AC169" i="720"/>
  <c r="AC166" i="720"/>
  <c r="F169" i="720"/>
  <c r="Y169" i="720"/>
  <c r="J186" i="720"/>
  <c r="J190" i="720"/>
  <c r="J193" i="720"/>
  <c r="J235" i="720"/>
  <c r="J236" i="720"/>
  <c r="J237" i="720"/>
  <c r="J239" i="720"/>
  <c r="J240" i="720"/>
  <c r="J241" i="720"/>
  <c r="J262" i="720"/>
  <c r="J270" i="720"/>
  <c r="J271" i="720"/>
  <c r="J272" i="720"/>
  <c r="J300" i="720"/>
  <c r="J301" i="720"/>
  <c r="F120" i="720"/>
  <c r="F119" i="720"/>
  <c r="Y120" i="720"/>
  <c r="Y119" i="720"/>
  <c r="J153" i="720"/>
  <c r="J154" i="720"/>
  <c r="J155" i="720"/>
  <c r="J156" i="720"/>
  <c r="J157" i="720"/>
  <c r="J158" i="720"/>
  <c r="W168" i="720"/>
  <c r="J169" i="720"/>
  <c r="W169" i="720"/>
  <c r="J176" i="720"/>
  <c r="J177" i="720"/>
  <c r="F190" i="720"/>
  <c r="Y190" i="720"/>
  <c r="F193" i="720"/>
  <c r="Y193" i="720"/>
  <c r="J210" i="720"/>
  <c r="J211" i="720"/>
  <c r="J212" i="720"/>
  <c r="J218" i="720"/>
  <c r="J219" i="720"/>
  <c r="J220" i="720"/>
  <c r="J223" i="720"/>
  <c r="J229" i="720"/>
  <c r="J231" i="720"/>
  <c r="J248" i="720"/>
  <c r="J249" i="720"/>
  <c r="J311" i="720"/>
  <c r="AC336" i="720"/>
  <c r="AC340" i="720"/>
  <c r="F355" i="720"/>
  <c r="Y355" i="720"/>
  <c r="J364" i="720"/>
  <c r="J366" i="720"/>
  <c r="J367" i="720"/>
  <c r="J368" i="720"/>
  <c r="J369" i="720"/>
  <c r="J371" i="720"/>
  <c r="W371" i="720"/>
  <c r="AA371" i="720"/>
  <c r="J372" i="720"/>
  <c r="J370" i="720"/>
  <c r="AC553" i="720"/>
  <c r="J325" i="720"/>
  <c r="J344" i="720"/>
  <c r="J345" i="720"/>
  <c r="J346" i="720"/>
  <c r="J347" i="720"/>
  <c r="J348" i="720"/>
  <c r="J351" i="720"/>
  <c r="J355" i="720"/>
  <c r="F371" i="720"/>
  <c r="Y371" i="720"/>
  <c r="F372" i="720"/>
  <c r="Y372" i="720"/>
  <c r="Y370" i="720"/>
  <c r="AC653" i="720"/>
  <c r="Y474" i="720"/>
  <c r="J477" i="720"/>
  <c r="W477" i="720"/>
  <c r="AA477" i="720"/>
  <c r="J478" i="720"/>
  <c r="J491" i="720"/>
  <c r="W491" i="720"/>
  <c r="AA491" i="720"/>
  <c r="J492" i="720"/>
  <c r="W492" i="720"/>
  <c r="AA492" i="720"/>
  <c r="J494" i="720"/>
  <c r="J496" i="720"/>
  <c r="W496" i="720"/>
  <c r="AA496" i="720"/>
  <c r="J497" i="720"/>
  <c r="W497" i="720"/>
  <c r="AA497" i="720"/>
  <c r="J500" i="720"/>
  <c r="W500" i="720"/>
  <c r="AA500" i="720"/>
  <c r="AA501" i="720"/>
  <c r="AA499" i="720"/>
  <c r="J501" i="720"/>
  <c r="AC503" i="720"/>
  <c r="F504" i="720"/>
  <c r="Y504" i="720"/>
  <c r="AC504" i="720"/>
  <c r="F507" i="720"/>
  <c r="Y507" i="720"/>
  <c r="AC507" i="720"/>
  <c r="F508" i="720"/>
  <c r="Y508" i="720"/>
  <c r="Y506" i="720"/>
  <c r="AC508" i="720"/>
  <c r="F510" i="720"/>
  <c r="F509" i="720"/>
  <c r="Y510" i="720"/>
  <c r="AC510" i="720"/>
  <c r="F512" i="720"/>
  <c r="F511" i="720"/>
  <c r="Y512" i="720"/>
  <c r="Y511" i="720"/>
  <c r="AC512" i="720"/>
  <c r="AC511" i="720"/>
  <c r="Y525" i="720"/>
  <c r="AC525" i="720"/>
  <c r="F526" i="720"/>
  <c r="Y526" i="720"/>
  <c r="AC526" i="720"/>
  <c r="F530" i="720"/>
  <c r="F529" i="720"/>
  <c r="AC530" i="720"/>
  <c r="AC529" i="720"/>
  <c r="Y532" i="720"/>
  <c r="AC532" i="720"/>
  <c r="J534" i="720"/>
  <c r="W534" i="720"/>
  <c r="AA534" i="720"/>
  <c r="J535" i="720"/>
  <c r="W535" i="720"/>
  <c r="J536" i="720"/>
  <c r="W536" i="720"/>
  <c r="AA536" i="720"/>
  <c r="Y536" i="720"/>
  <c r="AE536" i="720"/>
  <c r="J538" i="720"/>
  <c r="W538" i="720"/>
  <c r="AA538" i="720"/>
  <c r="J539" i="720"/>
  <c r="J541" i="720"/>
  <c r="W541" i="720"/>
  <c r="AA541" i="720"/>
  <c r="Y541" i="720"/>
  <c r="AE541" i="720"/>
  <c r="J542" i="720"/>
  <c r="W542" i="720"/>
  <c r="AA542" i="720"/>
  <c r="W555" i="720"/>
  <c r="AA555" i="720"/>
  <c r="J556" i="720"/>
  <c r="W556" i="720"/>
  <c r="AA556" i="720"/>
  <c r="J557" i="720"/>
  <c r="W557" i="720"/>
  <c r="W553" i="720"/>
  <c r="AA557" i="720"/>
  <c r="AA558" i="720"/>
  <c r="J562" i="720"/>
  <c r="J563" i="720"/>
  <c r="J564" i="720"/>
  <c r="AC571" i="720"/>
  <c r="AC570" i="720"/>
  <c r="AC642" i="720"/>
  <c r="J474" i="720"/>
  <c r="W474" i="720"/>
  <c r="F477" i="720"/>
  <c r="Y477" i="720"/>
  <c r="F478" i="720"/>
  <c r="J484" i="720"/>
  <c r="J487" i="720"/>
  <c r="F491" i="720"/>
  <c r="Y491" i="720"/>
  <c r="F492" i="720"/>
  <c r="Y492" i="720"/>
  <c r="F496" i="720"/>
  <c r="Y496" i="720"/>
  <c r="F497" i="720"/>
  <c r="Y497" i="720"/>
  <c r="F500" i="720"/>
  <c r="Y500" i="720"/>
  <c r="F501" i="720"/>
  <c r="F499" i="720"/>
  <c r="J504" i="720"/>
  <c r="W504" i="720"/>
  <c r="J507" i="720"/>
  <c r="W507" i="720"/>
  <c r="J508" i="720"/>
  <c r="W508" i="720"/>
  <c r="W506" i="720"/>
  <c r="J510" i="720"/>
  <c r="J509" i="720"/>
  <c r="W510" i="720"/>
  <c r="W509" i="720"/>
  <c r="J512" i="720"/>
  <c r="J511" i="720"/>
  <c r="W512" i="720"/>
  <c r="W511" i="720"/>
  <c r="J521" i="720"/>
  <c r="W525" i="720"/>
  <c r="J526" i="720"/>
  <c r="W526" i="720"/>
  <c r="J528" i="720"/>
  <c r="J527" i="720"/>
  <c r="J530" i="720"/>
  <c r="J529" i="720"/>
  <c r="W532" i="720"/>
  <c r="F534" i="720"/>
  <c r="Y534" i="720"/>
  <c r="F536" i="720"/>
  <c r="F538" i="720"/>
  <c r="Y538" i="720"/>
  <c r="F539" i="720"/>
  <c r="F541" i="720"/>
  <c r="F542" i="720"/>
  <c r="Y542" i="720"/>
  <c r="J552" i="720"/>
  <c r="F555" i="720"/>
  <c r="Y555" i="720"/>
  <c r="Y556" i="720"/>
  <c r="Y557" i="720"/>
  <c r="Y558" i="720"/>
  <c r="Y553" i="720"/>
  <c r="F556" i="720"/>
  <c r="F557" i="720"/>
  <c r="AC752" i="720"/>
  <c r="J598" i="720"/>
  <c r="J599" i="720"/>
  <c r="J601" i="720"/>
  <c r="AC604" i="720"/>
  <c r="AC606" i="720"/>
  <c r="J616" i="720"/>
  <c r="J617" i="720"/>
  <c r="J629" i="720"/>
  <c r="J630" i="720"/>
  <c r="J631" i="720"/>
  <c r="J632" i="720"/>
  <c r="J628" i="720"/>
  <c r="W629" i="720"/>
  <c r="AA629" i="720"/>
  <c r="W630" i="720"/>
  <c r="W631" i="720"/>
  <c r="W632" i="720"/>
  <c r="W628" i="720"/>
  <c r="AA630" i="720"/>
  <c r="AA631" i="720"/>
  <c r="AA632" i="720"/>
  <c r="J634" i="720"/>
  <c r="J636" i="720"/>
  <c r="J637" i="720"/>
  <c r="J638" i="720"/>
  <c r="J640" i="720"/>
  <c r="J641" i="720"/>
  <c r="J643" i="720"/>
  <c r="J644" i="720"/>
  <c r="J642" i="720"/>
  <c r="W643" i="720"/>
  <c r="AA643" i="720"/>
  <c r="W644" i="720"/>
  <c r="W642" i="720"/>
  <c r="AA644" i="720"/>
  <c r="J650" i="720"/>
  <c r="W650" i="720"/>
  <c r="AA650" i="720"/>
  <c r="J651" i="720"/>
  <c r="W651" i="720"/>
  <c r="AA651" i="720"/>
  <c r="J652" i="720"/>
  <c r="W654" i="720"/>
  <c r="W655" i="720"/>
  <c r="W656" i="720"/>
  <c r="W657" i="720"/>
  <c r="W653" i="720"/>
  <c r="AA654" i="720"/>
  <c r="J655" i="720"/>
  <c r="AA655" i="720"/>
  <c r="J656" i="720"/>
  <c r="AA656" i="720"/>
  <c r="J657" i="720"/>
  <c r="AA657" i="720"/>
  <c r="J659" i="720"/>
  <c r="AA659" i="720"/>
  <c r="AA658" i="720"/>
  <c r="J660" i="720"/>
  <c r="J661" i="720"/>
  <c r="J596" i="720"/>
  <c r="J612" i="720"/>
  <c r="J619" i="720"/>
  <c r="J620" i="720"/>
  <c r="J621" i="720"/>
  <c r="J622" i="720"/>
  <c r="J623" i="720"/>
  <c r="J624" i="720"/>
  <c r="F629" i="720"/>
  <c r="Y629" i="720"/>
  <c r="F630" i="720"/>
  <c r="Y630" i="720"/>
  <c r="F631" i="720"/>
  <c r="Y631" i="720"/>
  <c r="F632" i="720"/>
  <c r="Y632" i="720"/>
  <c r="F643" i="720"/>
  <c r="F644" i="720"/>
  <c r="F642" i="720"/>
  <c r="Y643" i="720"/>
  <c r="Y644" i="720"/>
  <c r="Y642" i="720"/>
  <c r="F650" i="720"/>
  <c r="Y650" i="720"/>
  <c r="F651" i="720"/>
  <c r="Y651" i="720"/>
  <c r="AE651" i="720"/>
  <c r="Y654" i="720"/>
  <c r="F655" i="720"/>
  <c r="Y655" i="720"/>
  <c r="F656" i="720"/>
  <c r="Y656" i="720"/>
  <c r="F657" i="720"/>
  <c r="Y657" i="720"/>
  <c r="Y659" i="720"/>
  <c r="F660" i="720"/>
  <c r="Y660" i="720"/>
  <c r="F661" i="720"/>
  <c r="J666" i="720"/>
  <c r="J667" i="720"/>
  <c r="Y688" i="720"/>
  <c r="Y689" i="720"/>
  <c r="Y687" i="720"/>
  <c r="AC688" i="720"/>
  <c r="F689" i="720"/>
  <c r="AC689" i="720"/>
  <c r="W689" i="720"/>
  <c r="AE689" i="720"/>
  <c r="J703" i="720"/>
  <c r="J707" i="720"/>
  <c r="J708" i="720"/>
  <c r="J709" i="720"/>
  <c r="F717" i="720"/>
  <c r="Y717" i="720"/>
  <c r="AC717" i="720"/>
  <c r="F718" i="720"/>
  <c r="Y718" i="720"/>
  <c r="AC718" i="720"/>
  <c r="AC719" i="720"/>
  <c r="Y720" i="720"/>
  <c r="AC720" i="720"/>
  <c r="AC723" i="720"/>
  <c r="J735" i="720"/>
  <c r="J736" i="720"/>
  <c r="J737" i="720"/>
  <c r="AA753" i="720"/>
  <c r="W753" i="720"/>
  <c r="AA754" i="720"/>
  <c r="W754" i="720"/>
  <c r="AC764" i="720"/>
  <c r="J669" i="720"/>
  <c r="J670" i="720"/>
  <c r="J673" i="720"/>
  <c r="J674" i="720"/>
  <c r="J675" i="720"/>
  <c r="J677" i="720"/>
  <c r="J678" i="720"/>
  <c r="J680" i="720"/>
  <c r="J682" i="720"/>
  <c r="J683" i="720"/>
  <c r="J684" i="720"/>
  <c r="J686" i="720"/>
  <c r="J688" i="720"/>
  <c r="W688" i="720"/>
  <c r="J689" i="720"/>
  <c r="J694" i="720"/>
  <c r="J695" i="720"/>
  <c r="J699" i="720"/>
  <c r="J717" i="720"/>
  <c r="W717" i="720"/>
  <c r="J718" i="720"/>
  <c r="W718" i="720"/>
  <c r="J719" i="720"/>
  <c r="W719" i="720"/>
  <c r="W720" i="720"/>
  <c r="F753" i="720"/>
  <c r="Y753" i="720"/>
  <c r="F754" i="720"/>
  <c r="Y754" i="720"/>
  <c r="J738" i="720"/>
  <c r="J739" i="720"/>
  <c r="J740" i="720"/>
  <c r="J741" i="720"/>
  <c r="J742" i="720"/>
  <c r="J743" i="720"/>
  <c r="J745" i="720"/>
  <c r="J746" i="720"/>
  <c r="J747" i="720"/>
  <c r="J748" i="720"/>
  <c r="J749" i="720"/>
  <c r="J750" i="720"/>
  <c r="J751" i="720"/>
  <c r="J744" i="720"/>
  <c r="J753" i="720"/>
  <c r="J754" i="720"/>
  <c r="J752" i="720"/>
  <c r="F760" i="720"/>
  <c r="Y760" i="720"/>
  <c r="F761" i="720"/>
  <c r="Y761" i="720"/>
  <c r="Y762" i="720"/>
  <c r="F763" i="720"/>
  <c r="Y763" i="720"/>
  <c r="J765" i="720"/>
  <c r="W765" i="720"/>
  <c r="W766" i="720"/>
  <c r="W764" i="720"/>
  <c r="AA765" i="720"/>
  <c r="AA766" i="720"/>
  <c r="J767" i="720"/>
  <c r="AC769" i="720"/>
  <c r="J771" i="720"/>
  <c r="W771" i="720"/>
  <c r="AA771" i="720"/>
  <c r="J772" i="720"/>
  <c r="W772" i="720"/>
  <c r="AA772" i="720"/>
  <c r="J777" i="720"/>
  <c r="W777" i="720"/>
  <c r="AA777" i="720"/>
  <c r="J779" i="720"/>
  <c r="W779" i="720"/>
  <c r="AA779" i="720"/>
  <c r="J780" i="720"/>
  <c r="W780" i="720"/>
  <c r="AA780" i="720"/>
  <c r="J785" i="720"/>
  <c r="J786" i="720"/>
  <c r="J787" i="720"/>
  <c r="J788" i="720"/>
  <c r="J789" i="720"/>
  <c r="J790" i="720"/>
  <c r="J791" i="720"/>
  <c r="J792" i="720"/>
  <c r="J793" i="720"/>
  <c r="J794" i="720"/>
  <c r="J796" i="720"/>
  <c r="J797" i="720"/>
  <c r="J798" i="720"/>
  <c r="J799" i="720"/>
  <c r="J800" i="720"/>
  <c r="J805" i="720"/>
  <c r="J762" i="720"/>
  <c r="J763" i="720"/>
  <c r="F765" i="720"/>
  <c r="Y765" i="720"/>
  <c r="F766" i="720"/>
  <c r="F767" i="720"/>
  <c r="F764" i="720"/>
  <c r="Y766" i="720"/>
  <c r="Y764" i="720"/>
  <c r="F771" i="720"/>
  <c r="Y771" i="720"/>
  <c r="AE771" i="720"/>
  <c r="F772" i="720"/>
  <c r="Y772" i="720"/>
  <c r="F777" i="720"/>
  <c r="Y777" i="720"/>
  <c r="F779" i="720"/>
  <c r="Y779" i="720"/>
  <c r="F780" i="720"/>
  <c r="Y780" i="720"/>
  <c r="AE780" i="720"/>
  <c r="J812" i="720"/>
  <c r="W812" i="720"/>
  <c r="AA812" i="720"/>
  <c r="AC813" i="720"/>
  <c r="F814" i="720"/>
  <c r="Y814" i="720"/>
  <c r="F827" i="720"/>
  <c r="Y827" i="720"/>
  <c r="AC827" i="720"/>
  <c r="J831" i="720"/>
  <c r="J832" i="720"/>
  <c r="J833" i="720"/>
  <c r="J834" i="720"/>
  <c r="J835" i="720"/>
  <c r="J836" i="720"/>
  <c r="J837" i="720"/>
  <c r="E873" i="720"/>
  <c r="J808" i="720"/>
  <c r="F812" i="720"/>
  <c r="Y812" i="720"/>
  <c r="AE812" i="720"/>
  <c r="J814" i="720"/>
  <c r="J821" i="720"/>
  <c r="J827" i="720"/>
  <c r="W827" i="720"/>
  <c r="E878" i="721"/>
  <c r="F878" i="721"/>
  <c r="R166" i="720"/>
  <c r="D868" i="720"/>
  <c r="N499" i="720"/>
  <c r="T499" i="720"/>
  <c r="R370" i="720"/>
  <c r="N370" i="720"/>
  <c r="R499" i="720"/>
  <c r="L370" i="720"/>
  <c r="P830" i="720"/>
  <c r="L658" i="720"/>
  <c r="R744" i="720"/>
  <c r="R38" i="720"/>
  <c r="P38" i="720"/>
  <c r="T628" i="720"/>
  <c r="R734" i="720"/>
  <c r="N752" i="720"/>
  <c r="N628" i="720"/>
  <c r="T752" i="720"/>
  <c r="P658" i="720"/>
  <c r="T830" i="720"/>
  <c r="T370" i="720"/>
  <c r="N734" i="720"/>
  <c r="C845" i="720"/>
  <c r="C841" i="720"/>
  <c r="AE660" i="720"/>
  <c r="K870" i="720"/>
  <c r="O149" i="720"/>
  <c r="K871" i="720"/>
  <c r="AE779" i="720"/>
  <c r="AE557" i="720"/>
  <c r="AE371" i="720"/>
  <c r="F872" i="721"/>
  <c r="F871" i="721"/>
  <c r="F870" i="721"/>
  <c r="F868" i="721"/>
  <c r="F869" i="721"/>
  <c r="F873" i="721"/>
  <c r="AE814" i="720"/>
  <c r="AE763" i="720"/>
  <c r="AE657" i="720"/>
  <c r="AE650" i="720"/>
  <c r="AA642" i="720"/>
  <c r="AE556" i="720"/>
  <c r="AE534" i="720"/>
  <c r="E878" i="720"/>
  <c r="F878" i="720"/>
  <c r="F752" i="720"/>
  <c r="W752" i="720"/>
  <c r="Y658" i="720"/>
  <c r="Y628" i="720"/>
  <c r="Y524" i="720"/>
  <c r="F872" i="720"/>
  <c r="F871" i="720"/>
  <c r="F870" i="720"/>
  <c r="F869" i="720"/>
  <c r="F868" i="720"/>
  <c r="F873" i="720"/>
  <c r="AC728" i="720"/>
  <c r="AC509" i="720"/>
  <c r="AC506" i="720"/>
  <c r="J38" i="720"/>
  <c r="Y752" i="720"/>
  <c r="W687" i="720"/>
  <c r="J687" i="720"/>
  <c r="J658" i="720"/>
  <c r="AE753" i="720"/>
  <c r="J506" i="720"/>
  <c r="AE629" i="720"/>
  <c r="AA553" i="720"/>
  <c r="AE553" i="720"/>
  <c r="AE504" i="720"/>
  <c r="J499" i="720"/>
  <c r="F370" i="720"/>
  <c r="Y166" i="720"/>
  <c r="K72" i="720"/>
  <c r="Q148" i="720"/>
  <c r="O175" i="720"/>
  <c r="O148" i="720"/>
  <c r="O201" i="720"/>
  <c r="E876" i="720"/>
  <c r="F876" i="720"/>
  <c r="E876" i="721"/>
  <c r="F876" i="721"/>
  <c r="I6" i="715"/>
  <c r="C5" i="715"/>
  <c r="B5" i="715"/>
  <c r="I6" i="716"/>
  <c r="C5" i="716"/>
  <c r="B5" i="716"/>
  <c r="D56" i="716"/>
  <c r="H50" i="716"/>
  <c r="D50" i="716"/>
  <c r="H49" i="716"/>
  <c r="D49" i="716"/>
  <c r="H48" i="716"/>
  <c r="D48" i="716"/>
  <c r="H47" i="716"/>
  <c r="D47" i="716"/>
  <c r="H41" i="716"/>
  <c r="F41" i="716"/>
  <c r="D41" i="716"/>
  <c r="H40" i="716"/>
  <c r="F40" i="716"/>
  <c r="D40" i="716"/>
  <c r="H39" i="716"/>
  <c r="F39" i="716"/>
  <c r="D39" i="716"/>
  <c r="H38" i="716"/>
  <c r="F38" i="716"/>
  <c r="H37" i="716"/>
  <c r="H36" i="716"/>
  <c r="I35" i="716"/>
  <c r="F37" i="716"/>
  <c r="D37" i="716"/>
  <c r="F36" i="716"/>
  <c r="D36" i="716"/>
  <c r="H30" i="716"/>
  <c r="F30" i="716"/>
  <c r="H29" i="716"/>
  <c r="F29" i="716"/>
  <c r="H28" i="716"/>
  <c r="F28" i="716"/>
  <c r="H27" i="716"/>
  <c r="F27" i="716"/>
  <c r="H26" i="716"/>
  <c r="F26" i="716"/>
  <c r="H25" i="716"/>
  <c r="F25" i="716"/>
  <c r="H19" i="716"/>
  <c r="F19" i="716"/>
  <c r="D19" i="716"/>
  <c r="H18" i="716"/>
  <c r="F18" i="716"/>
  <c r="D18" i="716"/>
  <c r="H17" i="716"/>
  <c r="F17" i="716"/>
  <c r="D17" i="716"/>
  <c r="H16" i="716"/>
  <c r="F16" i="716"/>
  <c r="D16" i="716"/>
  <c r="H15" i="716"/>
  <c r="F15" i="716"/>
  <c r="D15" i="716"/>
  <c r="H14" i="716"/>
  <c r="F14" i="716"/>
  <c r="D14" i="716"/>
  <c r="H13" i="716"/>
  <c r="F13" i="716"/>
  <c r="D13" i="716"/>
  <c r="H12" i="716"/>
  <c r="F12" i="716"/>
  <c r="D12" i="716"/>
  <c r="H11" i="716"/>
  <c r="F11" i="716"/>
  <c r="D11" i="716"/>
  <c r="D10" i="716"/>
  <c r="D9" i="716"/>
  <c r="D8" i="716"/>
  <c r="F4" i="716"/>
  <c r="A3" i="716"/>
  <c r="D55" i="715"/>
  <c r="H49" i="715"/>
  <c r="D49" i="715"/>
  <c r="H48" i="715"/>
  <c r="D48" i="715"/>
  <c r="H47" i="715"/>
  <c r="D47" i="715"/>
  <c r="H46" i="715"/>
  <c r="D46" i="715"/>
  <c r="H45" i="715"/>
  <c r="D45" i="715"/>
  <c r="H40" i="715"/>
  <c r="F40" i="715"/>
  <c r="D40" i="715"/>
  <c r="H39" i="715"/>
  <c r="F39" i="715"/>
  <c r="D39" i="715"/>
  <c r="H37" i="715"/>
  <c r="F37" i="715"/>
  <c r="D37" i="715"/>
  <c r="H36" i="715"/>
  <c r="F36" i="715"/>
  <c r="D36" i="715"/>
  <c r="F35" i="715"/>
  <c r="D35" i="715"/>
  <c r="H35" i="715"/>
  <c r="I34" i="715"/>
  <c r="I38" i="715"/>
  <c r="I41" i="715"/>
  <c r="H29" i="715"/>
  <c r="F29" i="715"/>
  <c r="H28" i="715"/>
  <c r="F28" i="715"/>
  <c r="H27" i="715"/>
  <c r="F27" i="715"/>
  <c r="H26" i="715"/>
  <c r="F26" i="715"/>
  <c r="H25" i="715"/>
  <c r="F25" i="715"/>
  <c r="H24" i="715"/>
  <c r="F24" i="715"/>
  <c r="H18" i="715"/>
  <c r="F18" i="715"/>
  <c r="D18" i="715"/>
  <c r="H17" i="715"/>
  <c r="F17" i="715"/>
  <c r="D17" i="715"/>
  <c r="H16" i="715"/>
  <c r="F16" i="715"/>
  <c r="D16" i="715"/>
  <c r="H15" i="715"/>
  <c r="F15" i="715"/>
  <c r="D15" i="715"/>
  <c r="H14" i="715"/>
  <c r="F14" i="715"/>
  <c r="D14" i="715"/>
  <c r="H13" i="715"/>
  <c r="F13" i="715"/>
  <c r="D13" i="715"/>
  <c r="H12" i="715"/>
  <c r="F12" i="715"/>
  <c r="D12" i="715"/>
  <c r="H11" i="715"/>
  <c r="F11" i="715"/>
  <c r="D11" i="715"/>
  <c r="H10" i="715"/>
  <c r="F10" i="715"/>
  <c r="D10" i="715"/>
  <c r="H9" i="715"/>
  <c r="F9" i="715"/>
  <c r="D9" i="715"/>
  <c r="H8" i="715"/>
  <c r="F8" i="715"/>
  <c r="D8" i="715"/>
  <c r="F4" i="715"/>
  <c r="A3" i="715"/>
  <c r="I38" i="716"/>
  <c r="AB466" i="721"/>
  <c r="AB356" i="721"/>
  <c r="AB467" i="721"/>
  <c r="AB466" i="720"/>
  <c r="AB467" i="720"/>
  <c r="I42" i="716"/>
  <c r="AB356" i="720"/>
  <c r="AC356" i="720"/>
  <c r="AC354" i="720"/>
  <c r="B5" i="594"/>
  <c r="D35" i="217"/>
  <c r="C5" i="217"/>
  <c r="B5" i="217"/>
  <c r="B5" i="705"/>
  <c r="A3" i="721"/>
  <c r="A3" i="720"/>
  <c r="A2" i="715"/>
  <c r="A2" i="716"/>
  <c r="A4" i="715"/>
  <c r="A4" i="716"/>
  <c r="AB464" i="721"/>
  <c r="AB464" i="720"/>
  <c r="AB463" i="721"/>
  <c r="AB465" i="721"/>
  <c r="AB463" i="720"/>
  <c r="AB465" i="720"/>
  <c r="C5" i="709"/>
  <c r="B5" i="709"/>
  <c r="D55" i="709"/>
  <c r="H49" i="709"/>
  <c r="D49" i="709"/>
  <c r="H48" i="709"/>
  <c r="D48" i="709"/>
  <c r="H47" i="709"/>
  <c r="D47" i="709"/>
  <c r="H46" i="709"/>
  <c r="D46" i="709"/>
  <c r="H40" i="709"/>
  <c r="F40" i="709"/>
  <c r="D40" i="709"/>
  <c r="H39" i="709"/>
  <c r="I38" i="709"/>
  <c r="F39" i="709"/>
  <c r="D39" i="709"/>
  <c r="H37" i="709"/>
  <c r="F37" i="709"/>
  <c r="D37" i="709"/>
  <c r="H36" i="709"/>
  <c r="F36" i="709"/>
  <c r="D36" i="709"/>
  <c r="F35" i="709"/>
  <c r="D35" i="709"/>
  <c r="H29" i="709"/>
  <c r="F29" i="709"/>
  <c r="H28" i="709"/>
  <c r="F28" i="709"/>
  <c r="H27" i="709"/>
  <c r="F27" i="709"/>
  <c r="H26" i="709"/>
  <c r="F26" i="709"/>
  <c r="H25" i="709"/>
  <c r="F25" i="709"/>
  <c r="H24" i="709"/>
  <c r="F24" i="709"/>
  <c r="H18" i="709"/>
  <c r="F18" i="709"/>
  <c r="D18" i="709"/>
  <c r="H17" i="709"/>
  <c r="F17" i="709"/>
  <c r="D17" i="709"/>
  <c r="H16" i="709"/>
  <c r="F16" i="709"/>
  <c r="D16" i="709"/>
  <c r="H15" i="709"/>
  <c r="F15" i="709"/>
  <c r="D15" i="709"/>
  <c r="H14" i="709"/>
  <c r="F14" i="709"/>
  <c r="D14" i="709"/>
  <c r="H13" i="709"/>
  <c r="F13" i="709"/>
  <c r="D13" i="709"/>
  <c r="H12" i="709"/>
  <c r="F12" i="709"/>
  <c r="D12" i="709"/>
  <c r="H11" i="709"/>
  <c r="F11" i="709"/>
  <c r="D11" i="709"/>
  <c r="H10" i="709"/>
  <c r="F10" i="709"/>
  <c r="D10" i="709"/>
  <c r="H9" i="709"/>
  <c r="F9" i="709"/>
  <c r="D9" i="709"/>
  <c r="H8" i="709"/>
  <c r="F8" i="709"/>
  <c r="D8" i="709"/>
  <c r="F4" i="709"/>
  <c r="A3" i="709"/>
  <c r="D55" i="239"/>
  <c r="I50" i="239"/>
  <c r="H40" i="239"/>
  <c r="F40" i="239"/>
  <c r="D40" i="239"/>
  <c r="H39" i="239"/>
  <c r="F39" i="239"/>
  <c r="H38" i="239"/>
  <c r="F38" i="239"/>
  <c r="H37" i="239"/>
  <c r="F37" i="239"/>
  <c r="H36" i="239"/>
  <c r="F36" i="239"/>
  <c r="H35" i="239"/>
  <c r="F35" i="239"/>
  <c r="D35" i="239"/>
  <c r="H34" i="239"/>
  <c r="I41" i="239"/>
  <c r="D34" i="239"/>
  <c r="I30" i="239"/>
  <c r="H18" i="239"/>
  <c r="F18" i="239"/>
  <c r="D18" i="239"/>
  <c r="H17" i="239"/>
  <c r="F17" i="239"/>
  <c r="D17" i="239"/>
  <c r="H16" i="239"/>
  <c r="F16" i="239"/>
  <c r="D16" i="239"/>
  <c r="H15" i="239"/>
  <c r="F15" i="239"/>
  <c r="D15" i="239"/>
  <c r="H14" i="239"/>
  <c r="F14" i="239"/>
  <c r="D14" i="239"/>
  <c r="F4" i="239"/>
  <c r="A3" i="239"/>
  <c r="D55" i="630"/>
  <c r="H49" i="630"/>
  <c r="D49" i="630"/>
  <c r="H48" i="630"/>
  <c r="D48" i="630"/>
  <c r="H47" i="630"/>
  <c r="D47" i="630"/>
  <c r="H46" i="630"/>
  <c r="D46" i="630"/>
  <c r="H40" i="630"/>
  <c r="F40" i="630"/>
  <c r="D40" i="630"/>
  <c r="H39" i="630"/>
  <c r="I38" i="630"/>
  <c r="F39" i="630"/>
  <c r="D39" i="630"/>
  <c r="H37" i="630"/>
  <c r="F37" i="630"/>
  <c r="D37" i="630"/>
  <c r="H36" i="630"/>
  <c r="F36" i="630"/>
  <c r="D36" i="630"/>
  <c r="F35" i="630"/>
  <c r="D35" i="630"/>
  <c r="H29" i="630"/>
  <c r="F29" i="630"/>
  <c r="H28" i="630"/>
  <c r="F28" i="630"/>
  <c r="H27" i="630"/>
  <c r="F27" i="630"/>
  <c r="H26" i="630"/>
  <c r="F26" i="630"/>
  <c r="H25" i="630"/>
  <c r="F25" i="630"/>
  <c r="H24" i="630"/>
  <c r="F24" i="630"/>
  <c r="H18" i="630"/>
  <c r="F18" i="630"/>
  <c r="D18" i="630"/>
  <c r="H17" i="630"/>
  <c r="F17" i="630"/>
  <c r="D17" i="630"/>
  <c r="H16" i="630"/>
  <c r="F16" i="630"/>
  <c r="D16" i="630"/>
  <c r="H15" i="630"/>
  <c r="F15" i="630"/>
  <c r="D15" i="630"/>
  <c r="H14" i="630"/>
  <c r="F14" i="630"/>
  <c r="D14" i="630"/>
  <c r="H13" i="630"/>
  <c r="F13" i="630"/>
  <c r="D13" i="630"/>
  <c r="H12" i="630"/>
  <c r="F12" i="630"/>
  <c r="D12" i="630"/>
  <c r="H11" i="630"/>
  <c r="F11" i="630"/>
  <c r="D11" i="630"/>
  <c r="H10" i="630"/>
  <c r="F10" i="630"/>
  <c r="D10" i="630"/>
  <c r="H9" i="630"/>
  <c r="F9" i="630"/>
  <c r="D9" i="630"/>
  <c r="H8" i="630"/>
  <c r="F8" i="630"/>
  <c r="D8" i="630"/>
  <c r="I6" i="630"/>
  <c r="C5" i="630"/>
  <c r="B5" i="630"/>
  <c r="F4" i="630"/>
  <c r="A3" i="630"/>
  <c r="D55" i="285"/>
  <c r="H49" i="285"/>
  <c r="D49" i="285"/>
  <c r="H48" i="285"/>
  <c r="D48" i="285"/>
  <c r="H47" i="285"/>
  <c r="D47" i="285"/>
  <c r="H46" i="285"/>
  <c r="D46" i="285"/>
  <c r="H40" i="285"/>
  <c r="H39" i="285"/>
  <c r="I38" i="285"/>
  <c r="F40" i="285"/>
  <c r="D40" i="285"/>
  <c r="F39" i="285"/>
  <c r="D39" i="285"/>
  <c r="H37" i="285"/>
  <c r="F37" i="285"/>
  <c r="D37" i="285"/>
  <c r="H36" i="285"/>
  <c r="F36" i="285"/>
  <c r="D36" i="285"/>
  <c r="H35" i="285"/>
  <c r="I34" i="285"/>
  <c r="F35" i="285"/>
  <c r="D35" i="285"/>
  <c r="H29" i="285"/>
  <c r="F29" i="285"/>
  <c r="H28" i="285"/>
  <c r="F28" i="285"/>
  <c r="H27" i="285"/>
  <c r="F27" i="285"/>
  <c r="H26" i="285"/>
  <c r="F26" i="285"/>
  <c r="H25" i="285"/>
  <c r="F25" i="285"/>
  <c r="H24" i="285"/>
  <c r="F24" i="285"/>
  <c r="H18" i="285"/>
  <c r="F18" i="285"/>
  <c r="D18" i="285"/>
  <c r="H17" i="285"/>
  <c r="F17" i="285"/>
  <c r="D17" i="285"/>
  <c r="H16" i="285"/>
  <c r="F16" i="285"/>
  <c r="D16" i="285"/>
  <c r="H15" i="285"/>
  <c r="F15" i="285"/>
  <c r="D15" i="285"/>
  <c r="H14" i="285"/>
  <c r="F14" i="285"/>
  <c r="D14" i="285"/>
  <c r="H13" i="285"/>
  <c r="F13" i="285"/>
  <c r="D13" i="285"/>
  <c r="H12" i="285"/>
  <c r="F12" i="285"/>
  <c r="D12" i="285"/>
  <c r="H11" i="285"/>
  <c r="F11" i="285"/>
  <c r="D11" i="285"/>
  <c r="H10" i="285"/>
  <c r="F10" i="285"/>
  <c r="D10" i="285"/>
  <c r="H9" i="285"/>
  <c r="F9" i="285"/>
  <c r="D9" i="285"/>
  <c r="H35" i="709"/>
  <c r="I34" i="709"/>
  <c r="H35" i="630"/>
  <c r="I34" i="630"/>
  <c r="I41" i="630"/>
  <c r="D8" i="285"/>
  <c r="F4" i="285"/>
  <c r="A3" i="285"/>
  <c r="D55" i="621"/>
  <c r="H49" i="621"/>
  <c r="D49" i="621"/>
  <c r="H48" i="621"/>
  <c r="D48" i="621"/>
  <c r="H47" i="621"/>
  <c r="D47" i="621"/>
  <c r="H46" i="621"/>
  <c r="D46" i="621"/>
  <c r="H40" i="621"/>
  <c r="F40" i="621"/>
  <c r="D40" i="621"/>
  <c r="H39" i="621"/>
  <c r="I38" i="621"/>
  <c r="F39" i="621"/>
  <c r="D39" i="621"/>
  <c r="H37" i="621"/>
  <c r="F37" i="621"/>
  <c r="D37" i="621"/>
  <c r="H36" i="621"/>
  <c r="F36" i="621"/>
  <c r="D36" i="621"/>
  <c r="H35" i="621"/>
  <c r="F35" i="621"/>
  <c r="D35" i="621"/>
  <c r="H29" i="621"/>
  <c r="F29" i="621"/>
  <c r="H28" i="621"/>
  <c r="F28" i="621"/>
  <c r="H27" i="621"/>
  <c r="F27" i="621"/>
  <c r="H26" i="621"/>
  <c r="F26" i="621"/>
  <c r="H25" i="621"/>
  <c r="F25" i="621"/>
  <c r="H18" i="621"/>
  <c r="F18" i="621"/>
  <c r="D18" i="621"/>
  <c r="H17" i="621"/>
  <c r="F17" i="621"/>
  <c r="D17" i="621"/>
  <c r="H16" i="621"/>
  <c r="F16" i="621"/>
  <c r="D16" i="621"/>
  <c r="H15" i="621"/>
  <c r="F15" i="621"/>
  <c r="D15" i="621"/>
  <c r="H14" i="621"/>
  <c r="F14" i="621"/>
  <c r="D14" i="621"/>
  <c r="H13" i="621"/>
  <c r="F13" i="621"/>
  <c r="D13" i="621"/>
  <c r="H12" i="621"/>
  <c r="F12" i="621"/>
  <c r="D12" i="621"/>
  <c r="H11" i="621"/>
  <c r="F11" i="621"/>
  <c r="D11" i="621"/>
  <c r="D10" i="621"/>
  <c r="D9" i="621"/>
  <c r="D8" i="621"/>
  <c r="I6" i="621"/>
  <c r="C5" i="621"/>
  <c r="B5" i="621"/>
  <c r="F4" i="621"/>
  <c r="A3" i="621"/>
  <c r="D55" i="632"/>
  <c r="H49" i="632"/>
  <c r="D49" i="632"/>
  <c r="H48" i="632"/>
  <c r="D48" i="632"/>
  <c r="H47" i="632"/>
  <c r="D47" i="632"/>
  <c r="H46" i="632"/>
  <c r="D46" i="632"/>
  <c r="H40" i="632"/>
  <c r="F40" i="632"/>
  <c r="D40" i="632"/>
  <c r="H39" i="632"/>
  <c r="F39" i="632"/>
  <c r="D39" i="632"/>
  <c r="H37" i="632"/>
  <c r="F37" i="632"/>
  <c r="D37" i="632"/>
  <c r="H36" i="632"/>
  <c r="F36" i="632"/>
  <c r="D36" i="632"/>
  <c r="H35" i="632"/>
  <c r="F35" i="632"/>
  <c r="D35" i="632"/>
  <c r="H29" i="632"/>
  <c r="F29" i="632"/>
  <c r="H28" i="632"/>
  <c r="F28" i="632"/>
  <c r="H27" i="632"/>
  <c r="F27" i="632"/>
  <c r="H26" i="632"/>
  <c r="F26" i="632"/>
  <c r="H25" i="632"/>
  <c r="F25" i="632"/>
  <c r="H24" i="632"/>
  <c r="F24" i="632"/>
  <c r="H18" i="632"/>
  <c r="F18" i="632"/>
  <c r="D18" i="632"/>
  <c r="H17" i="632"/>
  <c r="F17" i="632"/>
  <c r="D17" i="632"/>
  <c r="H16" i="632"/>
  <c r="F16" i="632"/>
  <c r="D16" i="632"/>
  <c r="H15" i="632"/>
  <c r="F15" i="632"/>
  <c r="D15" i="632"/>
  <c r="H14" i="632"/>
  <c r="F14" i="632"/>
  <c r="D14" i="632"/>
  <c r="H13" i="632"/>
  <c r="F13" i="632"/>
  <c r="D13" i="632"/>
  <c r="H12" i="632"/>
  <c r="F12" i="632"/>
  <c r="D12" i="632"/>
  <c r="H11" i="632"/>
  <c r="F11" i="632"/>
  <c r="D11" i="632"/>
  <c r="H10" i="632"/>
  <c r="F10" i="632"/>
  <c r="D10" i="632"/>
  <c r="D9" i="632"/>
  <c r="D8" i="632"/>
  <c r="I6" i="632"/>
  <c r="C5" i="632"/>
  <c r="B5" i="632"/>
  <c r="F4" i="632"/>
  <c r="A3" i="632"/>
  <c r="D55" i="631"/>
  <c r="H49" i="631"/>
  <c r="D49" i="631"/>
  <c r="H48" i="631"/>
  <c r="D48" i="631"/>
  <c r="H47" i="631"/>
  <c r="D47" i="631"/>
  <c r="H46" i="631"/>
  <c r="D46" i="631"/>
  <c r="H40" i="631"/>
  <c r="F40" i="631"/>
  <c r="D40" i="631"/>
  <c r="H39" i="631"/>
  <c r="I38" i="631"/>
  <c r="F39" i="631"/>
  <c r="D39" i="631"/>
  <c r="I34" i="621"/>
  <c r="I41" i="621"/>
  <c r="AB826" i="721"/>
  <c r="I34" i="632"/>
  <c r="I38" i="632"/>
  <c r="I41" i="632"/>
  <c r="H37" i="631"/>
  <c r="F37" i="631"/>
  <c r="D37" i="631"/>
  <c r="H36" i="631"/>
  <c r="F36" i="631"/>
  <c r="D36" i="631"/>
  <c r="H35" i="631"/>
  <c r="F35" i="631"/>
  <c r="D35" i="631"/>
  <c r="H29" i="631"/>
  <c r="F29" i="631"/>
  <c r="H28" i="631"/>
  <c r="F28" i="631"/>
  <c r="H27" i="631"/>
  <c r="F27" i="631"/>
  <c r="H26" i="631"/>
  <c r="F26" i="631"/>
  <c r="H25" i="631"/>
  <c r="F25" i="631"/>
  <c r="H24" i="631"/>
  <c r="F24" i="631"/>
  <c r="H18" i="631"/>
  <c r="F18" i="631"/>
  <c r="D18" i="631"/>
  <c r="H17" i="631"/>
  <c r="F17" i="631"/>
  <c r="D17" i="631"/>
  <c r="H16" i="631"/>
  <c r="F16" i="631"/>
  <c r="D16" i="631"/>
  <c r="H15" i="631"/>
  <c r="F15" i="631"/>
  <c r="D15" i="631"/>
  <c r="H14" i="631"/>
  <c r="F14" i="631"/>
  <c r="D14" i="631"/>
  <c r="H13" i="631"/>
  <c r="F13" i="631"/>
  <c r="D13" i="631"/>
  <c r="H12" i="631"/>
  <c r="F12" i="631"/>
  <c r="D12" i="631"/>
  <c r="H11" i="631"/>
  <c r="F11" i="631"/>
  <c r="D11" i="631"/>
  <c r="H10" i="631"/>
  <c r="F10" i="631"/>
  <c r="D10" i="631"/>
  <c r="D9" i="631"/>
  <c r="D8" i="631"/>
  <c r="I6" i="631"/>
  <c r="C5" i="631"/>
  <c r="B5" i="631"/>
  <c r="F4" i="631"/>
  <c r="A3" i="631"/>
  <c r="D55" i="629"/>
  <c r="H49" i="629"/>
  <c r="D49" i="629"/>
  <c r="H48" i="629"/>
  <c r="D48" i="629"/>
  <c r="H47" i="629"/>
  <c r="D47" i="629"/>
  <c r="H46" i="629"/>
  <c r="D46" i="629"/>
  <c r="H40" i="629"/>
  <c r="F40" i="629"/>
  <c r="D40" i="629"/>
  <c r="H39" i="629"/>
  <c r="F39" i="629"/>
  <c r="D39" i="629"/>
  <c r="H37" i="629"/>
  <c r="F37" i="629"/>
  <c r="D37" i="629"/>
  <c r="H36" i="629"/>
  <c r="F36" i="629"/>
  <c r="D36" i="629"/>
  <c r="H35" i="629"/>
  <c r="F35" i="629"/>
  <c r="D35" i="629"/>
  <c r="H29" i="629"/>
  <c r="F29" i="629"/>
  <c r="H28" i="629"/>
  <c r="F28" i="629"/>
  <c r="H27" i="629"/>
  <c r="F27" i="629"/>
  <c r="H26" i="629"/>
  <c r="F26" i="629"/>
  <c r="H25" i="629"/>
  <c r="F25" i="629"/>
  <c r="H24" i="629"/>
  <c r="F24" i="629"/>
  <c r="H18" i="629"/>
  <c r="F18" i="629"/>
  <c r="D18" i="629"/>
  <c r="H17" i="629"/>
  <c r="F17" i="629"/>
  <c r="D17" i="629"/>
  <c r="H16" i="629"/>
  <c r="F16" i="629"/>
  <c r="D16" i="629"/>
  <c r="H15" i="629"/>
  <c r="F15" i="629"/>
  <c r="D15" i="629"/>
  <c r="H14" i="629"/>
  <c r="F14" i="629"/>
  <c r="D14" i="629"/>
  <c r="H13" i="629"/>
  <c r="F13" i="629"/>
  <c r="D13" i="629"/>
  <c r="H12" i="629"/>
  <c r="F12" i="629"/>
  <c r="D12" i="629"/>
  <c r="H11" i="629"/>
  <c r="F11" i="629"/>
  <c r="D11" i="629"/>
  <c r="H10" i="629"/>
  <c r="F10" i="629"/>
  <c r="D10" i="629"/>
  <c r="D9" i="629"/>
  <c r="D8" i="629"/>
  <c r="I6" i="629"/>
  <c r="C5" i="629"/>
  <c r="B5" i="629"/>
  <c r="F4" i="629"/>
  <c r="A3" i="629"/>
  <c r="D55" i="633"/>
  <c r="H49" i="633"/>
  <c r="D49" i="633"/>
  <c r="H48" i="633"/>
  <c r="D48" i="633"/>
  <c r="H47" i="633"/>
  <c r="D47" i="633"/>
  <c r="H46" i="633"/>
  <c r="D46" i="633"/>
  <c r="H40" i="633"/>
  <c r="H39" i="633"/>
  <c r="I38" i="633"/>
  <c r="F40" i="633"/>
  <c r="D40" i="633"/>
  <c r="F39" i="633"/>
  <c r="D39" i="633"/>
  <c r="H37" i="633"/>
  <c r="F37" i="633"/>
  <c r="D37" i="633"/>
  <c r="H36" i="633"/>
  <c r="F36" i="633"/>
  <c r="D36" i="633"/>
  <c r="H35" i="633"/>
  <c r="I34" i="633"/>
  <c r="I41" i="633"/>
  <c r="F35" i="633"/>
  <c r="D35" i="633"/>
  <c r="H29" i="633"/>
  <c r="F29" i="633"/>
  <c r="H28" i="633"/>
  <c r="F28" i="633"/>
  <c r="H27" i="633"/>
  <c r="F27" i="633"/>
  <c r="H26" i="633"/>
  <c r="F26" i="633"/>
  <c r="I34" i="631"/>
  <c r="I41" i="631"/>
  <c r="AB819" i="720"/>
  <c r="I34" i="629"/>
  <c r="I38" i="629"/>
  <c r="I41" i="629"/>
  <c r="H18" i="633"/>
  <c r="F18" i="633"/>
  <c r="D18" i="633"/>
  <c r="H17" i="633"/>
  <c r="F17" i="633"/>
  <c r="D17" i="633"/>
  <c r="H16" i="633"/>
  <c r="F16" i="633"/>
  <c r="D16" i="633"/>
  <c r="H15" i="633"/>
  <c r="F15" i="633"/>
  <c r="D15" i="633"/>
  <c r="H14" i="633"/>
  <c r="F14" i="633"/>
  <c r="D14" i="633"/>
  <c r="H13" i="633"/>
  <c r="F13" i="633"/>
  <c r="D13" i="633"/>
  <c r="D12" i="633"/>
  <c r="D11" i="633"/>
  <c r="D10" i="633"/>
  <c r="D9" i="633"/>
  <c r="D8" i="633"/>
  <c r="I6" i="633"/>
  <c r="C5" i="633"/>
  <c r="B5" i="633"/>
  <c r="F4" i="633"/>
  <c r="A3" i="633"/>
  <c r="D55" i="628"/>
  <c r="H49" i="628"/>
  <c r="D49" i="628"/>
  <c r="H48" i="628"/>
  <c r="D48" i="628"/>
  <c r="H47" i="628"/>
  <c r="D47" i="628"/>
  <c r="H46" i="628"/>
  <c r="D46" i="628"/>
  <c r="H40" i="628"/>
  <c r="F40" i="628"/>
  <c r="D40" i="628"/>
  <c r="H39" i="628"/>
  <c r="F39" i="628"/>
  <c r="D39" i="628"/>
  <c r="H37" i="628"/>
  <c r="F37" i="628"/>
  <c r="D37" i="628"/>
  <c r="H36" i="628"/>
  <c r="F36" i="628"/>
  <c r="D36" i="628"/>
  <c r="H35" i="628"/>
  <c r="I34" i="628"/>
  <c r="F35" i="628"/>
  <c r="D35" i="628"/>
  <c r="H29" i="628"/>
  <c r="F29" i="628"/>
  <c r="H28" i="628"/>
  <c r="F28" i="628"/>
  <c r="H27" i="628"/>
  <c r="F27" i="628"/>
  <c r="H26" i="628"/>
  <c r="F26" i="628"/>
  <c r="H25" i="628"/>
  <c r="F25" i="628"/>
  <c r="H24" i="628"/>
  <c r="F24" i="628"/>
  <c r="H18" i="628"/>
  <c r="F18" i="628"/>
  <c r="D18" i="628"/>
  <c r="H17" i="628"/>
  <c r="F17" i="628"/>
  <c r="D17" i="628"/>
  <c r="H16" i="628"/>
  <c r="F16" i="628"/>
  <c r="D16" i="628"/>
  <c r="H15" i="628"/>
  <c r="F15" i="628"/>
  <c r="D15" i="628"/>
  <c r="H14" i="628"/>
  <c r="F14" i="628"/>
  <c r="D14" i="628"/>
  <c r="H13" i="628"/>
  <c r="F13" i="628"/>
  <c r="D13" i="628"/>
  <c r="H12" i="628"/>
  <c r="F12" i="628"/>
  <c r="D12" i="628"/>
  <c r="H11" i="628"/>
  <c r="F11" i="628"/>
  <c r="D11" i="628"/>
  <c r="H10" i="628"/>
  <c r="F10" i="628"/>
  <c r="D10" i="628"/>
  <c r="D9" i="628"/>
  <c r="D8" i="628"/>
  <c r="I6" i="628"/>
  <c r="C5" i="628"/>
  <c r="B5" i="628"/>
  <c r="F4" i="628"/>
  <c r="A3" i="628"/>
  <c r="D55" i="388"/>
  <c r="H49" i="388"/>
  <c r="D49" i="388"/>
  <c r="H48" i="388"/>
  <c r="D48" i="388"/>
  <c r="H47" i="388"/>
  <c r="D47" i="388"/>
  <c r="H46" i="388"/>
  <c r="D46" i="388"/>
  <c r="H40" i="388"/>
  <c r="H39" i="388"/>
  <c r="I38" i="388"/>
  <c r="F40" i="388"/>
  <c r="D40" i="388"/>
  <c r="F39" i="388"/>
  <c r="D39" i="388"/>
  <c r="H37" i="388"/>
  <c r="F37" i="388"/>
  <c r="D37" i="388"/>
  <c r="H36" i="388"/>
  <c r="F36" i="388"/>
  <c r="D36" i="388"/>
  <c r="H35" i="388"/>
  <c r="F35" i="388"/>
  <c r="D35" i="388"/>
  <c r="H29" i="388"/>
  <c r="F29" i="388"/>
  <c r="H28" i="388"/>
  <c r="F28" i="388"/>
  <c r="H27" i="388"/>
  <c r="F27" i="388"/>
  <c r="H26" i="388"/>
  <c r="F26" i="388"/>
  <c r="H25" i="388"/>
  <c r="F25" i="388"/>
  <c r="H24" i="388"/>
  <c r="F24" i="388"/>
  <c r="H18" i="388"/>
  <c r="F18" i="388"/>
  <c r="D18" i="388"/>
  <c r="H17" i="388"/>
  <c r="F17" i="388"/>
  <c r="D17" i="388"/>
  <c r="H16" i="388"/>
  <c r="F16" i="388"/>
  <c r="D16" i="388"/>
  <c r="H15" i="388"/>
  <c r="F15" i="388"/>
  <c r="D15" i="388"/>
  <c r="H14" i="388"/>
  <c r="F14" i="388"/>
  <c r="D14" i="388"/>
  <c r="H13" i="388"/>
  <c r="F13" i="388"/>
  <c r="D13" i="388"/>
  <c r="H12" i="388"/>
  <c r="F12" i="388"/>
  <c r="D12" i="388"/>
  <c r="H11" i="388"/>
  <c r="F11" i="388"/>
  <c r="D11" i="388"/>
  <c r="H10" i="388"/>
  <c r="F10" i="388"/>
  <c r="D10" i="388"/>
  <c r="D9" i="388"/>
  <c r="D8" i="388"/>
  <c r="C5" i="388"/>
  <c r="B5" i="388"/>
  <c r="F4" i="388"/>
  <c r="A3" i="388"/>
  <c r="D55" i="533"/>
  <c r="H49" i="533"/>
  <c r="D49" i="533"/>
  <c r="H48" i="533"/>
  <c r="D48" i="533"/>
  <c r="H47" i="533"/>
  <c r="D47" i="533"/>
  <c r="H46" i="533"/>
  <c r="D46" i="533"/>
  <c r="H40" i="533"/>
  <c r="F40" i="533"/>
  <c r="D40" i="533"/>
  <c r="H39" i="533"/>
  <c r="I38" i="533"/>
  <c r="F39" i="533"/>
  <c r="D39" i="533"/>
  <c r="H37" i="533"/>
  <c r="F37" i="533"/>
  <c r="D37" i="533"/>
  <c r="H36" i="533"/>
  <c r="H35" i="533"/>
  <c r="I34" i="533"/>
  <c r="F36" i="533"/>
  <c r="D36" i="533"/>
  <c r="F35" i="533"/>
  <c r="D35" i="533"/>
  <c r="H29" i="533"/>
  <c r="F29" i="533"/>
  <c r="H28" i="533"/>
  <c r="F28" i="533"/>
  <c r="H27" i="533"/>
  <c r="F27" i="533"/>
  <c r="H26" i="533"/>
  <c r="F26" i="533"/>
  <c r="H25" i="533"/>
  <c r="F25" i="533"/>
  <c r="H24" i="533"/>
  <c r="F24" i="533"/>
  <c r="H18" i="533"/>
  <c r="F18" i="533"/>
  <c r="D18" i="533"/>
  <c r="H17" i="533"/>
  <c r="F17" i="533"/>
  <c r="D17" i="533"/>
  <c r="H16" i="533"/>
  <c r="F16" i="533"/>
  <c r="D16" i="533"/>
  <c r="H15" i="533"/>
  <c r="F15" i="533"/>
  <c r="D15" i="533"/>
  <c r="H14" i="533"/>
  <c r="F14" i="533"/>
  <c r="D14" i="533"/>
  <c r="H13" i="533"/>
  <c r="F13" i="533"/>
  <c r="D13" i="533"/>
  <c r="H12" i="533"/>
  <c r="F12" i="533"/>
  <c r="D12" i="533"/>
  <c r="H11" i="533"/>
  <c r="F11" i="533"/>
  <c r="D11" i="533"/>
  <c r="H10" i="533"/>
  <c r="F10" i="533"/>
  <c r="D10" i="533"/>
  <c r="E9" i="533"/>
  <c r="D9" i="533"/>
  <c r="D8" i="533"/>
  <c r="I6" i="533"/>
  <c r="C5" i="533"/>
  <c r="B5" i="533"/>
  <c r="F4" i="533"/>
  <c r="A3" i="533"/>
  <c r="AB826" i="720"/>
  <c r="AC826" i="720"/>
  <c r="I38" i="628"/>
  <c r="D55" i="638"/>
  <c r="H49" i="638"/>
  <c r="D49" i="638"/>
  <c r="H48" i="638"/>
  <c r="D48" i="638"/>
  <c r="H47" i="638"/>
  <c r="D47" i="638"/>
  <c r="H46" i="638"/>
  <c r="D46" i="638"/>
  <c r="H40" i="638"/>
  <c r="F40" i="638"/>
  <c r="D40" i="638"/>
  <c r="H39" i="638"/>
  <c r="F39" i="638"/>
  <c r="D39" i="638"/>
  <c r="H37" i="638"/>
  <c r="H35" i="638"/>
  <c r="H36" i="638"/>
  <c r="I34" i="638"/>
  <c r="I38" i="638"/>
  <c r="I41" i="638"/>
  <c r="AB806" i="721"/>
  <c r="F37" i="638"/>
  <c r="D37" i="638"/>
  <c r="F36" i="638"/>
  <c r="D36" i="638"/>
  <c r="F35" i="638"/>
  <c r="D35" i="638"/>
  <c r="H29" i="638"/>
  <c r="F29" i="638"/>
  <c r="H18" i="638"/>
  <c r="F18" i="638"/>
  <c r="D18" i="638"/>
  <c r="H17" i="638"/>
  <c r="F17" i="638"/>
  <c r="D17" i="638"/>
  <c r="H16" i="638"/>
  <c r="F16" i="638"/>
  <c r="D16" i="638"/>
  <c r="H15" i="638"/>
  <c r="F15" i="638"/>
  <c r="D15" i="638"/>
  <c r="D14" i="638"/>
  <c r="D13" i="638"/>
  <c r="D12" i="638"/>
  <c r="F11" i="638"/>
  <c r="D10" i="638"/>
  <c r="D9" i="638"/>
  <c r="D8" i="638"/>
  <c r="I6" i="638"/>
  <c r="C5" i="638"/>
  <c r="B5" i="638"/>
  <c r="F4" i="638"/>
  <c r="A3" i="638"/>
  <c r="D55" i="636"/>
  <c r="H49" i="636"/>
  <c r="D49" i="636"/>
  <c r="H48" i="636"/>
  <c r="D48" i="636"/>
  <c r="H47" i="636"/>
  <c r="D47" i="636"/>
  <c r="H46" i="636"/>
  <c r="D46" i="636"/>
  <c r="H40" i="636"/>
  <c r="H39" i="636"/>
  <c r="I38" i="636"/>
  <c r="F40" i="636"/>
  <c r="D40" i="636"/>
  <c r="F39" i="636"/>
  <c r="D39" i="636"/>
  <c r="H37" i="636"/>
  <c r="F37" i="636"/>
  <c r="D37" i="636"/>
  <c r="H36" i="636"/>
  <c r="F36" i="636"/>
  <c r="D36" i="636"/>
  <c r="H35" i="636"/>
  <c r="I34" i="636"/>
  <c r="F35" i="636"/>
  <c r="D35" i="636"/>
  <c r="H29" i="636"/>
  <c r="F29" i="636"/>
  <c r="H28" i="636"/>
  <c r="F28" i="636"/>
  <c r="H27" i="636"/>
  <c r="F27" i="636"/>
  <c r="H26" i="636"/>
  <c r="F26" i="636"/>
  <c r="H25" i="636"/>
  <c r="F25" i="636"/>
  <c r="H18" i="636"/>
  <c r="F18" i="636"/>
  <c r="D18" i="636"/>
  <c r="H17" i="636"/>
  <c r="F17" i="636"/>
  <c r="D17" i="636"/>
  <c r="H16" i="636"/>
  <c r="F16" i="636"/>
  <c r="D16" i="636"/>
  <c r="H15" i="636"/>
  <c r="F15" i="636"/>
  <c r="D15" i="636"/>
  <c r="H14" i="636"/>
  <c r="F14" i="636"/>
  <c r="D14" i="636"/>
  <c r="D13" i="636"/>
  <c r="D12" i="636"/>
  <c r="D11" i="636"/>
  <c r="D10" i="636"/>
  <c r="D9" i="636"/>
  <c r="D8" i="636"/>
  <c r="I6" i="636"/>
  <c r="C5" i="636"/>
  <c r="B5" i="636"/>
  <c r="F4" i="636"/>
  <c r="A3" i="636"/>
  <c r="D55" i="635"/>
  <c r="H49" i="635"/>
  <c r="D49" i="635"/>
  <c r="H48" i="635"/>
  <c r="D48" i="635"/>
  <c r="H47" i="635"/>
  <c r="D47" i="635"/>
  <c r="H46" i="635"/>
  <c r="D46" i="635"/>
  <c r="H40" i="635"/>
  <c r="H39" i="635"/>
  <c r="I38" i="635"/>
  <c r="F40" i="635"/>
  <c r="D40" i="635"/>
  <c r="F39" i="635"/>
  <c r="D39" i="635"/>
  <c r="I41" i="628"/>
  <c r="H37" i="635"/>
  <c r="F37" i="635"/>
  <c r="D37" i="635"/>
  <c r="H36" i="635"/>
  <c r="H35" i="635"/>
  <c r="I34" i="635"/>
  <c r="F36" i="635"/>
  <c r="D36" i="635"/>
  <c r="F35" i="635"/>
  <c r="D35" i="635"/>
  <c r="H29" i="635"/>
  <c r="F29" i="635"/>
  <c r="H28" i="635"/>
  <c r="F28" i="635"/>
  <c r="H27" i="635"/>
  <c r="F27" i="635"/>
  <c r="H26" i="635"/>
  <c r="F26" i="635"/>
  <c r="H25" i="635"/>
  <c r="F25" i="635"/>
  <c r="H18" i="635"/>
  <c r="F18" i="635"/>
  <c r="D18" i="635"/>
  <c r="H17" i="635"/>
  <c r="F17" i="635"/>
  <c r="D17" i="635"/>
  <c r="H16" i="635"/>
  <c r="F16" i="635"/>
  <c r="D16" i="635"/>
  <c r="H15" i="635"/>
  <c r="F15" i="635"/>
  <c r="D15" i="635"/>
  <c r="H14" i="635"/>
  <c r="F14" i="635"/>
  <c r="D14" i="635"/>
  <c r="H13" i="635"/>
  <c r="F13" i="635"/>
  <c r="D13" i="635"/>
  <c r="H12" i="635"/>
  <c r="F12" i="635"/>
  <c r="D12" i="635"/>
  <c r="H11" i="635"/>
  <c r="F11" i="635"/>
  <c r="D11" i="635"/>
  <c r="H10" i="635"/>
  <c r="F10" i="635"/>
  <c r="D10" i="635"/>
  <c r="D9" i="635"/>
  <c r="D8" i="635"/>
  <c r="I6" i="635"/>
  <c r="C5" i="635"/>
  <c r="B5" i="635"/>
  <c r="F4" i="635"/>
  <c r="A3" i="635"/>
  <c r="D55" i="634"/>
  <c r="H49" i="634"/>
  <c r="D49" i="634"/>
  <c r="H48" i="634"/>
  <c r="D48" i="634"/>
  <c r="H47" i="634"/>
  <c r="D47" i="634"/>
  <c r="H46" i="634"/>
  <c r="D46" i="634"/>
  <c r="H40" i="634"/>
  <c r="F40" i="634"/>
  <c r="D40" i="634"/>
  <c r="H39" i="634"/>
  <c r="I38" i="634"/>
  <c r="F39" i="634"/>
  <c r="D39" i="634"/>
  <c r="H37" i="634"/>
  <c r="F37" i="634"/>
  <c r="D37" i="634"/>
  <c r="H36" i="634"/>
  <c r="H35" i="634"/>
  <c r="I34" i="634"/>
  <c r="F36" i="634"/>
  <c r="D36" i="634"/>
  <c r="F35" i="634"/>
  <c r="D35" i="634"/>
  <c r="H29" i="634"/>
  <c r="F29" i="634"/>
  <c r="H28" i="634"/>
  <c r="F28" i="634"/>
  <c r="H27" i="634"/>
  <c r="F27" i="634"/>
  <c r="H26" i="634"/>
  <c r="F26" i="634"/>
  <c r="H25" i="634"/>
  <c r="F25" i="634"/>
  <c r="H24" i="634"/>
  <c r="F24" i="634"/>
  <c r="H18" i="634"/>
  <c r="F18" i="634"/>
  <c r="D18" i="634"/>
  <c r="H17" i="634"/>
  <c r="F17" i="634"/>
  <c r="D17" i="634"/>
  <c r="H16" i="634"/>
  <c r="F16" i="634"/>
  <c r="D16" i="634"/>
  <c r="H15" i="634"/>
  <c r="F15" i="634"/>
  <c r="D15" i="634"/>
  <c r="H14" i="634"/>
  <c r="F14" i="634"/>
  <c r="D14" i="634"/>
  <c r="H13" i="634"/>
  <c r="F13" i="634"/>
  <c r="D13" i="634"/>
  <c r="H12" i="634"/>
  <c r="F12" i="634"/>
  <c r="D12" i="634"/>
  <c r="H11" i="634"/>
  <c r="F11" i="634"/>
  <c r="D11" i="634"/>
  <c r="H10" i="634"/>
  <c r="F10" i="634"/>
  <c r="D10" i="634"/>
  <c r="H9" i="634"/>
  <c r="F9" i="634"/>
  <c r="D9" i="634"/>
  <c r="D8" i="634"/>
  <c r="I6" i="634"/>
  <c r="C5" i="634"/>
  <c r="B5" i="634"/>
  <c r="F4" i="634"/>
  <c r="A3" i="634"/>
  <c r="D55" i="530"/>
  <c r="H49" i="530"/>
  <c r="D49" i="530"/>
  <c r="H48" i="530"/>
  <c r="D48" i="530"/>
  <c r="H47" i="530"/>
  <c r="D47" i="530"/>
  <c r="H46" i="530"/>
  <c r="D46" i="530"/>
  <c r="H40" i="530"/>
  <c r="F40" i="530"/>
  <c r="D40" i="530"/>
  <c r="H39" i="530"/>
  <c r="I38" i="530"/>
  <c r="F39" i="530"/>
  <c r="D39" i="530"/>
  <c r="H37" i="530"/>
  <c r="F37" i="530"/>
  <c r="D37" i="530"/>
  <c r="H36" i="530"/>
  <c r="F36" i="530"/>
  <c r="D36" i="530"/>
  <c r="H35" i="530"/>
  <c r="F35" i="530"/>
  <c r="D35" i="530"/>
  <c r="H29" i="530"/>
  <c r="F29" i="530"/>
  <c r="H28" i="530"/>
  <c r="F28" i="530"/>
  <c r="H27" i="530"/>
  <c r="F27" i="530"/>
  <c r="H26" i="530"/>
  <c r="F26" i="530"/>
  <c r="H25" i="530"/>
  <c r="F25" i="530"/>
  <c r="H24" i="530"/>
  <c r="F24" i="530"/>
  <c r="H18" i="530"/>
  <c r="F18" i="530"/>
  <c r="D18" i="530"/>
  <c r="H17" i="530"/>
  <c r="F17" i="530"/>
  <c r="D17" i="530"/>
  <c r="H16" i="530"/>
  <c r="F16" i="530"/>
  <c r="D16" i="530"/>
  <c r="H15" i="530"/>
  <c r="F15" i="530"/>
  <c r="D15" i="530"/>
  <c r="H14" i="530"/>
  <c r="F14" i="530"/>
  <c r="D14" i="530"/>
  <c r="H13" i="530"/>
  <c r="F13" i="530"/>
  <c r="D13" i="530"/>
  <c r="H12" i="530"/>
  <c r="F12" i="530"/>
  <c r="D12" i="530"/>
  <c r="E11" i="530"/>
  <c r="D11" i="530"/>
  <c r="D10" i="530"/>
  <c r="D9" i="530"/>
  <c r="E8" i="530"/>
  <c r="D8" i="530"/>
  <c r="I6" i="530"/>
  <c r="C5" i="530"/>
  <c r="B5" i="530"/>
  <c r="F4" i="530"/>
  <c r="A3" i="530"/>
  <c r="D55" i="707"/>
  <c r="H49" i="707"/>
  <c r="D49" i="707"/>
  <c r="H48" i="707"/>
  <c r="D48" i="707"/>
  <c r="H47" i="707"/>
  <c r="D47" i="707"/>
  <c r="H46" i="707"/>
  <c r="D46" i="707"/>
  <c r="H40" i="707"/>
  <c r="F40" i="707"/>
  <c r="D40" i="707"/>
  <c r="H39" i="707"/>
  <c r="F39" i="707"/>
  <c r="D39" i="707"/>
  <c r="H38" i="707"/>
  <c r="F38" i="707"/>
  <c r="D38" i="707"/>
  <c r="H37" i="707"/>
  <c r="H35" i="707"/>
  <c r="H36" i="707"/>
  <c r="I34" i="707"/>
  <c r="F37" i="707"/>
  <c r="D37" i="707"/>
  <c r="F36" i="707"/>
  <c r="D36" i="707"/>
  <c r="F35" i="707"/>
  <c r="D35" i="707"/>
  <c r="H34" i="707"/>
  <c r="D34" i="707"/>
  <c r="H29" i="707"/>
  <c r="F29" i="707"/>
  <c r="H28" i="707"/>
  <c r="F28" i="707"/>
  <c r="H27" i="707"/>
  <c r="F27" i="707"/>
  <c r="H26" i="707"/>
  <c r="F26" i="707"/>
  <c r="H25" i="707"/>
  <c r="F25" i="707"/>
  <c r="I38" i="707"/>
  <c r="I34" i="530"/>
  <c r="I41" i="530"/>
  <c r="H18" i="707"/>
  <c r="F18" i="707"/>
  <c r="D18" i="707"/>
  <c r="H17" i="707"/>
  <c r="F17" i="707"/>
  <c r="D17" i="707"/>
  <c r="H16" i="707"/>
  <c r="F16" i="707"/>
  <c r="D16" i="707"/>
  <c r="H15" i="707"/>
  <c r="F15" i="707"/>
  <c r="D15" i="707"/>
  <c r="H14" i="707"/>
  <c r="F14" i="707"/>
  <c r="D14" i="707"/>
  <c r="H13" i="707"/>
  <c r="F13" i="707"/>
  <c r="D13" i="707"/>
  <c r="H12" i="707"/>
  <c r="F12" i="707"/>
  <c r="D12" i="707"/>
  <c r="H11" i="707"/>
  <c r="F11" i="707"/>
  <c r="D11" i="707"/>
  <c r="H10" i="707"/>
  <c r="F10" i="707"/>
  <c r="D10" i="707"/>
  <c r="H9" i="707"/>
  <c r="F9" i="707"/>
  <c r="D9" i="707"/>
  <c r="D8" i="707"/>
  <c r="I6" i="707"/>
  <c r="C5" i="707"/>
  <c r="B5" i="707"/>
  <c r="F4" i="707"/>
  <c r="A3" i="707"/>
  <c r="AB806" i="720"/>
  <c r="AB770" i="721"/>
  <c r="AB770" i="720"/>
  <c r="AC770" i="720"/>
  <c r="AC768" i="720"/>
  <c r="D55" i="284"/>
  <c r="H49" i="284"/>
  <c r="D49" i="284"/>
  <c r="H48" i="284"/>
  <c r="D48" i="284"/>
  <c r="H47" i="284"/>
  <c r="D47" i="284"/>
  <c r="H46" i="284"/>
  <c r="D46" i="284"/>
  <c r="H40" i="284"/>
  <c r="F40" i="284"/>
  <c r="D40" i="284"/>
  <c r="H39" i="284"/>
  <c r="F39" i="284"/>
  <c r="D39" i="284"/>
  <c r="H37" i="284"/>
  <c r="F37" i="284"/>
  <c r="D37" i="284"/>
  <c r="H36" i="284"/>
  <c r="F36" i="284"/>
  <c r="D36" i="284"/>
  <c r="H35" i="284"/>
  <c r="F35" i="284"/>
  <c r="D35" i="284"/>
  <c r="H29" i="284"/>
  <c r="F29" i="284"/>
  <c r="H28" i="284"/>
  <c r="F28" i="284"/>
  <c r="H27" i="284"/>
  <c r="F27" i="284"/>
  <c r="H26" i="284"/>
  <c r="F26" i="284"/>
  <c r="H25" i="284"/>
  <c r="F25" i="284"/>
  <c r="H18" i="284"/>
  <c r="F18" i="284"/>
  <c r="D18" i="284"/>
  <c r="H17" i="284"/>
  <c r="F17" i="284"/>
  <c r="D17" i="284"/>
  <c r="H16" i="284"/>
  <c r="F16" i="284"/>
  <c r="D16" i="284"/>
  <c r="H15" i="284"/>
  <c r="F15" i="284"/>
  <c r="D15" i="284"/>
  <c r="H14" i="284"/>
  <c r="F14" i="284"/>
  <c r="D14" i="284"/>
  <c r="H13" i="284"/>
  <c r="F13" i="284"/>
  <c r="D13" i="284"/>
  <c r="H12" i="284"/>
  <c r="F12" i="284"/>
  <c r="D12" i="284"/>
  <c r="H11" i="284"/>
  <c r="F11" i="284"/>
  <c r="D11" i="284"/>
  <c r="H10" i="284"/>
  <c r="F10" i="284"/>
  <c r="D10" i="284"/>
  <c r="H9" i="284"/>
  <c r="F9" i="284"/>
  <c r="D9" i="284"/>
  <c r="D8" i="284"/>
  <c r="F4" i="284"/>
  <c r="A3" i="284"/>
  <c r="D55" i="379"/>
  <c r="H49" i="379"/>
  <c r="D49" i="379"/>
  <c r="H48" i="379"/>
  <c r="D48" i="379"/>
  <c r="H47" i="379"/>
  <c r="D47" i="379"/>
  <c r="H46" i="379"/>
  <c r="D46" i="379"/>
  <c r="H40" i="379"/>
  <c r="F40" i="379"/>
  <c r="D40" i="379"/>
  <c r="H39" i="379"/>
  <c r="I38" i="379"/>
  <c r="F39" i="379"/>
  <c r="D39" i="379"/>
  <c r="H37" i="379"/>
  <c r="F37" i="379"/>
  <c r="D37" i="379"/>
  <c r="H36" i="379"/>
  <c r="F36" i="379"/>
  <c r="D36" i="379"/>
  <c r="H35" i="379"/>
  <c r="F35" i="379"/>
  <c r="D35" i="379"/>
  <c r="H29" i="379"/>
  <c r="F29" i="379"/>
  <c r="H28" i="379"/>
  <c r="F28" i="379"/>
  <c r="H27" i="379"/>
  <c r="F27" i="379"/>
  <c r="H26" i="379"/>
  <c r="F26" i="379"/>
  <c r="H18" i="379"/>
  <c r="F18" i="379"/>
  <c r="D18" i="379"/>
  <c r="H17" i="379"/>
  <c r="F17" i="379"/>
  <c r="D17" i="379"/>
  <c r="H16" i="379"/>
  <c r="F16" i="379"/>
  <c r="D16" i="379"/>
  <c r="H15" i="379"/>
  <c r="F15" i="379"/>
  <c r="D15" i="379"/>
  <c r="H14" i="379"/>
  <c r="F14" i="379"/>
  <c r="D14" i="379"/>
  <c r="H13" i="379"/>
  <c r="F13" i="379"/>
  <c r="D13" i="379"/>
  <c r="H12" i="379"/>
  <c r="F12" i="379"/>
  <c r="D12" i="379"/>
  <c r="H11" i="379"/>
  <c r="F11" i="379"/>
  <c r="D11" i="379"/>
  <c r="H10" i="379"/>
  <c r="F10" i="379"/>
  <c r="D10" i="379"/>
  <c r="H9" i="379"/>
  <c r="F9" i="379"/>
  <c r="D9" i="379"/>
  <c r="D8" i="379"/>
  <c r="I6" i="379"/>
  <c r="C5" i="379"/>
  <c r="B5" i="379"/>
  <c r="F4" i="379"/>
  <c r="A3" i="379"/>
  <c r="D55" i="283"/>
  <c r="H49" i="283"/>
  <c r="D49" i="283"/>
  <c r="H48" i="283"/>
  <c r="D48" i="283"/>
  <c r="H47" i="283"/>
  <c r="D47" i="283"/>
  <c r="H46" i="283"/>
  <c r="D46" i="283"/>
  <c r="H40" i="283"/>
  <c r="F40" i="283"/>
  <c r="D40" i="283"/>
  <c r="H39" i="283"/>
  <c r="I38" i="283"/>
  <c r="F39" i="283"/>
  <c r="D39" i="283"/>
  <c r="H37" i="283"/>
  <c r="F37" i="283"/>
  <c r="D37" i="283"/>
  <c r="H36" i="283"/>
  <c r="F36" i="283"/>
  <c r="D36" i="283"/>
  <c r="H35" i="283"/>
  <c r="F35" i="283"/>
  <c r="D35" i="283"/>
  <c r="H29" i="283"/>
  <c r="F29" i="283"/>
  <c r="H28" i="283"/>
  <c r="F28" i="283"/>
  <c r="H27" i="283"/>
  <c r="F27" i="283"/>
  <c r="H26" i="283"/>
  <c r="F26" i="283"/>
  <c r="H18" i="283"/>
  <c r="F18" i="283"/>
  <c r="D18" i="283"/>
  <c r="H17" i="283"/>
  <c r="F17" i="283"/>
  <c r="D17" i="283"/>
  <c r="H16" i="283"/>
  <c r="F16" i="283"/>
  <c r="D16" i="283"/>
  <c r="H15" i="283"/>
  <c r="F15" i="283"/>
  <c r="D15" i="283"/>
  <c r="H14" i="283"/>
  <c r="F14" i="283"/>
  <c r="D14" i="283"/>
  <c r="H13" i="283"/>
  <c r="F13" i="283"/>
  <c r="D13" i="283"/>
  <c r="H12" i="283"/>
  <c r="F12" i="283"/>
  <c r="D12" i="283"/>
  <c r="H11" i="283"/>
  <c r="F11" i="283"/>
  <c r="D11" i="283"/>
  <c r="H10" i="283"/>
  <c r="F10" i="283"/>
  <c r="D10" i="283"/>
  <c r="H9" i="283"/>
  <c r="F9" i="283"/>
  <c r="D9" i="283"/>
  <c r="I34" i="379"/>
  <c r="I38" i="284"/>
  <c r="I34" i="283"/>
  <c r="I41" i="283"/>
  <c r="D8" i="283"/>
  <c r="F4" i="283"/>
  <c r="A3" i="283"/>
  <c r="D55" i="303"/>
  <c r="H49" i="303"/>
  <c r="D49" i="303"/>
  <c r="H48" i="303"/>
  <c r="D48" i="303"/>
  <c r="H47" i="303"/>
  <c r="D47" i="303"/>
  <c r="H46" i="303"/>
  <c r="D46" i="303"/>
  <c r="H40" i="303"/>
  <c r="F40" i="303"/>
  <c r="D40" i="303"/>
  <c r="H39" i="303"/>
  <c r="I38" i="303"/>
  <c r="F39" i="303"/>
  <c r="D39" i="303"/>
  <c r="H37" i="303"/>
  <c r="F37" i="303"/>
  <c r="D37" i="303"/>
  <c r="H36" i="303"/>
  <c r="H35" i="303"/>
  <c r="I34" i="303"/>
  <c r="I41" i="303"/>
  <c r="F36" i="303"/>
  <c r="D36" i="303"/>
  <c r="F35" i="303"/>
  <c r="D35" i="303"/>
  <c r="H29" i="303"/>
  <c r="F29" i="303"/>
  <c r="H28" i="303"/>
  <c r="F28" i="303"/>
  <c r="H27" i="303"/>
  <c r="F27" i="303"/>
  <c r="H26" i="303"/>
  <c r="F26" i="303"/>
  <c r="H25" i="303"/>
  <c r="F25" i="303"/>
  <c r="H18" i="303"/>
  <c r="F18" i="303"/>
  <c r="D18" i="303"/>
  <c r="H17" i="303"/>
  <c r="F17" i="303"/>
  <c r="D17" i="303"/>
  <c r="H16" i="303"/>
  <c r="F16" i="303"/>
  <c r="D16" i="303"/>
  <c r="H15" i="303"/>
  <c r="F15" i="303"/>
  <c r="D15" i="303"/>
  <c r="H14" i="303"/>
  <c r="F14" i="303"/>
  <c r="D14" i="303"/>
  <c r="H13" i="303"/>
  <c r="F13" i="303"/>
  <c r="D13" i="303"/>
  <c r="H12" i="303"/>
  <c r="F12" i="303"/>
  <c r="D12" i="303"/>
  <c r="H11" i="303"/>
  <c r="F11" i="303"/>
  <c r="D11" i="303"/>
  <c r="H10" i="303"/>
  <c r="F10" i="303"/>
  <c r="D10" i="303"/>
  <c r="D9" i="303"/>
  <c r="D8" i="303"/>
  <c r="F4" i="303"/>
  <c r="A3" i="303"/>
  <c r="D55" i="329"/>
  <c r="H49" i="329"/>
  <c r="D49" i="329"/>
  <c r="H48" i="329"/>
  <c r="D48" i="329"/>
  <c r="H47" i="329"/>
  <c r="D47" i="329"/>
  <c r="H46" i="329"/>
  <c r="D46" i="329"/>
  <c r="H40" i="329"/>
  <c r="H39" i="329"/>
  <c r="I38" i="329"/>
  <c r="F40" i="329"/>
  <c r="D40" i="329"/>
  <c r="F39" i="329"/>
  <c r="D39" i="329"/>
  <c r="H37" i="329"/>
  <c r="F37" i="329"/>
  <c r="D37" i="329"/>
  <c r="H36" i="329"/>
  <c r="F36" i="329"/>
  <c r="D36" i="329"/>
  <c r="H35" i="329"/>
  <c r="I34" i="329"/>
  <c r="I41" i="329"/>
  <c r="F35" i="329"/>
  <c r="D35" i="329"/>
  <c r="H29" i="329"/>
  <c r="F29" i="329"/>
  <c r="H28" i="329"/>
  <c r="F28" i="329"/>
  <c r="H27" i="329"/>
  <c r="F27" i="329"/>
  <c r="H26" i="329"/>
  <c r="F26" i="329"/>
  <c r="H25" i="329"/>
  <c r="F25" i="329"/>
  <c r="H24" i="329"/>
  <c r="F24" i="329"/>
  <c r="H18" i="329"/>
  <c r="F18" i="329"/>
  <c r="D18" i="329"/>
  <c r="H17" i="329"/>
  <c r="F17" i="329"/>
  <c r="D17" i="329"/>
  <c r="H16" i="329"/>
  <c r="F16" i="329"/>
  <c r="D16" i="329"/>
  <c r="H15" i="329"/>
  <c r="F15" i="329"/>
  <c r="D15" i="329"/>
  <c r="H14" i="329"/>
  <c r="F14" i="329"/>
  <c r="D14" i="329"/>
  <c r="H13" i="329"/>
  <c r="F13" i="329"/>
  <c r="D13" i="329"/>
  <c r="H12" i="329"/>
  <c r="F12" i="329"/>
  <c r="D12" i="329"/>
  <c r="H11" i="329"/>
  <c r="F11" i="329"/>
  <c r="D11" i="329"/>
  <c r="H10" i="329"/>
  <c r="F10" i="329"/>
  <c r="D10" i="329"/>
  <c r="D9" i="329"/>
  <c r="D8" i="329"/>
  <c r="F4" i="329"/>
  <c r="A3" i="329"/>
  <c r="D55" i="337"/>
  <c r="H49" i="337"/>
  <c r="D49" i="337"/>
  <c r="H48" i="337"/>
  <c r="D48" i="337"/>
  <c r="H47" i="337"/>
  <c r="D47" i="337"/>
  <c r="H46" i="337"/>
  <c r="D46" i="337"/>
  <c r="H40" i="337"/>
  <c r="F40" i="337"/>
  <c r="D40" i="337"/>
  <c r="H39" i="337"/>
  <c r="F39" i="337"/>
  <c r="D39" i="337"/>
  <c r="H37" i="337"/>
  <c r="F37" i="337"/>
  <c r="D37" i="337"/>
  <c r="H36" i="337"/>
  <c r="H35" i="337"/>
  <c r="I34" i="337"/>
  <c r="F36" i="337"/>
  <c r="D36" i="337"/>
  <c r="F35" i="337"/>
  <c r="D35" i="337"/>
  <c r="H29" i="337"/>
  <c r="F29" i="337"/>
  <c r="H28" i="337"/>
  <c r="F28" i="337"/>
  <c r="H27" i="337"/>
  <c r="F27" i="337"/>
  <c r="H26" i="337"/>
  <c r="F26" i="337"/>
  <c r="H25" i="337"/>
  <c r="F25" i="337"/>
  <c r="H24" i="337"/>
  <c r="F24" i="337"/>
  <c r="H18" i="337"/>
  <c r="F18" i="337"/>
  <c r="D18" i="337"/>
  <c r="H17" i="337"/>
  <c r="F17" i="337"/>
  <c r="D17" i="337"/>
  <c r="H16" i="337"/>
  <c r="F16" i="337"/>
  <c r="D16" i="337"/>
  <c r="H15" i="337"/>
  <c r="F15" i="337"/>
  <c r="D15" i="337"/>
  <c r="H14" i="337"/>
  <c r="F14" i="337"/>
  <c r="D14" i="337"/>
  <c r="H13" i="337"/>
  <c r="F13" i="337"/>
  <c r="D13" i="337"/>
  <c r="H12" i="337"/>
  <c r="F12" i="337"/>
  <c r="D12" i="337"/>
  <c r="H11" i="337"/>
  <c r="F11" i="337"/>
  <c r="D11" i="337"/>
  <c r="D10" i="337"/>
  <c r="D9" i="337"/>
  <c r="I38" i="337"/>
  <c r="D8" i="337"/>
  <c r="F4" i="337"/>
  <c r="A3" i="337"/>
  <c r="D55" i="334"/>
  <c r="H49" i="334"/>
  <c r="D49" i="334"/>
  <c r="H48" i="334"/>
  <c r="D48" i="334"/>
  <c r="H47" i="334"/>
  <c r="D47" i="334"/>
  <c r="H46" i="334"/>
  <c r="D46" i="334"/>
  <c r="H40" i="334"/>
  <c r="F40" i="334"/>
  <c r="D40" i="334"/>
  <c r="H39" i="334"/>
  <c r="F39" i="334"/>
  <c r="D39" i="334"/>
  <c r="H37" i="334"/>
  <c r="F37" i="334"/>
  <c r="D37" i="334"/>
  <c r="H36" i="334"/>
  <c r="F36" i="334"/>
  <c r="D36" i="334"/>
  <c r="H35" i="334"/>
  <c r="F35" i="334"/>
  <c r="D35" i="334"/>
  <c r="H29" i="334"/>
  <c r="F29" i="334"/>
  <c r="H28" i="334"/>
  <c r="F28" i="334"/>
  <c r="H27" i="334"/>
  <c r="F27" i="334"/>
  <c r="H26" i="334"/>
  <c r="F26" i="334"/>
  <c r="H25" i="334"/>
  <c r="F25" i="334"/>
  <c r="H24" i="334"/>
  <c r="F24" i="334"/>
  <c r="H18" i="334"/>
  <c r="F18" i="334"/>
  <c r="D18" i="334"/>
  <c r="H17" i="334"/>
  <c r="F17" i="334"/>
  <c r="D17" i="334"/>
  <c r="H16" i="334"/>
  <c r="F16" i="334"/>
  <c r="D16" i="334"/>
  <c r="H15" i="334"/>
  <c r="F15" i="334"/>
  <c r="D15" i="334"/>
  <c r="H14" i="334"/>
  <c r="F14" i="334"/>
  <c r="D14" i="334"/>
  <c r="H13" i="334"/>
  <c r="F13" i="334"/>
  <c r="D13" i="334"/>
  <c r="H12" i="334"/>
  <c r="F12" i="334"/>
  <c r="D12" i="334"/>
  <c r="H11" i="334"/>
  <c r="F11" i="334"/>
  <c r="D11" i="334"/>
  <c r="H10" i="334"/>
  <c r="I38" i="334"/>
  <c r="F10" i="334"/>
  <c r="D10" i="334"/>
  <c r="D9" i="334"/>
  <c r="D8" i="334"/>
  <c r="I6" i="334"/>
  <c r="C5" i="334"/>
  <c r="B5" i="334"/>
  <c r="F4" i="334"/>
  <c r="A3" i="334"/>
  <c r="AB712" i="720"/>
  <c r="AB712" i="721"/>
  <c r="D55" i="306"/>
  <c r="H49" i="306"/>
  <c r="D49" i="306"/>
  <c r="H48" i="306"/>
  <c r="D48" i="306"/>
  <c r="H47" i="306"/>
  <c r="D47" i="306"/>
  <c r="H46" i="306"/>
  <c r="D46" i="306"/>
  <c r="H40" i="306"/>
  <c r="H39" i="306"/>
  <c r="I38" i="306"/>
  <c r="F40" i="306"/>
  <c r="D40" i="306"/>
  <c r="F39" i="306"/>
  <c r="D39" i="306"/>
  <c r="H37" i="306"/>
  <c r="F37" i="306"/>
  <c r="D37" i="306"/>
  <c r="H36" i="306"/>
  <c r="F36" i="306"/>
  <c r="D36" i="306"/>
  <c r="H35" i="306"/>
  <c r="I34" i="306"/>
  <c r="I41" i="306"/>
  <c r="F35" i="306"/>
  <c r="D35" i="306"/>
  <c r="H29" i="306"/>
  <c r="F29" i="306"/>
  <c r="H28" i="306"/>
  <c r="F28" i="306"/>
  <c r="H27" i="306"/>
  <c r="F27" i="306"/>
  <c r="H26" i="306"/>
  <c r="F26" i="306"/>
  <c r="H25" i="306"/>
  <c r="F25" i="306"/>
  <c r="H24" i="306"/>
  <c r="F24" i="306"/>
  <c r="H18" i="306"/>
  <c r="F18" i="306"/>
  <c r="D18" i="306"/>
  <c r="H17" i="306"/>
  <c r="F17" i="306"/>
  <c r="D17" i="306"/>
  <c r="H16" i="306"/>
  <c r="F16" i="306"/>
  <c r="D16" i="306"/>
  <c r="H15" i="306"/>
  <c r="F15" i="306"/>
  <c r="D15" i="306"/>
  <c r="H14" i="306"/>
  <c r="F14" i="306"/>
  <c r="D14" i="306"/>
  <c r="H13" i="306"/>
  <c r="F13" i="306"/>
  <c r="D13" i="306"/>
  <c r="H12" i="306"/>
  <c r="F12" i="306"/>
  <c r="D12" i="306"/>
  <c r="H11" i="306"/>
  <c r="F11" i="306"/>
  <c r="D11" i="306"/>
  <c r="H10" i="306"/>
  <c r="F10" i="306"/>
  <c r="D10" i="306"/>
  <c r="D9" i="306"/>
  <c r="D8" i="306"/>
  <c r="F4" i="306"/>
  <c r="A3" i="306"/>
  <c r="D55" i="538"/>
  <c r="H49" i="538"/>
  <c r="D49" i="538"/>
  <c r="H48" i="538"/>
  <c r="D48" i="538"/>
  <c r="H47" i="538"/>
  <c r="D47" i="538"/>
  <c r="H46" i="538"/>
  <c r="D46" i="538"/>
  <c r="H40" i="538"/>
  <c r="F40" i="538"/>
  <c r="D40" i="538"/>
  <c r="H39" i="538"/>
  <c r="F39" i="538"/>
  <c r="D39" i="538"/>
  <c r="H37" i="538"/>
  <c r="F37" i="538"/>
  <c r="D37" i="538"/>
  <c r="H36" i="538"/>
  <c r="F36" i="538"/>
  <c r="D36" i="538"/>
  <c r="H35" i="538"/>
  <c r="I34" i="538"/>
  <c r="I38" i="538"/>
  <c r="I41" i="538"/>
  <c r="F35" i="538"/>
  <c r="D35" i="538"/>
  <c r="H29" i="538"/>
  <c r="F29" i="538"/>
  <c r="H28" i="538"/>
  <c r="F28" i="538"/>
  <c r="H27" i="538"/>
  <c r="F27" i="538"/>
  <c r="H26" i="538"/>
  <c r="F26" i="538"/>
  <c r="H25" i="538"/>
  <c r="F25" i="538"/>
  <c r="H24" i="538"/>
  <c r="F24" i="538"/>
  <c r="H18" i="538"/>
  <c r="F18" i="538"/>
  <c r="D18" i="538"/>
  <c r="H17" i="538"/>
  <c r="F17" i="538"/>
  <c r="D17" i="538"/>
  <c r="H16" i="538"/>
  <c r="F16" i="538"/>
  <c r="D16" i="538"/>
  <c r="H15" i="538"/>
  <c r="F15" i="538"/>
  <c r="D15" i="538"/>
  <c r="H14" i="538"/>
  <c r="F14" i="538"/>
  <c r="D14" i="538"/>
  <c r="H13" i="538"/>
  <c r="F13" i="538"/>
  <c r="D13" i="538"/>
  <c r="D12" i="538"/>
  <c r="D11" i="538"/>
  <c r="D10" i="538"/>
  <c r="D9" i="538"/>
  <c r="D8" i="538"/>
  <c r="I6" i="538"/>
  <c r="C5" i="538"/>
  <c r="B5" i="538"/>
  <c r="F4" i="538"/>
  <c r="A3" i="538"/>
  <c r="D55" i="509"/>
  <c r="H49" i="509"/>
  <c r="D49" i="509"/>
  <c r="H48" i="509"/>
  <c r="D48" i="509"/>
  <c r="H47" i="509"/>
  <c r="D47" i="509"/>
  <c r="H46" i="509"/>
  <c r="D46" i="509"/>
  <c r="H40" i="509"/>
  <c r="F40" i="509"/>
  <c r="D40" i="509"/>
  <c r="H39" i="509"/>
  <c r="F39" i="509"/>
  <c r="D39" i="509"/>
  <c r="H37" i="509"/>
  <c r="F37" i="509"/>
  <c r="D37" i="509"/>
  <c r="H36" i="509"/>
  <c r="F36" i="509"/>
  <c r="D36" i="509"/>
  <c r="H35" i="509"/>
  <c r="I34" i="509"/>
  <c r="I38" i="509"/>
  <c r="I41" i="509"/>
  <c r="AB704" i="721"/>
  <c r="F35" i="509"/>
  <c r="D35" i="509"/>
  <c r="H29" i="509"/>
  <c r="F29" i="509"/>
  <c r="H28" i="509"/>
  <c r="F28" i="509"/>
  <c r="H27" i="509"/>
  <c r="F27" i="509"/>
  <c r="H26" i="509"/>
  <c r="F26" i="509"/>
  <c r="H25" i="509"/>
  <c r="F25" i="509"/>
  <c r="H24" i="509"/>
  <c r="F24" i="509"/>
  <c r="H18" i="509"/>
  <c r="F18" i="509"/>
  <c r="D18" i="509"/>
  <c r="H17" i="509"/>
  <c r="F17" i="509"/>
  <c r="D17" i="509"/>
  <c r="H16" i="509"/>
  <c r="F16" i="509"/>
  <c r="D16" i="509"/>
  <c r="H15" i="509"/>
  <c r="F15" i="509"/>
  <c r="D15" i="509"/>
  <c r="H14" i="509"/>
  <c r="F14" i="509"/>
  <c r="D14" i="509"/>
  <c r="H13" i="509"/>
  <c r="F13" i="509"/>
  <c r="D13" i="509"/>
  <c r="H12" i="509"/>
  <c r="F12" i="509"/>
  <c r="D12" i="509"/>
  <c r="H11" i="509"/>
  <c r="F11" i="509"/>
  <c r="D11" i="509"/>
  <c r="D10" i="509"/>
  <c r="AB711" i="720"/>
  <c r="AB711" i="721"/>
  <c r="D9" i="509"/>
  <c r="D8" i="509"/>
  <c r="I6" i="509"/>
  <c r="C5" i="509"/>
  <c r="B5" i="509"/>
  <c r="F4" i="509"/>
  <c r="A3" i="509"/>
  <c r="D55" i="501"/>
  <c r="H49" i="501"/>
  <c r="D49" i="501"/>
  <c r="H48" i="501"/>
  <c r="D48" i="501"/>
  <c r="H47" i="501"/>
  <c r="D47" i="501"/>
  <c r="H46" i="501"/>
  <c r="D46" i="501"/>
  <c r="H40" i="501"/>
  <c r="F40" i="501"/>
  <c r="D40" i="501"/>
  <c r="H39" i="501"/>
  <c r="I38" i="501"/>
  <c r="F39" i="501"/>
  <c r="D39" i="501"/>
  <c r="H37" i="501"/>
  <c r="F37" i="501"/>
  <c r="D37" i="501"/>
  <c r="H36" i="501"/>
  <c r="F36" i="501"/>
  <c r="D36" i="501"/>
  <c r="H35" i="501"/>
  <c r="F35" i="501"/>
  <c r="D35" i="501"/>
  <c r="H29" i="501"/>
  <c r="F29" i="501"/>
  <c r="H28" i="501"/>
  <c r="F28" i="501"/>
  <c r="H27" i="501"/>
  <c r="F27" i="501"/>
  <c r="H26" i="501"/>
  <c r="F26" i="501"/>
  <c r="H25" i="501"/>
  <c r="F25" i="501"/>
  <c r="H24" i="501"/>
  <c r="F24" i="501"/>
  <c r="H18" i="501"/>
  <c r="F18" i="501"/>
  <c r="D18" i="501"/>
  <c r="H17" i="501"/>
  <c r="F17" i="501"/>
  <c r="D17" i="501"/>
  <c r="H16" i="501"/>
  <c r="F16" i="501"/>
  <c r="D16" i="501"/>
  <c r="H15" i="501"/>
  <c r="F15" i="501"/>
  <c r="D15" i="501"/>
  <c r="H14" i="501"/>
  <c r="F14" i="501"/>
  <c r="D14" i="501"/>
  <c r="H13" i="501"/>
  <c r="F13" i="501"/>
  <c r="D13" i="501"/>
  <c r="H12" i="501"/>
  <c r="F12" i="501"/>
  <c r="D12" i="501"/>
  <c r="H11" i="501"/>
  <c r="F11" i="501"/>
  <c r="D11" i="501"/>
  <c r="H10" i="501"/>
  <c r="F10" i="501"/>
  <c r="D10" i="501"/>
  <c r="D9" i="501"/>
  <c r="D8" i="501"/>
  <c r="I6" i="501"/>
  <c r="C5" i="501"/>
  <c r="B5" i="501"/>
  <c r="F4" i="501"/>
  <c r="A3" i="501"/>
  <c r="I34" i="501"/>
  <c r="AB701" i="721"/>
  <c r="AB701" i="720"/>
  <c r="AB698" i="720"/>
  <c r="AB698" i="721"/>
  <c r="D55" i="396"/>
  <c r="H49" i="396"/>
  <c r="D49" i="396"/>
  <c r="H48" i="396"/>
  <c r="D48" i="396"/>
  <c r="H47" i="396"/>
  <c r="D47" i="396"/>
  <c r="H46" i="396"/>
  <c r="D46" i="396"/>
  <c r="H40" i="396"/>
  <c r="F40" i="396"/>
  <c r="D40" i="396"/>
  <c r="H39" i="396"/>
  <c r="I38" i="396"/>
  <c r="F39" i="396"/>
  <c r="D39" i="396"/>
  <c r="H37" i="396"/>
  <c r="F37" i="396"/>
  <c r="D37" i="396"/>
  <c r="H36" i="396"/>
  <c r="F36" i="396"/>
  <c r="D36" i="396"/>
  <c r="H35" i="396"/>
  <c r="I34" i="396"/>
  <c r="I41" i="396"/>
  <c r="F35" i="396"/>
  <c r="D35" i="396"/>
  <c r="H29" i="396"/>
  <c r="F29" i="396"/>
  <c r="H18" i="396"/>
  <c r="F18" i="396"/>
  <c r="D18" i="396"/>
  <c r="H17" i="396"/>
  <c r="F17" i="396"/>
  <c r="D17" i="396"/>
  <c r="H16" i="396"/>
  <c r="F16" i="396"/>
  <c r="D16" i="396"/>
  <c r="H15" i="396"/>
  <c r="F15" i="396"/>
  <c r="D15" i="396"/>
  <c r="D14" i="396"/>
  <c r="D13" i="396"/>
  <c r="D12" i="396"/>
  <c r="D11" i="396"/>
  <c r="H10" i="396"/>
  <c r="D10" i="396"/>
  <c r="H9" i="396"/>
  <c r="D9" i="396"/>
  <c r="F8" i="396"/>
  <c r="D8" i="396"/>
  <c r="C5" i="396"/>
  <c r="F4" i="396"/>
  <c r="A3" i="396"/>
  <c r="D55" i="436"/>
  <c r="H49" i="436"/>
  <c r="D49" i="436"/>
  <c r="H48" i="436"/>
  <c r="D48" i="436"/>
  <c r="H47" i="436"/>
  <c r="D47" i="436"/>
  <c r="H46" i="436"/>
  <c r="D46" i="436"/>
  <c r="H40" i="436"/>
  <c r="F40" i="436"/>
  <c r="D40" i="436"/>
  <c r="H39" i="436"/>
  <c r="F39" i="436"/>
  <c r="D39" i="436"/>
  <c r="H37" i="436"/>
  <c r="H35" i="436"/>
  <c r="H36" i="436"/>
  <c r="I34" i="436"/>
  <c r="I38" i="436"/>
  <c r="I41" i="436"/>
  <c r="F37" i="436"/>
  <c r="D37" i="436"/>
  <c r="F36" i="436"/>
  <c r="D36" i="436"/>
  <c r="F35" i="436"/>
  <c r="D35" i="436"/>
  <c r="H29" i="436"/>
  <c r="F29" i="436"/>
  <c r="H28" i="436"/>
  <c r="F28" i="436"/>
  <c r="H18" i="436"/>
  <c r="F18" i="436"/>
  <c r="D18" i="436"/>
  <c r="D17" i="436"/>
  <c r="D16" i="436"/>
  <c r="AB649" i="720"/>
  <c r="AC649" i="720"/>
  <c r="AC648" i="720"/>
  <c r="AB649" i="721"/>
  <c r="D15" i="436"/>
  <c r="D14" i="436"/>
  <c r="D13" i="436"/>
  <c r="E12" i="436"/>
  <c r="D12" i="436"/>
  <c r="D11" i="436"/>
  <c r="D10" i="436"/>
  <c r="D9" i="436"/>
  <c r="E8" i="436"/>
  <c r="D8" i="436"/>
  <c r="C5" i="436"/>
  <c r="B5" i="436"/>
  <c r="F4" i="436"/>
  <c r="A3" i="436"/>
  <c r="D59" i="358"/>
  <c r="H53" i="358"/>
  <c r="D53" i="358"/>
  <c r="H52" i="358"/>
  <c r="D52" i="358"/>
  <c r="H51" i="358"/>
  <c r="D51" i="358"/>
  <c r="H50" i="358"/>
  <c r="D50" i="358"/>
  <c r="H44" i="358"/>
  <c r="F44" i="358"/>
  <c r="D44" i="358"/>
  <c r="H43" i="358"/>
  <c r="F43" i="358"/>
  <c r="D43" i="358"/>
  <c r="H41" i="358"/>
  <c r="H39" i="358"/>
  <c r="H40" i="358"/>
  <c r="I38" i="358"/>
  <c r="I42" i="358"/>
  <c r="I45" i="358"/>
  <c r="F41" i="358"/>
  <c r="D41" i="358"/>
  <c r="F40" i="358"/>
  <c r="D40" i="358"/>
  <c r="F39" i="358"/>
  <c r="D39" i="358"/>
  <c r="H33" i="358"/>
  <c r="H32" i="358"/>
  <c r="H31" i="358"/>
  <c r="H22" i="358"/>
  <c r="H21" i="358"/>
  <c r="H20" i="358"/>
  <c r="H19" i="358"/>
  <c r="H18" i="358"/>
  <c r="H17" i="358"/>
  <c r="H16" i="358"/>
  <c r="H15" i="358"/>
  <c r="H14" i="358"/>
  <c r="D13" i="358"/>
  <c r="D12" i="358"/>
  <c r="D11" i="358"/>
  <c r="D10" i="358"/>
  <c r="D9" i="358"/>
  <c r="H8" i="358"/>
  <c r="F8" i="358"/>
  <c r="D8" i="358"/>
  <c r="F4" i="358"/>
  <c r="A3" i="358"/>
  <c r="D55" i="392"/>
  <c r="H49" i="392"/>
  <c r="D49" i="392"/>
  <c r="H48" i="392"/>
  <c r="D48" i="392"/>
  <c r="H47" i="392"/>
  <c r="D47" i="392"/>
  <c r="H46" i="392"/>
  <c r="D46" i="392"/>
  <c r="H40" i="392"/>
  <c r="F40" i="392"/>
  <c r="D40" i="392"/>
  <c r="H39" i="392"/>
  <c r="F39" i="392"/>
  <c r="D39" i="392"/>
  <c r="H37" i="392"/>
  <c r="F37" i="392"/>
  <c r="D37" i="392"/>
  <c r="H36" i="392"/>
  <c r="F36" i="392"/>
  <c r="D36" i="392"/>
  <c r="H35" i="392"/>
  <c r="I34" i="392"/>
  <c r="F35" i="392"/>
  <c r="D35" i="392"/>
  <c r="H29" i="392"/>
  <c r="F29" i="392"/>
  <c r="H28" i="392"/>
  <c r="F28" i="392"/>
  <c r="H18" i="392"/>
  <c r="F18" i="392"/>
  <c r="D18" i="392"/>
  <c r="H17" i="392"/>
  <c r="F17" i="392"/>
  <c r="D17" i="392"/>
  <c r="H16" i="392"/>
  <c r="F16" i="392"/>
  <c r="D16" i="392"/>
  <c r="D15" i="392"/>
  <c r="D14" i="392"/>
  <c r="D13" i="392"/>
  <c r="F12" i="392"/>
  <c r="D12" i="392"/>
  <c r="D11" i="392"/>
  <c r="D10" i="392"/>
  <c r="D9" i="392"/>
  <c r="D8" i="392"/>
  <c r="C5" i="392"/>
  <c r="F4" i="392"/>
  <c r="A3" i="392"/>
  <c r="D55" i="391"/>
  <c r="H49" i="391"/>
  <c r="D49" i="391"/>
  <c r="H48" i="391"/>
  <c r="D48" i="391"/>
  <c r="H47" i="391"/>
  <c r="D47" i="391"/>
  <c r="H46" i="391"/>
  <c r="D46" i="391"/>
  <c r="H40" i="391"/>
  <c r="F40" i="391"/>
  <c r="D40" i="391"/>
  <c r="H39" i="391"/>
  <c r="I38" i="391"/>
  <c r="F39" i="391"/>
  <c r="D39" i="391"/>
  <c r="H37" i="391"/>
  <c r="F37" i="391"/>
  <c r="D37" i="391"/>
  <c r="H36" i="391"/>
  <c r="F36" i="391"/>
  <c r="D36" i="391"/>
  <c r="H35" i="391"/>
  <c r="I34" i="391"/>
  <c r="F35" i="391"/>
  <c r="D35" i="391"/>
  <c r="H29" i="391"/>
  <c r="F29" i="391"/>
  <c r="H28" i="391"/>
  <c r="F28" i="391"/>
  <c r="H18" i="391"/>
  <c r="F18" i="391"/>
  <c r="D18" i="391"/>
  <c r="H17" i="391"/>
  <c r="F17" i="391"/>
  <c r="D17" i="391"/>
  <c r="H16" i="391"/>
  <c r="F16" i="391"/>
  <c r="D16" i="391"/>
  <c r="D15" i="391"/>
  <c r="D14" i="391"/>
  <c r="D13" i="391"/>
  <c r="D12" i="391"/>
  <c r="D11" i="391"/>
  <c r="D10" i="391"/>
  <c r="D9" i="391"/>
  <c r="D8" i="391"/>
  <c r="C5" i="391"/>
  <c r="F4" i="391"/>
  <c r="A3" i="391"/>
  <c r="D55" i="281"/>
  <c r="H49" i="281"/>
  <c r="D49" i="281"/>
  <c r="H48" i="281"/>
  <c r="D48" i="281"/>
  <c r="H47" i="281"/>
  <c r="D47" i="281"/>
  <c r="H46" i="281"/>
  <c r="D46" i="281"/>
  <c r="H40" i="281"/>
  <c r="F40" i="281"/>
  <c r="D40" i="281"/>
  <c r="H39" i="281"/>
  <c r="I38" i="281"/>
  <c r="H35" i="281"/>
  <c r="H36" i="281"/>
  <c r="H37" i="281"/>
  <c r="I34" i="281"/>
  <c r="I41" i="281"/>
  <c r="F39" i="281"/>
  <c r="D39" i="281"/>
  <c r="F37" i="281"/>
  <c r="D37" i="281"/>
  <c r="F36" i="281"/>
  <c r="D36" i="281"/>
  <c r="F35" i="281"/>
  <c r="D35" i="281"/>
  <c r="H29" i="281"/>
  <c r="F29" i="281"/>
  <c r="H18" i="281"/>
  <c r="F18" i="281"/>
  <c r="D18" i="281"/>
  <c r="H17" i="281"/>
  <c r="F17" i="281"/>
  <c r="D17" i="281"/>
  <c r="H16" i="281"/>
  <c r="F16" i="281"/>
  <c r="D16" i="281"/>
  <c r="H15" i="281"/>
  <c r="F15" i="281"/>
  <c r="D15" i="281"/>
  <c r="H14" i="281"/>
  <c r="F14" i="281"/>
  <c r="D14" i="281"/>
  <c r="H13" i="281"/>
  <c r="F13" i="281"/>
  <c r="D13" i="281"/>
  <c r="H12" i="281"/>
  <c r="F12" i="281"/>
  <c r="D12" i="281"/>
  <c r="D11" i="281"/>
  <c r="D10" i="281"/>
  <c r="D9" i="281"/>
  <c r="D8" i="281"/>
  <c r="F4" i="281"/>
  <c r="A3" i="281"/>
  <c r="D55" i="333"/>
  <c r="H49" i="333"/>
  <c r="D49" i="333"/>
  <c r="H48" i="333"/>
  <c r="D48" i="333"/>
  <c r="H47" i="333"/>
  <c r="D47" i="333"/>
  <c r="H46" i="333"/>
  <c r="D46" i="333"/>
  <c r="H40" i="333"/>
  <c r="F40" i="333"/>
  <c r="D40" i="333"/>
  <c r="H39" i="333"/>
  <c r="I38" i="333"/>
  <c r="F39" i="333"/>
  <c r="D39" i="333"/>
  <c r="H37" i="333"/>
  <c r="H35" i="333"/>
  <c r="H36" i="333"/>
  <c r="I34" i="333"/>
  <c r="I41" i="333"/>
  <c r="F37" i="333"/>
  <c r="D37" i="333"/>
  <c r="F36" i="333"/>
  <c r="D36" i="333"/>
  <c r="F35" i="333"/>
  <c r="D35" i="333"/>
  <c r="H29" i="333"/>
  <c r="F29" i="333"/>
  <c r="H18" i="333"/>
  <c r="F18" i="333"/>
  <c r="D18" i="333"/>
  <c r="H17" i="333"/>
  <c r="F17" i="333"/>
  <c r="D17" i="333"/>
  <c r="D16" i="333"/>
  <c r="D15" i="333"/>
  <c r="D14" i="333"/>
  <c r="D13" i="333"/>
  <c r="D12" i="333"/>
  <c r="D11" i="333"/>
  <c r="D10" i="333"/>
  <c r="D9" i="333"/>
  <c r="D8" i="333"/>
  <c r="F4" i="333"/>
  <c r="A3" i="333"/>
  <c r="I38" i="392"/>
  <c r="D55" i="497"/>
  <c r="H49" i="497"/>
  <c r="D49" i="497"/>
  <c r="H48" i="497"/>
  <c r="D48" i="497"/>
  <c r="H47" i="497"/>
  <c r="D47" i="497"/>
  <c r="H46" i="497"/>
  <c r="D46" i="497"/>
  <c r="H40" i="497"/>
  <c r="H39" i="497"/>
  <c r="I38" i="497"/>
  <c r="F40" i="497"/>
  <c r="D40" i="497"/>
  <c r="F39" i="497"/>
  <c r="D39" i="497"/>
  <c r="H37" i="497"/>
  <c r="F37" i="497"/>
  <c r="D37" i="497"/>
  <c r="H36" i="497"/>
  <c r="F36" i="497"/>
  <c r="D36" i="497"/>
  <c r="H35" i="497"/>
  <c r="I34" i="497"/>
  <c r="F35" i="497"/>
  <c r="D35" i="497"/>
  <c r="H29" i="497"/>
  <c r="F29" i="497"/>
  <c r="H28" i="497"/>
  <c r="F28" i="497"/>
  <c r="H18" i="497"/>
  <c r="F18" i="497"/>
  <c r="D18" i="497"/>
  <c r="H17" i="497"/>
  <c r="F17" i="497"/>
  <c r="D17" i="497"/>
  <c r="H16" i="497"/>
  <c r="F16" i="497"/>
  <c r="D16" i="497"/>
  <c r="D15" i="497"/>
  <c r="D14" i="497"/>
  <c r="I41" i="497"/>
  <c r="D13" i="497"/>
  <c r="D12" i="497"/>
  <c r="D11" i="497"/>
  <c r="D10" i="497"/>
  <c r="D9" i="497"/>
  <c r="D8" i="497"/>
  <c r="I6" i="497"/>
  <c r="C5" i="497"/>
  <c r="B5" i="497"/>
  <c r="F4" i="497"/>
  <c r="A3" i="497"/>
  <c r="D55" i="280"/>
  <c r="H49" i="280"/>
  <c r="D49" i="280"/>
  <c r="H48" i="280"/>
  <c r="D48" i="280"/>
  <c r="H47" i="280"/>
  <c r="D47" i="280"/>
  <c r="H46" i="280"/>
  <c r="D46" i="280"/>
  <c r="H40" i="280"/>
  <c r="F40" i="280"/>
  <c r="D40" i="280"/>
  <c r="H39" i="280"/>
  <c r="I38" i="280"/>
  <c r="F39" i="280"/>
  <c r="D39" i="280"/>
  <c r="H37" i="280"/>
  <c r="F37" i="280"/>
  <c r="D37" i="280"/>
  <c r="H36" i="280"/>
  <c r="F36" i="280"/>
  <c r="D36" i="280"/>
  <c r="H35" i="280"/>
  <c r="I34" i="280"/>
  <c r="F35" i="280"/>
  <c r="D35" i="280"/>
  <c r="H29" i="280"/>
  <c r="F29" i="280"/>
  <c r="H28" i="280"/>
  <c r="F28" i="280"/>
  <c r="H27" i="280"/>
  <c r="F27" i="280"/>
  <c r="H26" i="280"/>
  <c r="F26" i="280"/>
  <c r="H18" i="280"/>
  <c r="F18" i="280"/>
  <c r="D18" i="280"/>
  <c r="H17" i="280"/>
  <c r="F17" i="280"/>
  <c r="D17" i="280"/>
  <c r="H16" i="280"/>
  <c r="F16" i="280"/>
  <c r="D16" i="280"/>
  <c r="H15" i="280"/>
  <c r="F15" i="280"/>
  <c r="D15" i="280"/>
  <c r="D14" i="280"/>
  <c r="D13" i="280"/>
  <c r="E12" i="280"/>
  <c r="D12" i="280"/>
  <c r="D11" i="280"/>
  <c r="D10" i="280"/>
  <c r="D9" i="280"/>
  <c r="E8" i="280"/>
  <c r="D8" i="280"/>
  <c r="I6" i="280"/>
  <c r="C5" i="280"/>
  <c r="B5" i="280"/>
  <c r="F4" i="280"/>
  <c r="A3" i="280"/>
  <c r="D55" i="387"/>
  <c r="H49" i="387"/>
  <c r="D49" i="387"/>
  <c r="H48" i="387"/>
  <c r="D48" i="387"/>
  <c r="H47" i="387"/>
  <c r="D47" i="387"/>
  <c r="H46" i="387"/>
  <c r="D46" i="387"/>
  <c r="H40" i="387"/>
  <c r="F40" i="387"/>
  <c r="D40" i="387"/>
  <c r="H39" i="387"/>
  <c r="F39" i="387"/>
  <c r="D39" i="387"/>
  <c r="H37" i="387"/>
  <c r="F37" i="387"/>
  <c r="H36" i="387"/>
  <c r="F36" i="387"/>
  <c r="D36" i="387"/>
  <c r="H35" i="387"/>
  <c r="I34" i="387"/>
  <c r="F35" i="387"/>
  <c r="D35" i="387"/>
  <c r="H29" i="387"/>
  <c r="F29" i="387"/>
  <c r="H28" i="387"/>
  <c r="F28" i="387"/>
  <c r="H27" i="387"/>
  <c r="F27" i="387"/>
  <c r="H18" i="387"/>
  <c r="F18" i="387"/>
  <c r="D18" i="387"/>
  <c r="H17" i="387"/>
  <c r="F17" i="387"/>
  <c r="D17" i="387"/>
  <c r="H16" i="387"/>
  <c r="F16" i="387"/>
  <c r="D16" i="387"/>
  <c r="H15" i="387"/>
  <c r="F15" i="387"/>
  <c r="D15" i="387"/>
  <c r="H14" i="387"/>
  <c r="F14" i="387"/>
  <c r="D14" i="387"/>
  <c r="D13" i="387"/>
  <c r="D12" i="387"/>
  <c r="D11" i="387"/>
  <c r="D10" i="387"/>
  <c r="D9" i="387"/>
  <c r="D8" i="387"/>
  <c r="I6" i="387"/>
  <c r="C5" i="387"/>
  <c r="B5" i="387"/>
  <c r="F4" i="387"/>
  <c r="A3" i="387"/>
  <c r="D55" i="304"/>
  <c r="H49" i="304"/>
  <c r="D49" i="304"/>
  <c r="H48" i="304"/>
  <c r="D48" i="304"/>
  <c r="H47" i="304"/>
  <c r="D47" i="304"/>
  <c r="H46" i="304"/>
  <c r="D46" i="304"/>
  <c r="H40" i="304"/>
  <c r="H39" i="304"/>
  <c r="I38" i="304"/>
  <c r="F40" i="304"/>
  <c r="D40" i="304"/>
  <c r="F39" i="304"/>
  <c r="D39" i="304"/>
  <c r="H37" i="304"/>
  <c r="F37" i="304"/>
  <c r="H36" i="304"/>
  <c r="H35" i="304"/>
  <c r="I34" i="304"/>
  <c r="I41" i="304"/>
  <c r="F36" i="304"/>
  <c r="D36" i="304"/>
  <c r="F35" i="304"/>
  <c r="D35" i="304"/>
  <c r="H29" i="304"/>
  <c r="F29" i="304"/>
  <c r="H28" i="304"/>
  <c r="F28" i="304"/>
  <c r="H27" i="304"/>
  <c r="F27" i="304"/>
  <c r="H18" i="304"/>
  <c r="F18" i="304"/>
  <c r="D18" i="304"/>
  <c r="H17" i="304"/>
  <c r="F17" i="304"/>
  <c r="D17" i="304"/>
  <c r="D16" i="304"/>
  <c r="D15" i="304"/>
  <c r="D14" i="304"/>
  <c r="D13" i="304"/>
  <c r="D12" i="304"/>
  <c r="D11" i="304"/>
  <c r="D10" i="304"/>
  <c r="D9" i="304"/>
  <c r="D8" i="304"/>
  <c r="I6" i="304"/>
  <c r="C5" i="304"/>
  <c r="F4" i="304"/>
  <c r="A3" i="304"/>
  <c r="D55" i="279"/>
  <c r="H49" i="279"/>
  <c r="D49" i="279"/>
  <c r="H48" i="279"/>
  <c r="D48" i="279"/>
  <c r="H47" i="279"/>
  <c r="D47" i="279"/>
  <c r="H46" i="279"/>
  <c r="D46" i="279"/>
  <c r="H40" i="279"/>
  <c r="H39" i="279"/>
  <c r="I38" i="279"/>
  <c r="F40" i="279"/>
  <c r="D40" i="279"/>
  <c r="F39" i="279"/>
  <c r="D39" i="279"/>
  <c r="H37" i="279"/>
  <c r="F37" i="279"/>
  <c r="D37" i="279"/>
  <c r="H36" i="279"/>
  <c r="F36" i="279"/>
  <c r="D36" i="279"/>
  <c r="H35" i="279"/>
  <c r="I34" i="279"/>
  <c r="I41" i="279"/>
  <c r="F35" i="279"/>
  <c r="D35" i="279"/>
  <c r="H29" i="279"/>
  <c r="F29" i="279"/>
  <c r="H28" i="279"/>
  <c r="F28" i="279"/>
  <c r="H27" i="279"/>
  <c r="F27" i="279"/>
  <c r="H26" i="279"/>
  <c r="F26" i="279"/>
  <c r="H18" i="279"/>
  <c r="F18" i="279"/>
  <c r="D18" i="279"/>
  <c r="H17" i="279"/>
  <c r="F17" i="279"/>
  <c r="D17" i="279"/>
  <c r="H16" i="279"/>
  <c r="F16" i="279"/>
  <c r="D16" i="279"/>
  <c r="H15" i="279"/>
  <c r="F15" i="279"/>
  <c r="D15" i="279"/>
  <c r="H14" i="279"/>
  <c r="F14" i="279"/>
  <c r="D14" i="279"/>
  <c r="H13" i="279"/>
  <c r="F13" i="279"/>
  <c r="D13" i="279"/>
  <c r="D12" i="279"/>
  <c r="D11" i="279"/>
  <c r="D10" i="279"/>
  <c r="D9" i="279"/>
  <c r="D8" i="279"/>
  <c r="F4" i="279"/>
  <c r="A3" i="279"/>
  <c r="D56" i="640"/>
  <c r="H50" i="640"/>
  <c r="D50" i="640"/>
  <c r="H49" i="640"/>
  <c r="D49" i="640"/>
  <c r="H48" i="640"/>
  <c r="D48" i="640"/>
  <c r="H47" i="640"/>
  <c r="D47" i="640"/>
  <c r="H41" i="640"/>
  <c r="F41" i="640"/>
  <c r="D41" i="640"/>
  <c r="H40" i="640"/>
  <c r="I39" i="640"/>
  <c r="F40" i="640"/>
  <c r="D40" i="640"/>
  <c r="H38" i="640"/>
  <c r="F38" i="640"/>
  <c r="D38" i="640"/>
  <c r="H37" i="640"/>
  <c r="F37" i="640"/>
  <c r="D37" i="640"/>
  <c r="H36" i="640"/>
  <c r="F36" i="640"/>
  <c r="D36" i="640"/>
  <c r="H30" i="640"/>
  <c r="F30" i="640"/>
  <c r="H29" i="640"/>
  <c r="F29" i="640"/>
  <c r="H28" i="640"/>
  <c r="F28" i="640"/>
  <c r="H27" i="640"/>
  <c r="F27" i="640"/>
  <c r="H26" i="640"/>
  <c r="F26" i="640"/>
  <c r="H19" i="640"/>
  <c r="H18" i="640"/>
  <c r="H17" i="640"/>
  <c r="H16" i="640"/>
  <c r="D15" i="640"/>
  <c r="D14" i="640"/>
  <c r="D13" i="640"/>
  <c r="D12" i="640"/>
  <c r="D11" i="640"/>
  <c r="D9" i="640"/>
  <c r="D8" i="640"/>
  <c r="I6" i="640"/>
  <c r="C5" i="640"/>
  <c r="B5" i="640"/>
  <c r="F4" i="640"/>
  <c r="A3" i="640"/>
  <c r="D55" i="512"/>
  <c r="H49" i="512"/>
  <c r="D49" i="512"/>
  <c r="H48" i="512"/>
  <c r="D48" i="512"/>
  <c r="H47" i="512"/>
  <c r="D47" i="512"/>
  <c r="H46" i="512"/>
  <c r="D46" i="512"/>
  <c r="H40" i="512"/>
  <c r="F40" i="512"/>
  <c r="D40" i="512"/>
  <c r="H39" i="512"/>
  <c r="I38" i="512"/>
  <c r="F39" i="512"/>
  <c r="D39" i="512"/>
  <c r="H37" i="512"/>
  <c r="F37" i="512"/>
  <c r="D37" i="512"/>
  <c r="H36" i="512"/>
  <c r="H35" i="512"/>
  <c r="I34" i="512"/>
  <c r="F36" i="512"/>
  <c r="D36" i="512"/>
  <c r="F35" i="512"/>
  <c r="D35" i="512"/>
  <c r="H29" i="512"/>
  <c r="F29" i="512"/>
  <c r="H28" i="512"/>
  <c r="F28" i="512"/>
  <c r="H27" i="512"/>
  <c r="F27" i="512"/>
  <c r="H26" i="512"/>
  <c r="F26" i="512"/>
  <c r="H25" i="512"/>
  <c r="F25" i="512"/>
  <c r="H18" i="512"/>
  <c r="F18" i="512"/>
  <c r="D18" i="512"/>
  <c r="H17" i="512"/>
  <c r="F17" i="512"/>
  <c r="D17" i="512"/>
  <c r="H16" i="512"/>
  <c r="F16" i="512"/>
  <c r="D16" i="512"/>
  <c r="H15" i="512"/>
  <c r="F15" i="512"/>
  <c r="D15" i="512"/>
  <c r="H14" i="512"/>
  <c r="F14" i="512"/>
  <c r="D14" i="512"/>
  <c r="H13" i="512"/>
  <c r="F13" i="512"/>
  <c r="D13" i="512"/>
  <c r="H12" i="512"/>
  <c r="F12" i="512"/>
  <c r="D12" i="512"/>
  <c r="H11" i="512"/>
  <c r="F11" i="512"/>
  <c r="D11" i="512"/>
  <c r="D10" i="512"/>
  <c r="I38" i="387"/>
  <c r="I35" i="640"/>
  <c r="D9" i="512"/>
  <c r="D8" i="512"/>
  <c r="I6" i="512"/>
  <c r="C5" i="512"/>
  <c r="B5" i="512"/>
  <c r="F4" i="512"/>
  <c r="A3" i="512"/>
  <c r="D55" i="450"/>
  <c r="H49" i="450"/>
  <c r="D49" i="450"/>
  <c r="H48" i="450"/>
  <c r="D48" i="450"/>
  <c r="H47" i="450"/>
  <c r="D47" i="450"/>
  <c r="H46" i="450"/>
  <c r="D46" i="450"/>
  <c r="H40" i="450"/>
  <c r="F40" i="450"/>
  <c r="D40" i="450"/>
  <c r="H39" i="450"/>
  <c r="F39" i="450"/>
  <c r="D39" i="450"/>
  <c r="H37" i="450"/>
  <c r="F37" i="450"/>
  <c r="D37" i="450"/>
  <c r="H36" i="450"/>
  <c r="H35" i="450"/>
  <c r="I34" i="450"/>
  <c r="F36" i="450"/>
  <c r="D36" i="450"/>
  <c r="F35" i="450"/>
  <c r="D35" i="450"/>
  <c r="H29" i="450"/>
  <c r="F29" i="450"/>
  <c r="H28" i="450"/>
  <c r="F28" i="450"/>
  <c r="H27" i="450"/>
  <c r="F27" i="450"/>
  <c r="H26" i="450"/>
  <c r="F26" i="450"/>
  <c r="H25" i="450"/>
  <c r="F25" i="450"/>
  <c r="H18" i="450"/>
  <c r="F18" i="450"/>
  <c r="D18" i="450"/>
  <c r="H17" i="450"/>
  <c r="F17" i="450"/>
  <c r="D17" i="450"/>
  <c r="H16" i="450"/>
  <c r="F16" i="450"/>
  <c r="D16" i="450"/>
  <c r="H15" i="450"/>
  <c r="F15" i="450"/>
  <c r="D15" i="450"/>
  <c r="H14" i="450"/>
  <c r="F14" i="450"/>
  <c r="D14" i="450"/>
  <c r="H13" i="450"/>
  <c r="F13" i="450"/>
  <c r="D13" i="450"/>
  <c r="D12" i="450"/>
  <c r="D11" i="450"/>
  <c r="D10" i="450"/>
  <c r="D9" i="450"/>
  <c r="D8" i="450"/>
  <c r="I6" i="450"/>
  <c r="C5" i="450"/>
  <c r="B5" i="450"/>
  <c r="F4" i="450"/>
  <c r="A3" i="450"/>
  <c r="D55" i="448"/>
  <c r="H49" i="448"/>
  <c r="D49" i="448"/>
  <c r="H48" i="448"/>
  <c r="D48" i="448"/>
  <c r="H47" i="448"/>
  <c r="D47" i="448"/>
  <c r="H46" i="448"/>
  <c r="D46" i="448"/>
  <c r="H40" i="448"/>
  <c r="F40" i="448"/>
  <c r="D40" i="448"/>
  <c r="H39" i="448"/>
  <c r="I38" i="448"/>
  <c r="F39" i="448"/>
  <c r="D39" i="448"/>
  <c r="H37" i="448"/>
  <c r="F37" i="448"/>
  <c r="D37" i="448"/>
  <c r="H36" i="448"/>
  <c r="F36" i="448"/>
  <c r="D36" i="448"/>
  <c r="H35" i="448"/>
  <c r="F35" i="448"/>
  <c r="D35" i="448"/>
  <c r="H29" i="448"/>
  <c r="F29" i="448"/>
  <c r="H28" i="448"/>
  <c r="F28" i="448"/>
  <c r="H27" i="448"/>
  <c r="F27" i="448"/>
  <c r="H26" i="448"/>
  <c r="F26" i="448"/>
  <c r="H18" i="448"/>
  <c r="F18" i="448"/>
  <c r="D18" i="448"/>
  <c r="H17" i="448"/>
  <c r="F17" i="448"/>
  <c r="D17" i="448"/>
  <c r="H16" i="448"/>
  <c r="F16" i="448"/>
  <c r="D16" i="448"/>
  <c r="H15" i="448"/>
  <c r="F15" i="448"/>
  <c r="D15" i="448"/>
  <c r="H14" i="448"/>
  <c r="F14" i="448"/>
  <c r="D14" i="448"/>
  <c r="D13" i="448"/>
  <c r="D12" i="448"/>
  <c r="AB589" i="720"/>
  <c r="AB589" i="721"/>
  <c r="I38" i="450"/>
  <c r="I34" i="448"/>
  <c r="D11" i="448"/>
  <c r="D10" i="448"/>
  <c r="D9" i="448"/>
  <c r="D8" i="448"/>
  <c r="I6" i="448"/>
  <c r="C5" i="448"/>
  <c r="B5" i="448"/>
  <c r="F4" i="448"/>
  <c r="A3" i="448"/>
  <c r="I41" i="448"/>
  <c r="AB586" i="721"/>
  <c r="AB587" i="721"/>
  <c r="AB584" i="721"/>
  <c r="AB584" i="720"/>
  <c r="AB586" i="720"/>
  <c r="AB587" i="720"/>
  <c r="D55" i="278"/>
  <c r="H49" i="278"/>
  <c r="D49" i="278"/>
  <c r="H48" i="278"/>
  <c r="D48" i="278"/>
  <c r="H47" i="278"/>
  <c r="D47" i="278"/>
  <c r="H46" i="278"/>
  <c r="D46" i="278"/>
  <c r="H40" i="278"/>
  <c r="F40" i="278"/>
  <c r="D40" i="278"/>
  <c r="H39" i="278"/>
  <c r="I38" i="278"/>
  <c r="F39" i="278"/>
  <c r="D39" i="278"/>
  <c r="H37" i="278"/>
  <c r="F37" i="278"/>
  <c r="D37" i="278"/>
  <c r="H36" i="278"/>
  <c r="F36" i="278"/>
  <c r="D36" i="278"/>
  <c r="H35" i="278"/>
  <c r="I34" i="278"/>
  <c r="F35" i="278"/>
  <c r="D35" i="278"/>
  <c r="H29" i="278"/>
  <c r="F29" i="278"/>
  <c r="H28" i="278"/>
  <c r="F28" i="278"/>
  <c r="H27" i="278"/>
  <c r="F27" i="278"/>
  <c r="H26" i="278"/>
  <c r="F26" i="278"/>
  <c r="H25" i="278"/>
  <c r="F25" i="278"/>
  <c r="H24" i="278"/>
  <c r="F24" i="278"/>
  <c r="H18" i="278"/>
  <c r="F18" i="278"/>
  <c r="D18" i="278"/>
  <c r="H17" i="278"/>
  <c r="F17" i="278"/>
  <c r="D17" i="278"/>
  <c r="D16" i="278"/>
  <c r="AB582" i="721"/>
  <c r="AB582" i="720"/>
  <c r="D15" i="278"/>
  <c r="D14" i="278"/>
  <c r="D13" i="278"/>
  <c r="D12" i="278"/>
  <c r="D11" i="278"/>
  <c r="I41" i="278"/>
  <c r="D10" i="278"/>
  <c r="D9" i="278"/>
  <c r="D8" i="278"/>
  <c r="F4" i="278"/>
  <c r="A3" i="278"/>
  <c r="D55" i="496"/>
  <c r="H49" i="496"/>
  <c r="D49" i="496"/>
  <c r="H48" i="496"/>
  <c r="D48" i="496"/>
  <c r="H47" i="496"/>
  <c r="D47" i="496"/>
  <c r="H46" i="496"/>
  <c r="D46" i="496"/>
  <c r="H40" i="496"/>
  <c r="F40" i="496"/>
  <c r="D40" i="496"/>
  <c r="H39" i="496"/>
  <c r="F39" i="496"/>
  <c r="D39" i="496"/>
  <c r="H37" i="496"/>
  <c r="F37" i="496"/>
  <c r="D37" i="496"/>
  <c r="H36" i="496"/>
  <c r="H35" i="496"/>
  <c r="I34" i="496"/>
  <c r="F36" i="496"/>
  <c r="D36" i="496"/>
  <c r="F35" i="496"/>
  <c r="D35" i="496"/>
  <c r="H29" i="496"/>
  <c r="F29" i="496"/>
  <c r="H28" i="496"/>
  <c r="F28" i="496"/>
  <c r="H27" i="496"/>
  <c r="F27" i="496"/>
  <c r="H26" i="496"/>
  <c r="F26" i="496"/>
  <c r="H25" i="496"/>
  <c r="F25" i="496"/>
  <c r="H24" i="496"/>
  <c r="F24" i="496"/>
  <c r="H18" i="496"/>
  <c r="F18" i="496"/>
  <c r="D18" i="496"/>
  <c r="H17" i="496"/>
  <c r="F17" i="496"/>
  <c r="D17" i="496"/>
  <c r="H16" i="496"/>
  <c r="F16" i="496"/>
  <c r="D16" i="496"/>
  <c r="H15" i="496"/>
  <c r="F15" i="496"/>
  <c r="D15" i="496"/>
  <c r="H14" i="496"/>
  <c r="F14" i="496"/>
  <c r="D14" i="496"/>
  <c r="H13" i="496"/>
  <c r="F13" i="496"/>
  <c r="D13" i="496"/>
  <c r="H12" i="496"/>
  <c r="F12" i="496"/>
  <c r="D12" i="496"/>
  <c r="H11" i="496"/>
  <c r="F11" i="496"/>
  <c r="D11" i="496"/>
  <c r="H10" i="496"/>
  <c r="F10" i="496"/>
  <c r="D10" i="496"/>
  <c r="H9" i="496"/>
  <c r="F9" i="496"/>
  <c r="D9" i="496"/>
  <c r="I38" i="496"/>
  <c r="D8" i="496"/>
  <c r="I6" i="496"/>
  <c r="C5" i="496"/>
  <c r="B5" i="496"/>
  <c r="F4" i="496"/>
  <c r="A3" i="496"/>
  <c r="D55" i="466"/>
  <c r="H49" i="466"/>
  <c r="D49" i="466"/>
  <c r="H48" i="466"/>
  <c r="D48" i="466"/>
  <c r="H47" i="466"/>
  <c r="D47" i="466"/>
  <c r="H46" i="466"/>
  <c r="D46" i="466"/>
  <c r="H40" i="466"/>
  <c r="F40" i="466"/>
  <c r="D40" i="466"/>
  <c r="H39" i="466"/>
  <c r="I38" i="466"/>
  <c r="F39" i="466"/>
  <c r="D39" i="466"/>
  <c r="H37" i="466"/>
  <c r="F37" i="466"/>
  <c r="D37" i="466"/>
  <c r="H36" i="466"/>
  <c r="F36" i="466"/>
  <c r="D36" i="466"/>
  <c r="H35" i="466"/>
  <c r="F35" i="466"/>
  <c r="D35" i="466"/>
  <c r="H29" i="466"/>
  <c r="F29" i="466"/>
  <c r="H28" i="466"/>
  <c r="F28" i="466"/>
  <c r="H27" i="466"/>
  <c r="F27" i="466"/>
  <c r="H26" i="466"/>
  <c r="F26" i="466"/>
  <c r="H25" i="466"/>
  <c r="F25" i="466"/>
  <c r="H24" i="466"/>
  <c r="F24" i="466"/>
  <c r="H18" i="466"/>
  <c r="F18" i="466"/>
  <c r="D18" i="466"/>
  <c r="H17" i="466"/>
  <c r="F17" i="466"/>
  <c r="D17" i="466"/>
  <c r="H16" i="466"/>
  <c r="I34" i="466"/>
  <c r="F16" i="466"/>
  <c r="D16" i="466"/>
  <c r="H15" i="466"/>
  <c r="F15" i="466"/>
  <c r="D15" i="466"/>
  <c r="H14" i="466"/>
  <c r="F14" i="466"/>
  <c r="D14" i="466"/>
  <c r="H13" i="466"/>
  <c r="F13" i="466"/>
  <c r="D13" i="466"/>
  <c r="H12" i="466"/>
  <c r="F12" i="466"/>
  <c r="D12" i="466"/>
  <c r="H11" i="466"/>
  <c r="F11" i="466"/>
  <c r="D11" i="466"/>
  <c r="H10" i="466"/>
  <c r="AB574" i="721"/>
  <c r="AB574" i="720"/>
  <c r="AC574" i="720"/>
  <c r="F10" i="466"/>
  <c r="D10" i="466"/>
  <c r="D9" i="466"/>
  <c r="D8" i="466"/>
  <c r="I6" i="466"/>
  <c r="C5" i="466"/>
  <c r="B5" i="466"/>
  <c r="F4" i="466"/>
  <c r="A3" i="466"/>
  <c r="D55" i="277"/>
  <c r="H49" i="277"/>
  <c r="D49" i="277"/>
  <c r="H48" i="277"/>
  <c r="D48" i="277"/>
  <c r="H47" i="277"/>
  <c r="D47" i="277"/>
  <c r="H46" i="277"/>
  <c r="D46" i="277"/>
  <c r="H40" i="277"/>
  <c r="F40" i="277"/>
  <c r="D40" i="277"/>
  <c r="H39" i="277"/>
  <c r="F39" i="277"/>
  <c r="D39" i="277"/>
  <c r="H37" i="277"/>
  <c r="F37" i="277"/>
  <c r="D37" i="277"/>
  <c r="H36" i="277"/>
  <c r="F36" i="277"/>
  <c r="D36" i="277"/>
  <c r="H35" i="277"/>
  <c r="I34" i="277"/>
  <c r="F35" i="277"/>
  <c r="D35" i="277"/>
  <c r="H29" i="277"/>
  <c r="F29" i="277"/>
  <c r="H28" i="277"/>
  <c r="F28" i="277"/>
  <c r="H27" i="277"/>
  <c r="F27" i="277"/>
  <c r="H26" i="277"/>
  <c r="F26" i="277"/>
  <c r="H18" i="277"/>
  <c r="F18" i="277"/>
  <c r="D18" i="277"/>
  <c r="H17" i="277"/>
  <c r="F17" i="277"/>
  <c r="D17" i="277"/>
  <c r="H16" i="277"/>
  <c r="F16" i="277"/>
  <c r="D16" i="277"/>
  <c r="H15" i="277"/>
  <c r="F15" i="277"/>
  <c r="D15" i="277"/>
  <c r="H14" i="277"/>
  <c r="F14" i="277"/>
  <c r="D14" i="277"/>
  <c r="H13" i="277"/>
  <c r="F13" i="277"/>
  <c r="D13" i="277"/>
  <c r="H12" i="277"/>
  <c r="F12" i="277"/>
  <c r="D12" i="277"/>
  <c r="H11" i="277"/>
  <c r="F11" i="277"/>
  <c r="D11" i="277"/>
  <c r="D10" i="277"/>
  <c r="D9" i="277"/>
  <c r="D8" i="277"/>
  <c r="F4" i="277"/>
  <c r="A3" i="277"/>
  <c r="I38" i="277"/>
  <c r="AB569" i="721"/>
  <c r="AB569" i="720"/>
  <c r="AC569" i="720"/>
  <c r="D55" i="499"/>
  <c r="H49" i="499"/>
  <c r="D49" i="499"/>
  <c r="H48" i="499"/>
  <c r="D48" i="499"/>
  <c r="H47" i="499"/>
  <c r="D47" i="499"/>
  <c r="H46" i="499"/>
  <c r="D46" i="499"/>
  <c r="H40" i="499"/>
  <c r="F40" i="499"/>
  <c r="D40" i="499"/>
  <c r="H39" i="499"/>
  <c r="F39" i="499"/>
  <c r="D39" i="499"/>
  <c r="H37" i="499"/>
  <c r="F37" i="499"/>
  <c r="D37" i="499"/>
  <c r="H36" i="499"/>
  <c r="H35" i="499"/>
  <c r="I34" i="499"/>
  <c r="I38" i="499"/>
  <c r="I41" i="499"/>
  <c r="F36" i="499"/>
  <c r="D36" i="499"/>
  <c r="F35" i="499"/>
  <c r="D35" i="499"/>
  <c r="H29" i="499"/>
  <c r="F29" i="499"/>
  <c r="H28" i="499"/>
  <c r="F28" i="499"/>
  <c r="H27" i="499"/>
  <c r="F27" i="499"/>
  <c r="H26" i="499"/>
  <c r="F26" i="499"/>
  <c r="H25" i="499"/>
  <c r="F25" i="499"/>
  <c r="H18" i="499"/>
  <c r="F18" i="499"/>
  <c r="D18" i="499"/>
  <c r="H17" i="499"/>
  <c r="F17" i="499"/>
  <c r="D17" i="499"/>
  <c r="H16" i="499"/>
  <c r="F16" i="499"/>
  <c r="D16" i="499"/>
  <c r="H15" i="499"/>
  <c r="F15" i="499"/>
  <c r="D15" i="499"/>
  <c r="H14" i="499"/>
  <c r="F14" i="499"/>
  <c r="D14" i="499"/>
  <c r="H13" i="499"/>
  <c r="F13" i="499"/>
  <c r="D13" i="499"/>
  <c r="H12" i="499"/>
  <c r="F12" i="499"/>
  <c r="D12" i="499"/>
  <c r="H11" i="499"/>
  <c r="F11" i="499"/>
  <c r="D11" i="499"/>
  <c r="H10" i="499"/>
  <c r="F10" i="499"/>
  <c r="D10" i="499"/>
  <c r="H9" i="499"/>
  <c r="F9" i="499"/>
  <c r="D9" i="499"/>
  <c r="D8" i="499"/>
  <c r="I6" i="499"/>
  <c r="C5" i="499"/>
  <c r="B5" i="499"/>
  <c r="F4" i="499"/>
  <c r="A3" i="499"/>
  <c r="D55" i="537"/>
  <c r="H49" i="537"/>
  <c r="D49" i="537"/>
  <c r="H48" i="537"/>
  <c r="D48" i="537"/>
  <c r="H47" i="537"/>
  <c r="D47" i="537"/>
  <c r="H46" i="537"/>
  <c r="D46" i="537"/>
  <c r="H40" i="537"/>
  <c r="F40" i="537"/>
  <c r="D40" i="537"/>
  <c r="H39" i="537"/>
  <c r="I38" i="537"/>
  <c r="F39" i="537"/>
  <c r="D39" i="537"/>
  <c r="H37" i="537"/>
  <c r="F37" i="537"/>
  <c r="D37" i="537"/>
  <c r="H36" i="537"/>
  <c r="F36" i="537"/>
  <c r="D36" i="537"/>
  <c r="H35" i="537"/>
  <c r="I34" i="537"/>
  <c r="I41" i="537"/>
  <c r="AB567" i="721"/>
  <c r="F35" i="537"/>
  <c r="D35" i="537"/>
  <c r="H29" i="537"/>
  <c r="F29" i="537"/>
  <c r="H28" i="537"/>
  <c r="F28" i="537"/>
  <c r="H27" i="537"/>
  <c r="F27" i="537"/>
  <c r="H26" i="537"/>
  <c r="F26" i="537"/>
  <c r="H25" i="537"/>
  <c r="F25" i="537"/>
  <c r="H18" i="537"/>
  <c r="F18" i="537"/>
  <c r="D18" i="537"/>
  <c r="H17" i="537"/>
  <c r="F17" i="537"/>
  <c r="D17" i="537"/>
  <c r="H16" i="537"/>
  <c r="F16" i="537"/>
  <c r="D16" i="537"/>
  <c r="H15" i="537"/>
  <c r="F15" i="537"/>
  <c r="D15" i="537"/>
  <c r="H14" i="537"/>
  <c r="F14" i="537"/>
  <c r="D14" i="537"/>
  <c r="H13" i="537"/>
  <c r="F13" i="537"/>
  <c r="D13" i="537"/>
  <c r="H12" i="537"/>
  <c r="F12" i="537"/>
  <c r="D12" i="537"/>
  <c r="H11" i="537"/>
  <c r="F11" i="537"/>
  <c r="D11" i="537"/>
  <c r="H10" i="537"/>
  <c r="F10" i="537"/>
  <c r="D10" i="537"/>
  <c r="D9" i="537"/>
  <c r="D8" i="537"/>
  <c r="I6" i="537"/>
  <c r="C5" i="537"/>
  <c r="B5" i="537"/>
  <c r="F4" i="537"/>
  <c r="A3" i="537"/>
  <c r="D55" i="381"/>
  <c r="H49" i="381"/>
  <c r="D49" i="381"/>
  <c r="H48" i="381"/>
  <c r="D48" i="381"/>
  <c r="H47" i="381"/>
  <c r="D47" i="381"/>
  <c r="H46" i="381"/>
  <c r="D46" i="381"/>
  <c r="H40" i="381"/>
  <c r="F40" i="381"/>
  <c r="D40" i="381"/>
  <c r="H39" i="381"/>
  <c r="I38" i="381"/>
  <c r="F39" i="381"/>
  <c r="D39" i="381"/>
  <c r="H37" i="381"/>
  <c r="F37" i="381"/>
  <c r="D37" i="381"/>
  <c r="H36" i="381"/>
  <c r="F36" i="381"/>
  <c r="D36" i="381"/>
  <c r="H35" i="381"/>
  <c r="F35" i="381"/>
  <c r="D35" i="381"/>
  <c r="H29" i="381"/>
  <c r="F29" i="381"/>
  <c r="H28" i="381"/>
  <c r="F28" i="381"/>
  <c r="H27" i="381"/>
  <c r="F27" i="381"/>
  <c r="H26" i="381"/>
  <c r="F26" i="381"/>
  <c r="H25" i="381"/>
  <c r="F25" i="381"/>
  <c r="H24" i="381"/>
  <c r="F24" i="381"/>
  <c r="H18" i="381"/>
  <c r="F18" i="381"/>
  <c r="D18" i="381"/>
  <c r="H17" i="381"/>
  <c r="F17" i="381"/>
  <c r="D17" i="381"/>
  <c r="H16" i="381"/>
  <c r="F16" i="381"/>
  <c r="D16" i="381"/>
  <c r="H15" i="381"/>
  <c r="F15" i="381"/>
  <c r="D15" i="381"/>
  <c r="H14" i="381"/>
  <c r="F14" i="381"/>
  <c r="D14" i="381"/>
  <c r="H13" i="381"/>
  <c r="F13" i="381"/>
  <c r="D13" i="381"/>
  <c r="D12" i="381"/>
  <c r="D11" i="381"/>
  <c r="D10" i="381"/>
  <c r="D9" i="381"/>
  <c r="D8" i="381"/>
  <c r="F4" i="381"/>
  <c r="A3" i="381"/>
  <c r="D55" i="508"/>
  <c r="H49" i="508"/>
  <c r="D49" i="508"/>
  <c r="H48" i="508"/>
  <c r="D48" i="508"/>
  <c r="H47" i="508"/>
  <c r="D47" i="508"/>
  <c r="H46" i="508"/>
  <c r="D46" i="508"/>
  <c r="H40" i="508"/>
  <c r="F40" i="508"/>
  <c r="D40" i="508"/>
  <c r="H39" i="508"/>
  <c r="I38" i="508"/>
  <c r="F39" i="508"/>
  <c r="D39" i="508"/>
  <c r="H37" i="508"/>
  <c r="H35" i="508"/>
  <c r="H36" i="508"/>
  <c r="I34" i="508"/>
  <c r="F37" i="508"/>
  <c r="D37" i="508"/>
  <c r="F36" i="508"/>
  <c r="D36" i="508"/>
  <c r="F35" i="508"/>
  <c r="D35" i="508"/>
  <c r="H29" i="508"/>
  <c r="F29" i="508"/>
  <c r="H28" i="508"/>
  <c r="F28" i="508"/>
  <c r="H27" i="508"/>
  <c r="F27" i="508"/>
  <c r="H26" i="508"/>
  <c r="F26" i="508"/>
  <c r="H25" i="508"/>
  <c r="F25" i="508"/>
  <c r="H24" i="508"/>
  <c r="F24" i="508"/>
  <c r="H18" i="508"/>
  <c r="F18" i="508"/>
  <c r="D18" i="508"/>
  <c r="H17" i="508"/>
  <c r="F17" i="508"/>
  <c r="D17" i="508"/>
  <c r="H16" i="508"/>
  <c r="F16" i="508"/>
  <c r="D16" i="508"/>
  <c r="H15" i="508"/>
  <c r="F15" i="508"/>
  <c r="D15" i="508"/>
  <c r="H14" i="508"/>
  <c r="F14" i="508"/>
  <c r="D14" i="508"/>
  <c r="H13" i="508"/>
  <c r="F13" i="508"/>
  <c r="D13" i="508"/>
  <c r="H12" i="508"/>
  <c r="F12" i="508"/>
  <c r="D12" i="508"/>
  <c r="D11" i="508"/>
  <c r="D10" i="508"/>
  <c r="D9" i="508"/>
  <c r="D8" i="508"/>
  <c r="I6" i="508"/>
  <c r="C5" i="508"/>
  <c r="B5" i="508"/>
  <c r="F4" i="508"/>
  <c r="A3" i="508"/>
  <c r="D55" i="395"/>
  <c r="H49" i="395"/>
  <c r="D49" i="395"/>
  <c r="H48" i="395"/>
  <c r="D48" i="395"/>
  <c r="H47" i="395"/>
  <c r="D47" i="395"/>
  <c r="H46" i="395"/>
  <c r="D46" i="395"/>
  <c r="H40" i="395"/>
  <c r="H39" i="395"/>
  <c r="I38" i="395"/>
  <c r="F40" i="395"/>
  <c r="D40" i="395"/>
  <c r="F39" i="395"/>
  <c r="D39" i="395"/>
  <c r="H37" i="395"/>
  <c r="F37" i="395"/>
  <c r="D37" i="395"/>
  <c r="H36" i="395"/>
  <c r="F36" i="395"/>
  <c r="D36" i="395"/>
  <c r="H35" i="395"/>
  <c r="I34" i="395"/>
  <c r="I41" i="395"/>
  <c r="F35" i="395"/>
  <c r="D35" i="395"/>
  <c r="H29" i="395"/>
  <c r="F29" i="395"/>
  <c r="H28" i="395"/>
  <c r="F28" i="395"/>
  <c r="H27" i="395"/>
  <c r="F27" i="395"/>
  <c r="H26" i="395"/>
  <c r="F26" i="395"/>
  <c r="H25" i="395"/>
  <c r="F25" i="395"/>
  <c r="H24" i="395"/>
  <c r="F24" i="395"/>
  <c r="H18" i="395"/>
  <c r="F18" i="395"/>
  <c r="D18" i="395"/>
  <c r="H17" i="395"/>
  <c r="F17" i="395"/>
  <c r="D17" i="395"/>
  <c r="H16" i="395"/>
  <c r="F16" i="395"/>
  <c r="D16" i="395"/>
  <c r="H15" i="395"/>
  <c r="F15" i="395"/>
  <c r="D15" i="395"/>
  <c r="H14" i="395"/>
  <c r="F14" i="395"/>
  <c r="D14" i="395"/>
  <c r="H13" i="395"/>
  <c r="F13" i="395"/>
  <c r="D13" i="395"/>
  <c r="H12" i="395"/>
  <c r="F12" i="395"/>
  <c r="D12" i="395"/>
  <c r="H11" i="395"/>
  <c r="F11" i="395"/>
  <c r="D11" i="395"/>
  <c r="D10" i="395"/>
  <c r="D9" i="395"/>
  <c r="H8" i="395"/>
  <c r="F8" i="395"/>
  <c r="D8" i="395"/>
  <c r="C5" i="395"/>
  <c r="F4" i="395"/>
  <c r="A3" i="395"/>
  <c r="I34" i="381"/>
  <c r="D55" i="626"/>
  <c r="H49" i="626"/>
  <c r="D49" i="626"/>
  <c r="H48" i="626"/>
  <c r="D48" i="626"/>
  <c r="H47" i="626"/>
  <c r="D47" i="626"/>
  <c r="H46" i="626"/>
  <c r="D46" i="626"/>
  <c r="H40" i="626"/>
  <c r="F40" i="626"/>
  <c r="D40" i="626"/>
  <c r="H39" i="626"/>
  <c r="F39" i="626"/>
  <c r="D39" i="626"/>
  <c r="H37" i="626"/>
  <c r="H35" i="626"/>
  <c r="H36" i="626"/>
  <c r="I34" i="626"/>
  <c r="F37" i="626"/>
  <c r="D37" i="626"/>
  <c r="F36" i="626"/>
  <c r="D36" i="626"/>
  <c r="F35" i="626"/>
  <c r="D35" i="626"/>
  <c r="H29" i="626"/>
  <c r="F29" i="626"/>
  <c r="H28" i="626"/>
  <c r="F28" i="626"/>
  <c r="H27" i="626"/>
  <c r="F27" i="626"/>
  <c r="H26" i="626"/>
  <c r="F26" i="626"/>
  <c r="AB523" i="721"/>
  <c r="I41" i="508"/>
  <c r="I38" i="626"/>
  <c r="H24" i="626"/>
  <c r="F24" i="626"/>
  <c r="H18" i="626"/>
  <c r="F18" i="626"/>
  <c r="D18" i="626"/>
  <c r="H17" i="626"/>
  <c r="F17" i="626"/>
  <c r="D17" i="626"/>
  <c r="H16" i="626"/>
  <c r="F16" i="626"/>
  <c r="D16" i="626"/>
  <c r="H15" i="626"/>
  <c r="F15" i="626"/>
  <c r="D15" i="626"/>
  <c r="H14" i="626"/>
  <c r="F14" i="626"/>
  <c r="D14" i="626"/>
  <c r="H13" i="626"/>
  <c r="F13" i="626"/>
  <c r="D13" i="626"/>
  <c r="H12" i="626"/>
  <c r="F12" i="626"/>
  <c r="D12" i="626"/>
  <c r="D11" i="626"/>
  <c r="D10" i="626"/>
  <c r="H9" i="626"/>
  <c r="F9" i="626"/>
  <c r="D9" i="626"/>
  <c r="H8" i="626"/>
  <c r="F8" i="626"/>
  <c r="D8" i="626"/>
  <c r="I6" i="626"/>
  <c r="C5" i="626"/>
  <c r="B5" i="626"/>
  <c r="F4" i="626"/>
  <c r="A3" i="626"/>
  <c r="D55" i="507"/>
  <c r="H49" i="507"/>
  <c r="D49" i="507"/>
  <c r="H48" i="507"/>
  <c r="D48" i="507"/>
  <c r="H47" i="507"/>
  <c r="D47" i="507"/>
  <c r="H46" i="507"/>
  <c r="D46" i="507"/>
  <c r="H40" i="507"/>
  <c r="F40" i="507"/>
  <c r="D40" i="507"/>
  <c r="H39" i="507"/>
  <c r="F39" i="507"/>
  <c r="D39" i="507"/>
  <c r="H37" i="507"/>
  <c r="F37" i="507"/>
  <c r="D37" i="507"/>
  <c r="H36" i="507"/>
  <c r="H35" i="507"/>
  <c r="I34" i="507"/>
  <c r="I38" i="507"/>
  <c r="I41" i="507"/>
  <c r="F36" i="507"/>
  <c r="D36" i="507"/>
  <c r="F35" i="507"/>
  <c r="D35" i="507"/>
  <c r="H29" i="507"/>
  <c r="F29" i="507"/>
  <c r="H28" i="507"/>
  <c r="F28" i="507"/>
  <c r="H27" i="507"/>
  <c r="F27" i="507"/>
  <c r="H26" i="507"/>
  <c r="F26" i="507"/>
  <c r="H25" i="507"/>
  <c r="F25" i="507"/>
  <c r="H24" i="507"/>
  <c r="F24" i="507"/>
  <c r="H18" i="507"/>
  <c r="F18" i="507"/>
  <c r="D18" i="507"/>
  <c r="H17" i="507"/>
  <c r="F17" i="507"/>
  <c r="D17" i="507"/>
  <c r="H16" i="507"/>
  <c r="F16" i="507"/>
  <c r="D16" i="507"/>
  <c r="H15" i="507"/>
  <c r="F15" i="507"/>
  <c r="D15" i="507"/>
  <c r="H14" i="507"/>
  <c r="F14" i="507"/>
  <c r="D14" i="507"/>
  <c r="H13" i="507"/>
  <c r="F13" i="507"/>
  <c r="D13" i="507"/>
  <c r="H12" i="507"/>
  <c r="F12" i="507"/>
  <c r="D12" i="507"/>
  <c r="AB523" i="720"/>
  <c r="AB540" i="720"/>
  <c r="AC540" i="720"/>
  <c r="AB547" i="720"/>
  <c r="AB540" i="721"/>
  <c r="AB547" i="721"/>
  <c r="AB549" i="720"/>
  <c r="AB549" i="721"/>
  <c r="D11" i="507"/>
  <c r="D10" i="507"/>
  <c r="D9" i="507"/>
  <c r="D8" i="507"/>
  <c r="I6" i="507"/>
  <c r="C5" i="507"/>
  <c r="B5" i="507"/>
  <c r="F4" i="507"/>
  <c r="A3" i="507"/>
  <c r="D55" i="625"/>
  <c r="H49" i="625"/>
  <c r="D49" i="625"/>
  <c r="H48" i="625"/>
  <c r="D48" i="625"/>
  <c r="H47" i="625"/>
  <c r="D47" i="625"/>
  <c r="H46" i="625"/>
  <c r="D46" i="625"/>
  <c r="H40" i="625"/>
  <c r="H39" i="625"/>
  <c r="I38" i="625"/>
  <c r="F40" i="625"/>
  <c r="D40" i="625"/>
  <c r="F39" i="625"/>
  <c r="D39" i="625"/>
  <c r="H37" i="625"/>
  <c r="F37" i="625"/>
  <c r="D37" i="625"/>
  <c r="H36" i="625"/>
  <c r="H35" i="625"/>
  <c r="I34" i="625"/>
  <c r="F36" i="625"/>
  <c r="D36" i="625"/>
  <c r="F35" i="625"/>
  <c r="D35" i="625"/>
  <c r="H29" i="625"/>
  <c r="F29" i="625"/>
  <c r="H28" i="625"/>
  <c r="F28" i="625"/>
  <c r="H27" i="625"/>
  <c r="F27" i="625"/>
  <c r="H26" i="625"/>
  <c r="F26" i="625"/>
  <c r="H24" i="625"/>
  <c r="F24" i="625"/>
  <c r="H18" i="625"/>
  <c r="F18" i="625"/>
  <c r="D18" i="625"/>
  <c r="H17" i="625"/>
  <c r="F17" i="625"/>
  <c r="D17" i="625"/>
  <c r="H16" i="625"/>
  <c r="F16" i="625"/>
  <c r="D16" i="625"/>
  <c r="H15" i="625"/>
  <c r="F15" i="625"/>
  <c r="D15" i="625"/>
  <c r="H14" i="625"/>
  <c r="F14" i="625"/>
  <c r="D14" i="625"/>
  <c r="H13" i="625"/>
  <c r="F13" i="625"/>
  <c r="D13" i="625"/>
  <c r="H12" i="625"/>
  <c r="F12" i="625"/>
  <c r="D12" i="625"/>
  <c r="D11" i="625"/>
  <c r="D10" i="625"/>
  <c r="H9" i="625"/>
  <c r="F9" i="625"/>
  <c r="D9" i="625"/>
  <c r="H8" i="625"/>
  <c r="F8" i="625"/>
  <c r="D8" i="625"/>
  <c r="I6" i="625"/>
  <c r="C5" i="625"/>
  <c r="B5" i="625"/>
  <c r="F4" i="625"/>
  <c r="A3" i="625"/>
  <c r="D55" i="651"/>
  <c r="H49" i="651"/>
  <c r="D49" i="651"/>
  <c r="H48" i="651"/>
  <c r="D48" i="651"/>
  <c r="H47" i="651"/>
  <c r="D47" i="651"/>
  <c r="H46" i="651"/>
  <c r="D46" i="651"/>
  <c r="H40" i="651"/>
  <c r="F40" i="651"/>
  <c r="D40" i="651"/>
  <c r="H39" i="651"/>
  <c r="F39" i="651"/>
  <c r="D39" i="651"/>
  <c r="I38" i="651"/>
  <c r="H37" i="651"/>
  <c r="H35" i="651"/>
  <c r="H36" i="651"/>
  <c r="I34" i="651"/>
  <c r="F37" i="651"/>
  <c r="D37" i="651"/>
  <c r="F36" i="651"/>
  <c r="D36" i="651"/>
  <c r="F35" i="651"/>
  <c r="D35" i="651"/>
  <c r="H29" i="651"/>
  <c r="F29" i="651"/>
  <c r="H28" i="651"/>
  <c r="F28" i="651"/>
  <c r="H27" i="651"/>
  <c r="F27" i="651"/>
  <c r="H26" i="651"/>
  <c r="F26" i="651"/>
  <c r="H25" i="651"/>
  <c r="F25" i="651"/>
  <c r="H24" i="651"/>
  <c r="F24" i="651"/>
  <c r="H18" i="651"/>
  <c r="F18" i="651"/>
  <c r="D18" i="651"/>
  <c r="H17" i="651"/>
  <c r="F17" i="651"/>
  <c r="D17" i="651"/>
  <c r="H16" i="651"/>
  <c r="F16" i="651"/>
  <c r="D16" i="651"/>
  <c r="H15" i="651"/>
  <c r="F15" i="651"/>
  <c r="D15" i="651"/>
  <c r="H14" i="651"/>
  <c r="F14" i="651"/>
  <c r="D14" i="651"/>
  <c r="H13" i="651"/>
  <c r="F13" i="651"/>
  <c r="D13" i="651"/>
  <c r="H12" i="651"/>
  <c r="F12" i="651"/>
  <c r="D12" i="651"/>
  <c r="D11" i="651"/>
  <c r="D10" i="651"/>
  <c r="D9" i="651"/>
  <c r="D8" i="651"/>
  <c r="I6" i="651"/>
  <c r="C5" i="651"/>
  <c r="B5" i="651"/>
  <c r="F4" i="651"/>
  <c r="A3" i="651"/>
  <c r="D55" i="425"/>
  <c r="H49" i="425"/>
  <c r="D49" i="425"/>
  <c r="H48" i="425"/>
  <c r="D48" i="425"/>
  <c r="H47" i="425"/>
  <c r="D47" i="425"/>
  <c r="H46" i="425"/>
  <c r="D46" i="425"/>
  <c r="H40" i="425"/>
  <c r="F40" i="425"/>
  <c r="D40" i="425"/>
  <c r="H39" i="425"/>
  <c r="F39" i="425"/>
  <c r="D39" i="425"/>
  <c r="H37" i="425"/>
  <c r="F37" i="425"/>
  <c r="D37" i="425"/>
  <c r="H36" i="425"/>
  <c r="F36" i="425"/>
  <c r="D36" i="425"/>
  <c r="H35" i="425"/>
  <c r="I34" i="425"/>
  <c r="I38" i="425"/>
  <c r="I41" i="425"/>
  <c r="F35" i="425"/>
  <c r="D35" i="425"/>
  <c r="H29" i="425"/>
  <c r="F29" i="425"/>
  <c r="H28" i="425"/>
  <c r="F28" i="425"/>
  <c r="H27" i="425"/>
  <c r="F27" i="425"/>
  <c r="H26" i="425"/>
  <c r="F26" i="425"/>
  <c r="H25" i="425"/>
  <c r="F25" i="425"/>
  <c r="H24" i="425"/>
  <c r="F24" i="425"/>
  <c r="H18" i="425"/>
  <c r="F18" i="425"/>
  <c r="D18" i="425"/>
  <c r="H17" i="425"/>
  <c r="F17" i="425"/>
  <c r="D17" i="425"/>
  <c r="H16" i="425"/>
  <c r="F16" i="425"/>
  <c r="D16" i="425"/>
  <c r="H15" i="425"/>
  <c r="F15" i="425"/>
  <c r="D15" i="425"/>
  <c r="H14" i="425"/>
  <c r="F14" i="425"/>
  <c r="D14" i="425"/>
  <c r="H13" i="425"/>
  <c r="F13" i="425"/>
  <c r="D13" i="425"/>
  <c r="H12" i="425"/>
  <c r="F12" i="425"/>
  <c r="D12" i="425"/>
  <c r="H11" i="425"/>
  <c r="F11" i="425"/>
  <c r="D11" i="425"/>
  <c r="H10" i="425"/>
  <c r="F10" i="425"/>
  <c r="D10" i="425"/>
  <c r="H9" i="425"/>
  <c r="F9" i="425"/>
  <c r="D9" i="425"/>
  <c r="D8" i="425"/>
  <c r="C5" i="425"/>
  <c r="F4" i="425"/>
  <c r="A3" i="425"/>
  <c r="D55" i="273"/>
  <c r="H49" i="273"/>
  <c r="D49" i="273"/>
  <c r="H48" i="273"/>
  <c r="D48" i="273"/>
  <c r="H47" i="273"/>
  <c r="D47" i="273"/>
  <c r="H46" i="273"/>
  <c r="D46" i="273"/>
  <c r="H40" i="273"/>
  <c r="F40" i="273"/>
  <c r="D40" i="273"/>
  <c r="H39" i="273"/>
  <c r="F39" i="273"/>
  <c r="D39" i="273"/>
  <c r="H37" i="273"/>
  <c r="F37" i="273"/>
  <c r="D37" i="273"/>
  <c r="H36" i="273"/>
  <c r="F36" i="273"/>
  <c r="D36" i="273"/>
  <c r="H35" i="273"/>
  <c r="I34" i="273"/>
  <c r="I38" i="273"/>
  <c r="I41" i="273"/>
  <c r="F35" i="273"/>
  <c r="D35" i="273"/>
  <c r="H29" i="273"/>
  <c r="F29" i="273"/>
  <c r="H28" i="273"/>
  <c r="F28" i="273"/>
  <c r="H27" i="273"/>
  <c r="F27" i="273"/>
  <c r="H26" i="273"/>
  <c r="F26" i="273"/>
  <c r="H25" i="273"/>
  <c r="F25" i="273"/>
  <c r="H24" i="273"/>
  <c r="F24" i="273"/>
  <c r="H18" i="273"/>
  <c r="F18" i="273"/>
  <c r="D18" i="273"/>
  <c r="H17" i="273"/>
  <c r="F17" i="273"/>
  <c r="D17" i="273"/>
  <c r="H16" i="273"/>
  <c r="F16" i="273"/>
  <c r="D16" i="273"/>
  <c r="H15" i="273"/>
  <c r="F15" i="273"/>
  <c r="D15" i="273"/>
  <c r="H14" i="273"/>
  <c r="F14" i="273"/>
  <c r="D14" i="273"/>
  <c r="H13" i="273"/>
  <c r="F13" i="273"/>
  <c r="D13" i="273"/>
  <c r="H12" i="273"/>
  <c r="F12" i="273"/>
  <c r="D12" i="273"/>
  <c r="H11" i="273"/>
  <c r="F11" i="273"/>
  <c r="D11" i="273"/>
  <c r="H10" i="273"/>
  <c r="F10" i="273"/>
  <c r="D10" i="273"/>
  <c r="H9" i="273"/>
  <c r="F9" i="273"/>
  <c r="D9" i="273"/>
  <c r="D8" i="273"/>
  <c r="C5" i="273"/>
  <c r="F4" i="273"/>
  <c r="A3" i="273"/>
  <c r="D55" i="485"/>
  <c r="H49" i="485"/>
  <c r="D49" i="485"/>
  <c r="H48" i="485"/>
  <c r="D48" i="485"/>
  <c r="H47" i="485"/>
  <c r="D47" i="485"/>
  <c r="H46" i="485"/>
  <c r="D46" i="485"/>
  <c r="H40" i="485"/>
  <c r="F40" i="485"/>
  <c r="D40" i="485"/>
  <c r="H39" i="485"/>
  <c r="I38" i="485"/>
  <c r="F39" i="485"/>
  <c r="D39" i="485"/>
  <c r="H37" i="485"/>
  <c r="F37" i="485"/>
  <c r="D37" i="485"/>
  <c r="H36" i="485"/>
  <c r="F36" i="485"/>
  <c r="D36" i="485"/>
  <c r="H35" i="485"/>
  <c r="F35" i="485"/>
  <c r="D35" i="485"/>
  <c r="H29" i="485"/>
  <c r="F29" i="485"/>
  <c r="H28" i="485"/>
  <c r="F28" i="485"/>
  <c r="H27" i="485"/>
  <c r="F27" i="485"/>
  <c r="H26" i="485"/>
  <c r="F26" i="485"/>
  <c r="H25" i="485"/>
  <c r="F25" i="485"/>
  <c r="H24" i="485"/>
  <c r="F24" i="485"/>
  <c r="H18" i="485"/>
  <c r="F18" i="485"/>
  <c r="D18" i="485"/>
  <c r="H17" i="485"/>
  <c r="F17" i="485"/>
  <c r="D17" i="485"/>
  <c r="H16" i="485"/>
  <c r="F16" i="485"/>
  <c r="D16" i="485"/>
  <c r="H15" i="485"/>
  <c r="F15" i="485"/>
  <c r="D15" i="485"/>
  <c r="H14" i="485"/>
  <c r="F14" i="485"/>
  <c r="D14" i="485"/>
  <c r="H13" i="485"/>
  <c r="F13" i="485"/>
  <c r="D13" i="485"/>
  <c r="H12" i="485"/>
  <c r="F12" i="485"/>
  <c r="D12" i="485"/>
  <c r="H11" i="485"/>
  <c r="F11" i="485"/>
  <c r="D11" i="485"/>
  <c r="H10" i="485"/>
  <c r="F10" i="485"/>
  <c r="D10" i="485"/>
  <c r="D9" i="485"/>
  <c r="D8" i="485"/>
  <c r="I6" i="485"/>
  <c r="C5" i="485"/>
  <c r="B5" i="485"/>
  <c r="F4" i="485"/>
  <c r="A3" i="485"/>
  <c r="I34" i="485"/>
  <c r="I41" i="485"/>
  <c r="AB483" i="720"/>
  <c r="D58" i="705"/>
  <c r="H52" i="705"/>
  <c r="D52" i="705"/>
  <c r="H51" i="705"/>
  <c r="D51" i="705"/>
  <c r="H50" i="705"/>
  <c r="D50" i="705"/>
  <c r="H49" i="705"/>
  <c r="D49" i="705"/>
  <c r="H43" i="705"/>
  <c r="F43" i="705"/>
  <c r="D43" i="705"/>
  <c r="H42" i="705"/>
  <c r="I41" i="705"/>
  <c r="F42" i="705"/>
  <c r="D42" i="705"/>
  <c r="AB483" i="721"/>
  <c r="AB488" i="720"/>
  <c r="AB488" i="721"/>
  <c r="H40" i="705"/>
  <c r="F40" i="705"/>
  <c r="D40" i="705"/>
  <c r="H39" i="705"/>
  <c r="F39" i="705"/>
  <c r="D39" i="705"/>
  <c r="H38" i="705"/>
  <c r="I37" i="705"/>
  <c r="F38" i="705"/>
  <c r="D38" i="705"/>
  <c r="H32" i="705"/>
  <c r="F32" i="705"/>
  <c r="H31" i="705"/>
  <c r="F31" i="705"/>
  <c r="H30" i="705"/>
  <c r="F30" i="705"/>
  <c r="H29" i="705"/>
  <c r="F29" i="705"/>
  <c r="H28" i="705"/>
  <c r="F28" i="705"/>
  <c r="H27" i="705"/>
  <c r="F27" i="705"/>
  <c r="H21" i="705"/>
  <c r="F21" i="705"/>
  <c r="D21" i="705"/>
  <c r="H20" i="705"/>
  <c r="F20" i="705"/>
  <c r="D20" i="705"/>
  <c r="H19" i="705"/>
  <c r="F19" i="705"/>
  <c r="D19" i="705"/>
  <c r="H18" i="705"/>
  <c r="F18" i="705"/>
  <c r="D18" i="705"/>
  <c r="H17" i="705"/>
  <c r="F17" i="705"/>
  <c r="D17" i="705"/>
  <c r="H16" i="705"/>
  <c r="F16" i="705"/>
  <c r="D16" i="705"/>
  <c r="H15" i="705"/>
  <c r="F15" i="705"/>
  <c r="D15" i="705"/>
  <c r="H14" i="705"/>
  <c r="F14" i="705"/>
  <c r="D14" i="705"/>
  <c r="H13" i="705"/>
  <c r="F13" i="705"/>
  <c r="D13" i="705"/>
  <c r="H12" i="705"/>
  <c r="F12" i="705"/>
  <c r="D12" i="705"/>
  <c r="H11" i="705"/>
  <c r="F11" i="705"/>
  <c r="D11" i="705"/>
  <c r="H10" i="705"/>
  <c r="F10" i="705"/>
  <c r="D10" i="705"/>
  <c r="H9" i="705"/>
  <c r="F9" i="705"/>
  <c r="D9" i="705"/>
  <c r="H8" i="705"/>
  <c r="F8" i="705"/>
  <c r="D8" i="705"/>
  <c r="I6" i="705"/>
  <c r="F4" i="705"/>
  <c r="A3" i="705"/>
  <c r="D58" i="704"/>
  <c r="H52" i="704"/>
  <c r="D52" i="704"/>
  <c r="H51" i="704"/>
  <c r="D51" i="704"/>
  <c r="H50" i="704"/>
  <c r="D50" i="704"/>
  <c r="H49" i="704"/>
  <c r="D49" i="704"/>
  <c r="H43" i="704"/>
  <c r="F43" i="704"/>
  <c r="D43" i="704"/>
  <c r="H42" i="704"/>
  <c r="I41" i="704"/>
  <c r="F42" i="704"/>
  <c r="D42" i="704"/>
  <c r="H40" i="704"/>
  <c r="F40" i="704"/>
  <c r="D40" i="704"/>
  <c r="H39" i="704"/>
  <c r="F39" i="704"/>
  <c r="D39" i="704"/>
  <c r="H38" i="704"/>
  <c r="F38" i="704"/>
  <c r="D38" i="704"/>
  <c r="H32" i="704"/>
  <c r="F32" i="704"/>
  <c r="H31" i="704"/>
  <c r="F31" i="704"/>
  <c r="H30" i="704"/>
  <c r="F30" i="704"/>
  <c r="H29" i="704"/>
  <c r="F29" i="704"/>
  <c r="H28" i="704"/>
  <c r="F28" i="704"/>
  <c r="H27" i="704"/>
  <c r="F27" i="704"/>
  <c r="H21" i="704"/>
  <c r="F21" i="704"/>
  <c r="D21" i="704"/>
  <c r="H20" i="704"/>
  <c r="F20" i="704"/>
  <c r="D20" i="704"/>
  <c r="H19" i="704"/>
  <c r="F19" i="704"/>
  <c r="D19" i="704"/>
  <c r="H18" i="704"/>
  <c r="F18" i="704"/>
  <c r="D18" i="704"/>
  <c r="H17" i="704"/>
  <c r="F17" i="704"/>
  <c r="D17" i="704"/>
  <c r="H16" i="704"/>
  <c r="F16" i="704"/>
  <c r="D16" i="704"/>
  <c r="H15" i="704"/>
  <c r="F15" i="704"/>
  <c r="D15" i="704"/>
  <c r="H14" i="704"/>
  <c r="F14" i="704"/>
  <c r="D14" i="704"/>
  <c r="H13" i="704"/>
  <c r="F13" i="704"/>
  <c r="D13" i="704"/>
  <c r="H12" i="704"/>
  <c r="F12" i="704"/>
  <c r="D12" i="704"/>
  <c r="H11" i="704"/>
  <c r="F11" i="704"/>
  <c r="D11" i="704"/>
  <c r="H10" i="704"/>
  <c r="F10" i="704"/>
  <c r="D10" i="704"/>
  <c r="H9" i="704"/>
  <c r="F9" i="704"/>
  <c r="D9" i="704"/>
  <c r="H8" i="704"/>
  <c r="F8" i="704"/>
  <c r="D8" i="704"/>
  <c r="B5" i="704"/>
  <c r="I6" i="704"/>
  <c r="F4" i="704"/>
  <c r="A3" i="704"/>
  <c r="D58" i="703"/>
  <c r="H52" i="703"/>
  <c r="D52" i="703"/>
  <c r="H51" i="703"/>
  <c r="D51" i="703"/>
  <c r="H50" i="703"/>
  <c r="D50" i="703"/>
  <c r="H49" i="703"/>
  <c r="D49" i="703"/>
  <c r="H43" i="703"/>
  <c r="H42" i="703"/>
  <c r="I41" i="703"/>
  <c r="F43" i="703"/>
  <c r="D43" i="703"/>
  <c r="F42" i="703"/>
  <c r="D42" i="703"/>
  <c r="H40" i="703"/>
  <c r="F40" i="703"/>
  <c r="D40" i="703"/>
  <c r="H39" i="703"/>
  <c r="H38" i="703"/>
  <c r="I37" i="703"/>
  <c r="I44" i="703"/>
  <c r="F39" i="703"/>
  <c r="D39" i="703"/>
  <c r="F38" i="703"/>
  <c r="D38" i="703"/>
  <c r="H32" i="703"/>
  <c r="F32" i="703"/>
  <c r="H31" i="703"/>
  <c r="F31" i="703"/>
  <c r="H30" i="703"/>
  <c r="F30" i="703"/>
  <c r="H29" i="703"/>
  <c r="F29" i="703"/>
  <c r="H28" i="703"/>
  <c r="F28" i="703"/>
  <c r="H21" i="703"/>
  <c r="F21" i="703"/>
  <c r="D21" i="703"/>
  <c r="H20" i="703"/>
  <c r="F20" i="703"/>
  <c r="D20" i="703"/>
  <c r="H19" i="703"/>
  <c r="F19" i="703"/>
  <c r="D19" i="703"/>
  <c r="H18" i="703"/>
  <c r="F18" i="703"/>
  <c r="D18" i="703"/>
  <c r="H17" i="703"/>
  <c r="F17" i="703"/>
  <c r="D17" i="703"/>
  <c r="H16" i="703"/>
  <c r="F16" i="703"/>
  <c r="D16" i="703"/>
  <c r="H15" i="703"/>
  <c r="F15" i="703"/>
  <c r="D15" i="703"/>
  <c r="H14" i="703"/>
  <c r="F14" i="703"/>
  <c r="D14" i="703"/>
  <c r="H13" i="703"/>
  <c r="F13" i="703"/>
  <c r="D13" i="703"/>
  <c r="H12" i="703"/>
  <c r="F12" i="703"/>
  <c r="D12" i="703"/>
  <c r="H11" i="703"/>
  <c r="F11" i="703"/>
  <c r="D11" i="703"/>
  <c r="H10" i="703"/>
  <c r="F10" i="703"/>
  <c r="D10" i="703"/>
  <c r="H9" i="703"/>
  <c r="F9" i="703"/>
  <c r="D9" i="703"/>
  <c r="H8" i="703"/>
  <c r="F8" i="703"/>
  <c r="D8" i="703"/>
  <c r="B5" i="703"/>
  <c r="I6" i="703"/>
  <c r="F4" i="703"/>
  <c r="A3" i="703"/>
  <c r="D58" i="701"/>
  <c r="H52" i="701"/>
  <c r="D52" i="701"/>
  <c r="H51" i="701"/>
  <c r="D51" i="701"/>
  <c r="H50" i="701"/>
  <c r="D50" i="701"/>
  <c r="H49" i="701"/>
  <c r="D49" i="701"/>
  <c r="H43" i="701"/>
  <c r="F43" i="701"/>
  <c r="D43" i="701"/>
  <c r="H42" i="701"/>
  <c r="F42" i="701"/>
  <c r="D42" i="701"/>
  <c r="H40" i="701"/>
  <c r="F40" i="701"/>
  <c r="D40" i="701"/>
  <c r="H39" i="701"/>
  <c r="H38" i="701"/>
  <c r="I37" i="701"/>
  <c r="F39" i="701"/>
  <c r="D39" i="701"/>
  <c r="F38" i="701"/>
  <c r="D38" i="701"/>
  <c r="H32" i="701"/>
  <c r="F32" i="701"/>
  <c r="H31" i="701"/>
  <c r="F31" i="701"/>
  <c r="H30" i="701"/>
  <c r="F30" i="701"/>
  <c r="H29" i="701"/>
  <c r="F29" i="701"/>
  <c r="H28" i="701"/>
  <c r="F28" i="701"/>
  <c r="H21" i="701"/>
  <c r="F21" i="701"/>
  <c r="D21" i="701"/>
  <c r="H20" i="701"/>
  <c r="F20" i="701"/>
  <c r="D20" i="701"/>
  <c r="H19" i="701"/>
  <c r="F19" i="701"/>
  <c r="D19" i="701"/>
  <c r="H18" i="701"/>
  <c r="F18" i="701"/>
  <c r="D18" i="701"/>
  <c r="H17" i="701"/>
  <c r="F17" i="701"/>
  <c r="D17" i="701"/>
  <c r="H16" i="701"/>
  <c r="F16" i="701"/>
  <c r="D16" i="701"/>
  <c r="H15" i="701"/>
  <c r="F15" i="701"/>
  <c r="D15" i="701"/>
  <c r="H14" i="701"/>
  <c r="F14" i="701"/>
  <c r="D14" i="701"/>
  <c r="H13" i="701"/>
  <c r="F13" i="701"/>
  <c r="D13" i="701"/>
  <c r="H12" i="701"/>
  <c r="F12" i="701"/>
  <c r="D12" i="701"/>
  <c r="H11" i="701"/>
  <c r="F11" i="701"/>
  <c r="D11" i="701"/>
  <c r="H10" i="701"/>
  <c r="F10" i="701"/>
  <c r="D10" i="701"/>
  <c r="H9" i="701"/>
  <c r="F9" i="701"/>
  <c r="D9" i="701"/>
  <c r="D8" i="701"/>
  <c r="B5" i="701"/>
  <c r="F4" i="701"/>
  <c r="A3" i="701"/>
  <c r="D58" i="700"/>
  <c r="H52" i="700"/>
  <c r="D52" i="700"/>
  <c r="H51" i="700"/>
  <c r="D51" i="700"/>
  <c r="H50" i="700"/>
  <c r="D50" i="700"/>
  <c r="H49" i="700"/>
  <c r="D49" i="700"/>
  <c r="H43" i="700"/>
  <c r="F43" i="700"/>
  <c r="D43" i="700"/>
  <c r="H42" i="700"/>
  <c r="F42" i="700"/>
  <c r="D42" i="700"/>
  <c r="H40" i="700"/>
  <c r="F40" i="700"/>
  <c r="D40" i="700"/>
  <c r="H39" i="700"/>
  <c r="F39" i="700"/>
  <c r="D39" i="700"/>
  <c r="H38" i="700"/>
  <c r="I37" i="700"/>
  <c r="F38" i="700"/>
  <c r="D38" i="700"/>
  <c r="H32" i="700"/>
  <c r="F32" i="700"/>
  <c r="H31" i="700"/>
  <c r="F31" i="700"/>
  <c r="H30" i="700"/>
  <c r="F30" i="700"/>
  <c r="H29" i="700"/>
  <c r="F29" i="700"/>
  <c r="H28" i="700"/>
  <c r="F28" i="700"/>
  <c r="H21" i="700"/>
  <c r="F21" i="700"/>
  <c r="D21" i="700"/>
  <c r="H20" i="700"/>
  <c r="F20" i="700"/>
  <c r="D20" i="700"/>
  <c r="H19" i="700"/>
  <c r="F19" i="700"/>
  <c r="D19" i="700"/>
  <c r="H18" i="700"/>
  <c r="F18" i="700"/>
  <c r="D18" i="700"/>
  <c r="H17" i="700"/>
  <c r="F17" i="700"/>
  <c r="D17" i="700"/>
  <c r="H16" i="700"/>
  <c r="F16" i="700"/>
  <c r="D16" i="700"/>
  <c r="H15" i="700"/>
  <c r="F15" i="700"/>
  <c r="D15" i="700"/>
  <c r="H14" i="700"/>
  <c r="F14" i="700"/>
  <c r="D14" i="700"/>
  <c r="H13" i="700"/>
  <c r="F13" i="700"/>
  <c r="D13" i="700"/>
  <c r="H12" i="700"/>
  <c r="F12" i="700"/>
  <c r="D12" i="700"/>
  <c r="H11" i="700"/>
  <c r="F11" i="700"/>
  <c r="D11" i="700"/>
  <c r="H10" i="700"/>
  <c r="F10" i="700"/>
  <c r="D10" i="700"/>
  <c r="D9" i="700"/>
  <c r="D8" i="700"/>
  <c r="B5" i="700"/>
  <c r="F4" i="700"/>
  <c r="A3" i="700"/>
  <c r="D58" i="698"/>
  <c r="H52" i="698"/>
  <c r="D52" i="698"/>
  <c r="H51" i="698"/>
  <c r="D51" i="698"/>
  <c r="H50" i="698"/>
  <c r="D50" i="698"/>
  <c r="H49" i="698"/>
  <c r="D49" i="698"/>
  <c r="H43" i="698"/>
  <c r="F43" i="698"/>
  <c r="D43" i="698"/>
  <c r="H42" i="698"/>
  <c r="I41" i="698"/>
  <c r="F42" i="698"/>
  <c r="D42" i="698"/>
  <c r="H40" i="698"/>
  <c r="F40" i="698"/>
  <c r="D40" i="698"/>
  <c r="H39" i="698"/>
  <c r="F39" i="698"/>
  <c r="D39" i="698"/>
  <c r="H38" i="698"/>
  <c r="F38" i="698"/>
  <c r="D38" i="698"/>
  <c r="H32" i="698"/>
  <c r="F32" i="698"/>
  <c r="H31" i="698"/>
  <c r="F31" i="698"/>
  <c r="H30" i="698"/>
  <c r="F30" i="698"/>
  <c r="H29" i="698"/>
  <c r="F29" i="698"/>
  <c r="H28" i="698"/>
  <c r="F28" i="698"/>
  <c r="H27" i="698"/>
  <c r="F27" i="698"/>
  <c r="H21" i="698"/>
  <c r="F21" i="698"/>
  <c r="D21" i="698"/>
  <c r="H20" i="698"/>
  <c r="F20" i="698"/>
  <c r="D20" i="698"/>
  <c r="H19" i="698"/>
  <c r="F19" i="698"/>
  <c r="D19" i="698"/>
  <c r="H18" i="698"/>
  <c r="F18" i="698"/>
  <c r="D18" i="698"/>
  <c r="H17" i="698"/>
  <c r="F17" i="698"/>
  <c r="D17" i="698"/>
  <c r="H16" i="698"/>
  <c r="F16" i="698"/>
  <c r="D16" i="698"/>
  <c r="H15" i="698"/>
  <c r="F15" i="698"/>
  <c r="D15" i="698"/>
  <c r="H14" i="698"/>
  <c r="F14" i="698"/>
  <c r="D14" i="698"/>
  <c r="H13" i="698"/>
  <c r="F13" i="698"/>
  <c r="D13" i="698"/>
  <c r="H12" i="698"/>
  <c r="F12" i="698"/>
  <c r="D12" i="698"/>
  <c r="H11" i="698"/>
  <c r="F11" i="698"/>
  <c r="D11" i="698"/>
  <c r="H10" i="698"/>
  <c r="F10" i="698"/>
  <c r="D10" i="698"/>
  <c r="H9" i="698"/>
  <c r="F9" i="698"/>
  <c r="D9" i="698"/>
  <c r="D8" i="698"/>
  <c r="B5" i="698"/>
  <c r="F4" i="698"/>
  <c r="A3" i="698"/>
  <c r="D58" i="697"/>
  <c r="H52" i="697"/>
  <c r="D52" i="697"/>
  <c r="H51" i="697"/>
  <c r="D51" i="697"/>
  <c r="H50" i="697"/>
  <c r="D50" i="697"/>
  <c r="H49" i="697"/>
  <c r="D49" i="697"/>
  <c r="H43" i="697"/>
  <c r="F43" i="697"/>
  <c r="D43" i="697"/>
  <c r="H42" i="697"/>
  <c r="I41" i="697"/>
  <c r="F42" i="697"/>
  <c r="D42" i="697"/>
  <c r="H40" i="697"/>
  <c r="F40" i="697"/>
  <c r="D40" i="697"/>
  <c r="H39" i="697"/>
  <c r="F39" i="697"/>
  <c r="D39" i="697"/>
  <c r="H38" i="697"/>
  <c r="F38" i="697"/>
  <c r="D38" i="697"/>
  <c r="H32" i="697"/>
  <c r="F32" i="697"/>
  <c r="H31" i="697"/>
  <c r="F31" i="697"/>
  <c r="H30" i="697"/>
  <c r="F30" i="697"/>
  <c r="H29" i="697"/>
  <c r="F29" i="697"/>
  <c r="H28" i="697"/>
  <c r="F28" i="697"/>
  <c r="H27" i="697"/>
  <c r="F27" i="697"/>
  <c r="H21" i="697"/>
  <c r="F21" i="697"/>
  <c r="D21" i="697"/>
  <c r="H20" i="697"/>
  <c r="F20" i="697"/>
  <c r="D20" i="697"/>
  <c r="H19" i="697"/>
  <c r="F19" i="697"/>
  <c r="D19" i="697"/>
  <c r="H18" i="697"/>
  <c r="F18" i="697"/>
  <c r="D18" i="697"/>
  <c r="H17" i="697"/>
  <c r="F17" i="697"/>
  <c r="D17" i="697"/>
  <c r="H16" i="697"/>
  <c r="F16" i="697"/>
  <c r="D16" i="697"/>
  <c r="H15" i="697"/>
  <c r="F15" i="697"/>
  <c r="D15" i="697"/>
  <c r="H14" i="697"/>
  <c r="F14" i="697"/>
  <c r="D14" i="697"/>
  <c r="H13" i="697"/>
  <c r="F13" i="697"/>
  <c r="D13" i="697"/>
  <c r="H12" i="697"/>
  <c r="F12" i="697"/>
  <c r="D12" i="697"/>
  <c r="H11" i="697"/>
  <c r="F11" i="697"/>
  <c r="D11" i="697"/>
  <c r="H10" i="697"/>
  <c r="F10" i="697"/>
  <c r="D10" i="697"/>
  <c r="H9" i="697"/>
  <c r="F9" i="697"/>
  <c r="D9" i="697"/>
  <c r="D8" i="697"/>
  <c r="B5" i="697"/>
  <c r="I6" i="697"/>
  <c r="F4" i="697"/>
  <c r="A3" i="697"/>
  <c r="D58" i="696"/>
  <c r="H52" i="696"/>
  <c r="D52" i="696"/>
  <c r="H51" i="696"/>
  <c r="D51" i="696"/>
  <c r="H50" i="696"/>
  <c r="D50" i="696"/>
  <c r="H49" i="696"/>
  <c r="D49" i="696"/>
  <c r="H43" i="696"/>
  <c r="F43" i="696"/>
  <c r="D43" i="696"/>
  <c r="H42" i="696"/>
  <c r="I41" i="696"/>
  <c r="F42" i="696"/>
  <c r="D42" i="696"/>
  <c r="H40" i="696"/>
  <c r="F40" i="696"/>
  <c r="D40" i="696"/>
  <c r="H39" i="696"/>
  <c r="F39" i="696"/>
  <c r="D39" i="696"/>
  <c r="H38" i="696"/>
  <c r="F38" i="696"/>
  <c r="D38" i="696"/>
  <c r="H32" i="696"/>
  <c r="F32" i="696"/>
  <c r="H31" i="696"/>
  <c r="F31" i="696"/>
  <c r="H30" i="696"/>
  <c r="F30" i="696"/>
  <c r="H29" i="696"/>
  <c r="F29" i="696"/>
  <c r="H28" i="696"/>
  <c r="F28" i="696"/>
  <c r="H27" i="696"/>
  <c r="F27" i="696"/>
  <c r="H21" i="696"/>
  <c r="F21" i="696"/>
  <c r="D21" i="696"/>
  <c r="H20" i="696"/>
  <c r="F20" i="696"/>
  <c r="D20" i="696"/>
  <c r="H19" i="696"/>
  <c r="F19" i="696"/>
  <c r="D19" i="696"/>
  <c r="H18" i="696"/>
  <c r="F18" i="696"/>
  <c r="D18" i="696"/>
  <c r="H17" i="696"/>
  <c r="F17" i="696"/>
  <c r="D17" i="696"/>
  <c r="H16" i="696"/>
  <c r="F16" i="696"/>
  <c r="D16" i="696"/>
  <c r="H15" i="696"/>
  <c r="F15" i="696"/>
  <c r="D15" i="696"/>
  <c r="H14" i="696"/>
  <c r="F14" i="696"/>
  <c r="D14" i="696"/>
  <c r="H13" i="696"/>
  <c r="F13" i="696"/>
  <c r="D13" i="696"/>
  <c r="H12" i="696"/>
  <c r="F12" i="696"/>
  <c r="D12" i="696"/>
  <c r="H11" i="696"/>
  <c r="F11" i="696"/>
  <c r="D11" i="696"/>
  <c r="H10" i="696"/>
  <c r="F10" i="696"/>
  <c r="D10" i="696"/>
  <c r="H9" i="696"/>
  <c r="F9" i="696"/>
  <c r="D9" i="696"/>
  <c r="I37" i="697"/>
  <c r="I37" i="704"/>
  <c r="I37" i="698"/>
  <c r="I44" i="698"/>
  <c r="I41" i="701"/>
  <c r="C5" i="697"/>
  <c r="I37" i="696"/>
  <c r="I41" i="700"/>
  <c r="C5" i="703"/>
  <c r="C5" i="704"/>
  <c r="C5" i="705"/>
  <c r="D8" i="696"/>
  <c r="B5" i="696"/>
  <c r="I6" i="696"/>
  <c r="F4" i="696"/>
  <c r="A3" i="696"/>
  <c r="D58" i="695"/>
  <c r="H52" i="695"/>
  <c r="D52" i="695"/>
  <c r="H51" i="695"/>
  <c r="D51" i="695"/>
  <c r="H50" i="695"/>
  <c r="D50" i="695"/>
  <c r="H49" i="695"/>
  <c r="D49" i="695"/>
  <c r="H43" i="695"/>
  <c r="H42" i="695"/>
  <c r="I41" i="695"/>
  <c r="F43" i="695"/>
  <c r="D43" i="695"/>
  <c r="F42" i="695"/>
  <c r="D42" i="695"/>
  <c r="H40" i="695"/>
  <c r="F40" i="695"/>
  <c r="D40" i="695"/>
  <c r="H39" i="695"/>
  <c r="F39" i="695"/>
  <c r="D39" i="695"/>
  <c r="H38" i="695"/>
  <c r="F38" i="695"/>
  <c r="D38" i="695"/>
  <c r="H32" i="695"/>
  <c r="F32" i="695"/>
  <c r="H31" i="695"/>
  <c r="F31" i="695"/>
  <c r="H30" i="695"/>
  <c r="F30" i="695"/>
  <c r="H29" i="695"/>
  <c r="F29" i="695"/>
  <c r="H28" i="695"/>
  <c r="F28" i="695"/>
  <c r="H27" i="695"/>
  <c r="F27" i="695"/>
  <c r="H21" i="695"/>
  <c r="F21" i="695"/>
  <c r="D21" i="695"/>
  <c r="H20" i="695"/>
  <c r="F20" i="695"/>
  <c r="D20" i="695"/>
  <c r="H19" i="695"/>
  <c r="F19" i="695"/>
  <c r="D19" i="695"/>
  <c r="H18" i="695"/>
  <c r="F18" i="695"/>
  <c r="D18" i="695"/>
  <c r="H17" i="695"/>
  <c r="F17" i="695"/>
  <c r="D17" i="695"/>
  <c r="H16" i="695"/>
  <c r="F16" i="695"/>
  <c r="D16" i="695"/>
  <c r="H15" i="695"/>
  <c r="F15" i="695"/>
  <c r="D15" i="695"/>
  <c r="H14" i="695"/>
  <c r="F14" i="695"/>
  <c r="D14" i="695"/>
  <c r="H13" i="695"/>
  <c r="F13" i="695"/>
  <c r="D13" i="695"/>
  <c r="H12" i="695"/>
  <c r="F12" i="695"/>
  <c r="D12" i="695"/>
  <c r="H11" i="695"/>
  <c r="F11" i="695"/>
  <c r="D11" i="695"/>
  <c r="H10" i="695"/>
  <c r="F10" i="695"/>
  <c r="D10" i="695"/>
  <c r="H9" i="695"/>
  <c r="F9" i="695"/>
  <c r="D9" i="695"/>
  <c r="D8" i="695"/>
  <c r="B5" i="695"/>
  <c r="C5" i="695"/>
  <c r="I6" i="695"/>
  <c r="F4" i="695"/>
  <c r="A3" i="695"/>
  <c r="Z459" i="720"/>
  <c r="Z459" i="721"/>
  <c r="V459" i="720"/>
  <c r="V459" i="721"/>
  <c r="I37" i="695"/>
  <c r="I44" i="695"/>
  <c r="C5" i="696"/>
  <c r="AB459" i="720"/>
  <c r="AB456" i="720"/>
  <c r="AB459" i="721"/>
  <c r="AB456" i="721"/>
  <c r="AB451" i="720"/>
  <c r="AB451" i="721"/>
  <c r="D58" i="691"/>
  <c r="H52" i="691"/>
  <c r="D52" i="691"/>
  <c r="H51" i="691"/>
  <c r="D51" i="691"/>
  <c r="H50" i="691"/>
  <c r="D50" i="691"/>
  <c r="H49" i="691"/>
  <c r="D49" i="691"/>
  <c r="H43" i="691"/>
  <c r="F43" i="691"/>
  <c r="D43" i="691"/>
  <c r="H42" i="691"/>
  <c r="I41" i="691"/>
  <c r="F42" i="691"/>
  <c r="D42" i="691"/>
  <c r="H40" i="691"/>
  <c r="F40" i="691"/>
  <c r="D40" i="691"/>
  <c r="H39" i="691"/>
  <c r="F39" i="691"/>
  <c r="D39" i="691"/>
  <c r="H38" i="691"/>
  <c r="F38" i="691"/>
  <c r="D38" i="691"/>
  <c r="H32" i="691"/>
  <c r="F32" i="691"/>
  <c r="H31" i="691"/>
  <c r="F31" i="691"/>
  <c r="H30" i="691"/>
  <c r="F30" i="691"/>
  <c r="H29" i="691"/>
  <c r="F29" i="691"/>
  <c r="H28" i="691"/>
  <c r="F28" i="691"/>
  <c r="H27" i="691"/>
  <c r="F27" i="691"/>
  <c r="H21" i="691"/>
  <c r="F21" i="691"/>
  <c r="D21" i="691"/>
  <c r="H20" i="691"/>
  <c r="F20" i="691"/>
  <c r="D20" i="691"/>
  <c r="H19" i="691"/>
  <c r="F19" i="691"/>
  <c r="D19" i="691"/>
  <c r="H18" i="691"/>
  <c r="F18" i="691"/>
  <c r="D18" i="691"/>
  <c r="H17" i="691"/>
  <c r="F17" i="691"/>
  <c r="D17" i="691"/>
  <c r="H16" i="691"/>
  <c r="F16" i="691"/>
  <c r="D16" i="691"/>
  <c r="H15" i="691"/>
  <c r="F15" i="691"/>
  <c r="D15" i="691"/>
  <c r="D14" i="691"/>
  <c r="D13" i="691"/>
  <c r="D12" i="691"/>
  <c r="I37" i="691"/>
  <c r="I44" i="691"/>
  <c r="AB448" i="721"/>
  <c r="D11" i="691"/>
  <c r="D10" i="691"/>
  <c r="D9" i="691"/>
  <c r="AB450" i="721"/>
  <c r="AB449" i="721"/>
  <c r="AB448" i="720"/>
  <c r="AB449" i="720"/>
  <c r="AB450" i="720"/>
  <c r="D8" i="691"/>
  <c r="B5" i="691"/>
  <c r="C5" i="691"/>
  <c r="F4" i="691"/>
  <c r="A3" i="691"/>
  <c r="D58" i="690"/>
  <c r="H52" i="690"/>
  <c r="D52" i="690"/>
  <c r="H51" i="690"/>
  <c r="D51" i="690"/>
  <c r="H50" i="690"/>
  <c r="D50" i="690"/>
  <c r="H49" i="690"/>
  <c r="D49" i="690"/>
  <c r="H43" i="690"/>
  <c r="F43" i="690"/>
  <c r="D43" i="690"/>
  <c r="H42" i="690"/>
  <c r="F42" i="690"/>
  <c r="D42" i="690"/>
  <c r="H40" i="690"/>
  <c r="H38" i="690"/>
  <c r="H39" i="690"/>
  <c r="I37" i="690"/>
  <c r="F40" i="690"/>
  <c r="D40" i="690"/>
  <c r="F39" i="690"/>
  <c r="D39" i="690"/>
  <c r="F38" i="690"/>
  <c r="D38" i="690"/>
  <c r="H32" i="690"/>
  <c r="F32" i="690"/>
  <c r="H31" i="690"/>
  <c r="F31" i="690"/>
  <c r="H30" i="690"/>
  <c r="F30" i="690"/>
  <c r="H29" i="690"/>
  <c r="F29" i="690"/>
  <c r="H28" i="690"/>
  <c r="F28" i="690"/>
  <c r="H27" i="690"/>
  <c r="F27" i="690"/>
  <c r="H21" i="690"/>
  <c r="F21" i="690"/>
  <c r="D21" i="690"/>
  <c r="H20" i="690"/>
  <c r="F20" i="690"/>
  <c r="D20" i="690"/>
  <c r="H19" i="690"/>
  <c r="F19" i="690"/>
  <c r="D19" i="690"/>
  <c r="H18" i="690"/>
  <c r="F18" i="690"/>
  <c r="D18" i="690"/>
  <c r="H17" i="690"/>
  <c r="F17" i="690"/>
  <c r="D17" i="690"/>
  <c r="H16" i="690"/>
  <c r="F16" i="690"/>
  <c r="D16" i="690"/>
  <c r="H15" i="690"/>
  <c r="F15" i="690"/>
  <c r="D15" i="690"/>
  <c r="H14" i="690"/>
  <c r="F14" i="690"/>
  <c r="D14" i="690"/>
  <c r="H13" i="690"/>
  <c r="F13" i="690"/>
  <c r="D13" i="690"/>
  <c r="D12" i="690"/>
  <c r="D11" i="690"/>
  <c r="D10" i="690"/>
  <c r="D9" i="690"/>
  <c r="D8" i="690"/>
  <c r="B5" i="690"/>
  <c r="I6" i="690"/>
  <c r="F4" i="690"/>
  <c r="A3" i="690"/>
  <c r="D58" i="689"/>
  <c r="H52" i="689"/>
  <c r="D52" i="689"/>
  <c r="H51" i="689"/>
  <c r="D51" i="689"/>
  <c r="H50" i="689"/>
  <c r="D50" i="689"/>
  <c r="H49" i="689"/>
  <c r="D49" i="689"/>
  <c r="H43" i="689"/>
  <c r="F43" i="689"/>
  <c r="D43" i="689"/>
  <c r="H42" i="689"/>
  <c r="F42" i="689"/>
  <c r="D42" i="689"/>
  <c r="H40" i="689"/>
  <c r="H38" i="689"/>
  <c r="H39" i="689"/>
  <c r="I37" i="689"/>
  <c r="F40" i="689"/>
  <c r="D40" i="689"/>
  <c r="F39" i="689"/>
  <c r="D39" i="689"/>
  <c r="F38" i="689"/>
  <c r="D38" i="689"/>
  <c r="H32" i="689"/>
  <c r="F32" i="689"/>
  <c r="H31" i="689"/>
  <c r="F31" i="689"/>
  <c r="H30" i="689"/>
  <c r="F30" i="689"/>
  <c r="H29" i="689"/>
  <c r="F29" i="689"/>
  <c r="H28" i="689"/>
  <c r="F28" i="689"/>
  <c r="H27" i="689"/>
  <c r="F27" i="689"/>
  <c r="H21" i="689"/>
  <c r="F21" i="689"/>
  <c r="D21" i="689"/>
  <c r="H20" i="689"/>
  <c r="F20" i="689"/>
  <c r="D20" i="689"/>
  <c r="H19" i="689"/>
  <c r="F19" i="689"/>
  <c r="D19" i="689"/>
  <c r="H18" i="689"/>
  <c r="F18" i="689"/>
  <c r="D18" i="689"/>
  <c r="H17" i="689"/>
  <c r="F17" i="689"/>
  <c r="D17" i="689"/>
  <c r="H16" i="689"/>
  <c r="F16" i="689"/>
  <c r="D16" i="689"/>
  <c r="H15" i="689"/>
  <c r="F15" i="689"/>
  <c r="D15" i="689"/>
  <c r="H14" i="689"/>
  <c r="F14" i="689"/>
  <c r="D14" i="689"/>
  <c r="H13" i="689"/>
  <c r="F13" i="689"/>
  <c r="D13" i="689"/>
  <c r="H12" i="689"/>
  <c r="F12" i="689"/>
  <c r="D12" i="689"/>
  <c r="D11" i="689"/>
  <c r="D10" i="689"/>
  <c r="D9" i="689"/>
  <c r="D8" i="689"/>
  <c r="B5" i="689"/>
  <c r="I6" i="689"/>
  <c r="F4" i="689"/>
  <c r="A3" i="689"/>
  <c r="D58" i="688"/>
  <c r="H52" i="688"/>
  <c r="D52" i="688"/>
  <c r="H51" i="688"/>
  <c r="D51" i="688"/>
  <c r="H50" i="688"/>
  <c r="D50" i="688"/>
  <c r="H49" i="688"/>
  <c r="D49" i="688"/>
  <c r="H43" i="688"/>
  <c r="H42" i="688"/>
  <c r="I41" i="688"/>
  <c r="F43" i="688"/>
  <c r="D43" i="688"/>
  <c r="F42" i="688"/>
  <c r="D42" i="688"/>
  <c r="H40" i="688"/>
  <c r="F40" i="688"/>
  <c r="D40" i="688"/>
  <c r="H39" i="688"/>
  <c r="F39" i="688"/>
  <c r="D39" i="688"/>
  <c r="H38" i="688"/>
  <c r="F38" i="688"/>
  <c r="D38" i="688"/>
  <c r="H32" i="688"/>
  <c r="F32" i="688"/>
  <c r="H31" i="688"/>
  <c r="F31" i="688"/>
  <c r="H30" i="688"/>
  <c r="F30" i="688"/>
  <c r="H29" i="688"/>
  <c r="F29" i="688"/>
  <c r="H28" i="688"/>
  <c r="F28" i="688"/>
  <c r="H27" i="688"/>
  <c r="F27" i="688"/>
  <c r="H21" i="688"/>
  <c r="F21" i="688"/>
  <c r="D21" i="688"/>
  <c r="H20" i="688"/>
  <c r="F20" i="688"/>
  <c r="D20" i="688"/>
  <c r="H19" i="688"/>
  <c r="F19" i="688"/>
  <c r="D19" i="688"/>
  <c r="H18" i="688"/>
  <c r="F18" i="688"/>
  <c r="D18" i="688"/>
  <c r="H17" i="688"/>
  <c r="F17" i="688"/>
  <c r="D17" i="688"/>
  <c r="H16" i="688"/>
  <c r="F16" i="688"/>
  <c r="D16" i="688"/>
  <c r="H15" i="688"/>
  <c r="F15" i="688"/>
  <c r="D15" i="688"/>
  <c r="H14" i="688"/>
  <c r="F14" i="688"/>
  <c r="D14" i="688"/>
  <c r="H13" i="688"/>
  <c r="F13" i="688"/>
  <c r="D13" i="688"/>
  <c r="H12" i="688"/>
  <c r="F12" i="688"/>
  <c r="D12" i="688"/>
  <c r="H11" i="688"/>
  <c r="F11" i="688"/>
  <c r="D11" i="688"/>
  <c r="H10" i="688"/>
  <c r="F10" i="688"/>
  <c r="D10" i="688"/>
  <c r="H9" i="688"/>
  <c r="F9" i="688"/>
  <c r="D9" i="688"/>
  <c r="D8" i="688"/>
  <c r="B5" i="688"/>
  <c r="I6" i="688"/>
  <c r="F4" i="688"/>
  <c r="A3" i="688"/>
  <c r="D58" i="687"/>
  <c r="H52" i="687"/>
  <c r="D52" i="687"/>
  <c r="H51" i="687"/>
  <c r="D51" i="687"/>
  <c r="H50" i="687"/>
  <c r="D50" i="687"/>
  <c r="H49" i="687"/>
  <c r="D49" i="687"/>
  <c r="H43" i="687"/>
  <c r="H42" i="687"/>
  <c r="I41" i="687"/>
  <c r="F43" i="687"/>
  <c r="D43" i="687"/>
  <c r="F42" i="687"/>
  <c r="D42" i="687"/>
  <c r="H40" i="687"/>
  <c r="F40" i="687"/>
  <c r="D40" i="687"/>
  <c r="H39" i="687"/>
  <c r="F39" i="687"/>
  <c r="D39" i="687"/>
  <c r="H38" i="687"/>
  <c r="I37" i="687"/>
  <c r="F38" i="687"/>
  <c r="D38" i="687"/>
  <c r="H32" i="687"/>
  <c r="F32" i="687"/>
  <c r="H31" i="687"/>
  <c r="F31" i="687"/>
  <c r="H30" i="687"/>
  <c r="F30" i="687"/>
  <c r="H29" i="687"/>
  <c r="F29" i="687"/>
  <c r="H28" i="687"/>
  <c r="F28" i="687"/>
  <c r="H27" i="687"/>
  <c r="F27" i="687"/>
  <c r="H21" i="687"/>
  <c r="F21" i="687"/>
  <c r="D21" i="687"/>
  <c r="H20" i="687"/>
  <c r="F20" i="687"/>
  <c r="D20" i="687"/>
  <c r="H19" i="687"/>
  <c r="F19" i="687"/>
  <c r="D19" i="687"/>
  <c r="H18" i="687"/>
  <c r="F18" i="687"/>
  <c r="D18" i="687"/>
  <c r="H17" i="687"/>
  <c r="F17" i="687"/>
  <c r="D17" i="687"/>
  <c r="H16" i="687"/>
  <c r="F16" i="687"/>
  <c r="D16" i="687"/>
  <c r="H15" i="687"/>
  <c r="F15" i="687"/>
  <c r="D15" i="687"/>
  <c r="H14" i="687"/>
  <c r="F14" i="687"/>
  <c r="D14" i="687"/>
  <c r="H13" i="687"/>
  <c r="F13" i="687"/>
  <c r="D13" i="687"/>
  <c r="H12" i="687"/>
  <c r="F12" i="687"/>
  <c r="D12" i="687"/>
  <c r="H11" i="687"/>
  <c r="F11" i="687"/>
  <c r="D11" i="687"/>
  <c r="H10" i="687"/>
  <c r="F10" i="687"/>
  <c r="D10" i="687"/>
  <c r="H9" i="687"/>
  <c r="F9" i="687"/>
  <c r="D9" i="687"/>
  <c r="D8" i="687"/>
  <c r="B5" i="687"/>
  <c r="I6" i="687"/>
  <c r="F4" i="687"/>
  <c r="A3" i="687"/>
  <c r="D58" i="685"/>
  <c r="H52" i="685"/>
  <c r="D52" i="685"/>
  <c r="H51" i="685"/>
  <c r="D51" i="685"/>
  <c r="H50" i="685"/>
  <c r="D50" i="685"/>
  <c r="H49" i="685"/>
  <c r="D49" i="685"/>
  <c r="H43" i="685"/>
  <c r="H42" i="685"/>
  <c r="I41" i="685"/>
  <c r="F43" i="685"/>
  <c r="D43" i="685"/>
  <c r="F42" i="685"/>
  <c r="D42" i="685"/>
  <c r="H40" i="685"/>
  <c r="F40" i="685"/>
  <c r="D40" i="685"/>
  <c r="H39" i="685"/>
  <c r="F39" i="685"/>
  <c r="D39" i="685"/>
  <c r="H38" i="685"/>
  <c r="I37" i="685"/>
  <c r="I44" i="685"/>
  <c r="F38" i="685"/>
  <c r="D38" i="685"/>
  <c r="H32" i="685"/>
  <c r="F32" i="685"/>
  <c r="H31" i="685"/>
  <c r="F31" i="685"/>
  <c r="H30" i="685"/>
  <c r="F30" i="685"/>
  <c r="H29" i="685"/>
  <c r="F29" i="685"/>
  <c r="H28" i="685"/>
  <c r="F28" i="685"/>
  <c r="H27" i="685"/>
  <c r="F27" i="685"/>
  <c r="H21" i="685"/>
  <c r="F21" i="685"/>
  <c r="D21" i="685"/>
  <c r="H20" i="685"/>
  <c r="F20" i="685"/>
  <c r="D20" i="685"/>
  <c r="H19" i="685"/>
  <c r="F19" i="685"/>
  <c r="D19" i="685"/>
  <c r="H18" i="685"/>
  <c r="F18" i="685"/>
  <c r="D18" i="685"/>
  <c r="H17" i="685"/>
  <c r="F17" i="685"/>
  <c r="D17" i="685"/>
  <c r="H16" i="685"/>
  <c r="F16" i="685"/>
  <c r="D16" i="685"/>
  <c r="H15" i="685"/>
  <c r="F15" i="685"/>
  <c r="D15" i="685"/>
  <c r="H14" i="685"/>
  <c r="F14" i="685"/>
  <c r="D14" i="685"/>
  <c r="H13" i="685"/>
  <c r="F13" i="685"/>
  <c r="D13" i="685"/>
  <c r="H12" i="685"/>
  <c r="F12" i="685"/>
  <c r="D12" i="685"/>
  <c r="H11" i="685"/>
  <c r="F11" i="685"/>
  <c r="D11" i="685"/>
  <c r="H10" i="685"/>
  <c r="F10" i="685"/>
  <c r="D10" i="685"/>
  <c r="H9" i="685"/>
  <c r="F9" i="685"/>
  <c r="D9" i="685"/>
  <c r="D8" i="685"/>
  <c r="B5" i="685"/>
  <c r="I6" i="685"/>
  <c r="F4" i="685"/>
  <c r="A3" i="685"/>
  <c r="D58" i="684"/>
  <c r="H52" i="684"/>
  <c r="D52" i="684"/>
  <c r="H51" i="684"/>
  <c r="D51" i="684"/>
  <c r="H50" i="684"/>
  <c r="D50" i="684"/>
  <c r="H49" i="684"/>
  <c r="D49" i="684"/>
  <c r="H43" i="684"/>
  <c r="H42" i="684"/>
  <c r="I41" i="684"/>
  <c r="F43" i="684"/>
  <c r="D43" i="684"/>
  <c r="F42" i="684"/>
  <c r="D42" i="684"/>
  <c r="H40" i="684"/>
  <c r="F40" i="684"/>
  <c r="D40" i="684"/>
  <c r="H39" i="684"/>
  <c r="F39" i="684"/>
  <c r="D39" i="684"/>
  <c r="H38" i="684"/>
  <c r="F38" i="684"/>
  <c r="D38" i="684"/>
  <c r="H32" i="684"/>
  <c r="F32" i="684"/>
  <c r="H31" i="684"/>
  <c r="F31" i="684"/>
  <c r="H30" i="684"/>
  <c r="F30" i="684"/>
  <c r="H29" i="684"/>
  <c r="F29" i="684"/>
  <c r="H28" i="684"/>
  <c r="F28" i="684"/>
  <c r="H21" i="684"/>
  <c r="F21" i="684"/>
  <c r="D21" i="684"/>
  <c r="H20" i="684"/>
  <c r="F20" i="684"/>
  <c r="D20" i="684"/>
  <c r="H19" i="684"/>
  <c r="F19" i="684"/>
  <c r="D19" i="684"/>
  <c r="H18" i="684"/>
  <c r="F18" i="684"/>
  <c r="D18" i="684"/>
  <c r="H17" i="684"/>
  <c r="F17" i="684"/>
  <c r="D17" i="684"/>
  <c r="H16" i="684"/>
  <c r="F16" i="684"/>
  <c r="D16" i="684"/>
  <c r="H15" i="684"/>
  <c r="F15" i="684"/>
  <c r="D15" i="684"/>
  <c r="H14" i="684"/>
  <c r="F14" i="684"/>
  <c r="D14" i="684"/>
  <c r="H13" i="684"/>
  <c r="F13" i="684"/>
  <c r="D13" i="684"/>
  <c r="H12" i="684"/>
  <c r="F12" i="684"/>
  <c r="D12" i="684"/>
  <c r="H11" i="684"/>
  <c r="F11" i="684"/>
  <c r="D11" i="684"/>
  <c r="H10" i="684"/>
  <c r="F10" i="684"/>
  <c r="D10" i="684"/>
  <c r="H9" i="684"/>
  <c r="F9" i="684"/>
  <c r="D9" i="684"/>
  <c r="D8" i="684"/>
  <c r="B5" i="684"/>
  <c r="C5" i="684"/>
  <c r="F4" i="684"/>
  <c r="A3" i="684"/>
  <c r="D58" i="683"/>
  <c r="H52" i="683"/>
  <c r="D52" i="683"/>
  <c r="H51" i="683"/>
  <c r="D51" i="683"/>
  <c r="H50" i="683"/>
  <c r="D50" i="683"/>
  <c r="H49" i="683"/>
  <c r="D49" i="683"/>
  <c r="H43" i="683"/>
  <c r="F43" i="683"/>
  <c r="D43" i="683"/>
  <c r="H42" i="683"/>
  <c r="F42" i="683"/>
  <c r="D42" i="683"/>
  <c r="H40" i="683"/>
  <c r="H38" i="683"/>
  <c r="H39" i="683"/>
  <c r="I37" i="683"/>
  <c r="I41" i="683"/>
  <c r="I44" i="683"/>
  <c r="AB440" i="721"/>
  <c r="F40" i="683"/>
  <c r="D40" i="683"/>
  <c r="F39" i="683"/>
  <c r="D39" i="683"/>
  <c r="F38" i="683"/>
  <c r="D38" i="683"/>
  <c r="H32" i="683"/>
  <c r="F32" i="683"/>
  <c r="H31" i="683"/>
  <c r="F31" i="683"/>
  <c r="H30" i="683"/>
  <c r="F30" i="683"/>
  <c r="H29" i="683"/>
  <c r="F29" i="683"/>
  <c r="H28" i="683"/>
  <c r="F28" i="683"/>
  <c r="H21" i="683"/>
  <c r="F21" i="683"/>
  <c r="D21" i="683"/>
  <c r="H20" i="683"/>
  <c r="F20" i="683"/>
  <c r="D20" i="683"/>
  <c r="H19" i="683"/>
  <c r="F19" i="683"/>
  <c r="D19" i="683"/>
  <c r="H18" i="683"/>
  <c r="F18" i="683"/>
  <c r="D18" i="683"/>
  <c r="H17" i="683"/>
  <c r="F17" i="683"/>
  <c r="D17" i="683"/>
  <c r="H16" i="683"/>
  <c r="F16" i="683"/>
  <c r="D16" i="683"/>
  <c r="H15" i="683"/>
  <c r="F15" i="683"/>
  <c r="D15" i="683"/>
  <c r="H14" i="683"/>
  <c r="F14" i="683"/>
  <c r="D14" i="683"/>
  <c r="H13" i="683"/>
  <c r="F13" i="683"/>
  <c r="D13" i="683"/>
  <c r="H12" i="683"/>
  <c r="F12" i="683"/>
  <c r="D12" i="683"/>
  <c r="H11" i="683"/>
  <c r="F11" i="683"/>
  <c r="D11" i="683"/>
  <c r="H10" i="683"/>
  <c r="F10" i="683"/>
  <c r="D10" i="683"/>
  <c r="H9" i="683"/>
  <c r="F9" i="683"/>
  <c r="D9" i="683"/>
  <c r="D8" i="683"/>
  <c r="B5" i="683"/>
  <c r="I6" i="683"/>
  <c r="F4" i="683"/>
  <c r="A3" i="683"/>
  <c r="D58" i="677"/>
  <c r="H52" i="677"/>
  <c r="D52" i="677"/>
  <c r="H51" i="677"/>
  <c r="D51" i="677"/>
  <c r="H50" i="677"/>
  <c r="D50" i="677"/>
  <c r="H49" i="677"/>
  <c r="D49" i="677"/>
  <c r="H43" i="677"/>
  <c r="H42" i="677"/>
  <c r="I41" i="677"/>
  <c r="F43" i="677"/>
  <c r="D43" i="677"/>
  <c r="F42" i="677"/>
  <c r="D42" i="677"/>
  <c r="H40" i="677"/>
  <c r="F40" i="677"/>
  <c r="D40" i="677"/>
  <c r="H39" i="677"/>
  <c r="F39" i="677"/>
  <c r="D39" i="677"/>
  <c r="H38" i="677"/>
  <c r="I37" i="677"/>
  <c r="F38" i="677"/>
  <c r="D38" i="677"/>
  <c r="H32" i="677"/>
  <c r="F32" i="677"/>
  <c r="H31" i="677"/>
  <c r="F31" i="677"/>
  <c r="H30" i="677"/>
  <c r="F30" i="677"/>
  <c r="H29" i="677"/>
  <c r="F29" i="677"/>
  <c r="H28" i="677"/>
  <c r="F28" i="677"/>
  <c r="H21" i="677"/>
  <c r="F21" i="677"/>
  <c r="D21" i="677"/>
  <c r="H20" i="677"/>
  <c r="F20" i="677"/>
  <c r="D20" i="677"/>
  <c r="H19" i="677"/>
  <c r="F19" i="677"/>
  <c r="D19" i="677"/>
  <c r="H18" i="677"/>
  <c r="F18" i="677"/>
  <c r="D18" i="677"/>
  <c r="H17" i="677"/>
  <c r="F17" i="677"/>
  <c r="D17" i="677"/>
  <c r="H16" i="677"/>
  <c r="F16" i="677"/>
  <c r="D16" i="677"/>
  <c r="H15" i="677"/>
  <c r="F15" i="677"/>
  <c r="D15" i="677"/>
  <c r="H14" i="677"/>
  <c r="F14" i="677"/>
  <c r="D14" i="677"/>
  <c r="H13" i="677"/>
  <c r="F13" i="677"/>
  <c r="D13" i="677"/>
  <c r="H12" i="677"/>
  <c r="F12" i="677"/>
  <c r="D12" i="677"/>
  <c r="H11" i="677"/>
  <c r="F11" i="677"/>
  <c r="D11" i="677"/>
  <c r="H10" i="677"/>
  <c r="F10" i="677"/>
  <c r="D10" i="677"/>
  <c r="H9" i="677"/>
  <c r="F9" i="677"/>
  <c r="D9" i="677"/>
  <c r="D8" i="677"/>
  <c r="B5" i="677"/>
  <c r="I6" i="677"/>
  <c r="F4" i="677"/>
  <c r="A3" i="677"/>
  <c r="I41" i="690"/>
  <c r="I37" i="688"/>
  <c r="I37" i="684"/>
  <c r="I44" i="684"/>
  <c r="C5" i="688"/>
  <c r="C5" i="677"/>
  <c r="C5" i="683"/>
  <c r="C5" i="687"/>
  <c r="C5" i="689"/>
  <c r="I41" i="689"/>
  <c r="C5" i="690"/>
  <c r="C5" i="685"/>
  <c r="I6" i="691"/>
  <c r="I6" i="684"/>
  <c r="D58" i="674"/>
  <c r="H52" i="674"/>
  <c r="D52" i="674"/>
  <c r="H51" i="674"/>
  <c r="D51" i="674"/>
  <c r="H50" i="674"/>
  <c r="D50" i="674"/>
  <c r="H49" i="674"/>
  <c r="D49" i="674"/>
  <c r="H43" i="674"/>
  <c r="F43" i="674"/>
  <c r="D43" i="674"/>
  <c r="H42" i="674"/>
  <c r="F42" i="674"/>
  <c r="D42" i="674"/>
  <c r="H40" i="674"/>
  <c r="F40" i="674"/>
  <c r="D40" i="674"/>
  <c r="H39" i="674"/>
  <c r="H38" i="674"/>
  <c r="I37" i="674"/>
  <c r="F39" i="674"/>
  <c r="D39" i="674"/>
  <c r="F38" i="674"/>
  <c r="D38" i="674"/>
  <c r="H32" i="674"/>
  <c r="F32" i="674"/>
  <c r="H31" i="674"/>
  <c r="F31" i="674"/>
  <c r="H30" i="674"/>
  <c r="F30" i="674"/>
  <c r="H29" i="674"/>
  <c r="F29" i="674"/>
  <c r="H28" i="674"/>
  <c r="F28" i="674"/>
  <c r="H27" i="674"/>
  <c r="F27" i="674"/>
  <c r="H21" i="674"/>
  <c r="F21" i="674"/>
  <c r="D21" i="674"/>
  <c r="H20" i="674"/>
  <c r="F20" i="674"/>
  <c r="D20" i="674"/>
  <c r="H19" i="674"/>
  <c r="F19" i="674"/>
  <c r="D19" i="674"/>
  <c r="H18" i="674"/>
  <c r="F18" i="674"/>
  <c r="D18" i="674"/>
  <c r="H17" i="674"/>
  <c r="F17" i="674"/>
  <c r="D17" i="674"/>
  <c r="H16" i="674"/>
  <c r="F16" i="674"/>
  <c r="D16" i="674"/>
  <c r="H15" i="674"/>
  <c r="F15" i="674"/>
  <c r="D15" i="674"/>
  <c r="H14" i="674"/>
  <c r="F14" i="674"/>
  <c r="D14" i="674"/>
  <c r="H13" i="674"/>
  <c r="F13" i="674"/>
  <c r="D13" i="674"/>
  <c r="H12" i="674"/>
  <c r="F12" i="674"/>
  <c r="D12" i="674"/>
  <c r="H11" i="674"/>
  <c r="F11" i="674"/>
  <c r="D11" i="674"/>
  <c r="D10" i="674"/>
  <c r="I44" i="688"/>
  <c r="AB445" i="720"/>
  <c r="I44" i="690"/>
  <c r="I44" i="677"/>
  <c r="I41" i="674"/>
  <c r="D9" i="674"/>
  <c r="D8" i="674"/>
  <c r="B5" i="674"/>
  <c r="I6" i="674"/>
  <c r="F4" i="674"/>
  <c r="A3" i="674"/>
  <c r="D58" i="673"/>
  <c r="H52" i="673"/>
  <c r="D52" i="673"/>
  <c r="H51" i="673"/>
  <c r="D51" i="673"/>
  <c r="H50" i="673"/>
  <c r="D50" i="673"/>
  <c r="H49" i="673"/>
  <c r="D49" i="673"/>
  <c r="H43" i="673"/>
  <c r="F43" i="673"/>
  <c r="D43" i="673"/>
  <c r="H42" i="673"/>
  <c r="F42" i="673"/>
  <c r="D42" i="673"/>
  <c r="H40" i="673"/>
  <c r="F40" i="673"/>
  <c r="D40" i="673"/>
  <c r="H39" i="673"/>
  <c r="F39" i="673"/>
  <c r="D39" i="673"/>
  <c r="H38" i="673"/>
  <c r="F38" i="673"/>
  <c r="D38" i="673"/>
  <c r="H32" i="673"/>
  <c r="F32" i="673"/>
  <c r="H31" i="673"/>
  <c r="F31" i="673"/>
  <c r="H30" i="673"/>
  <c r="F30" i="673"/>
  <c r="H29" i="673"/>
  <c r="F29" i="673"/>
  <c r="H28" i="673"/>
  <c r="F28" i="673"/>
  <c r="H27" i="673"/>
  <c r="F27" i="673"/>
  <c r="H21" i="673"/>
  <c r="F21" i="673"/>
  <c r="D21" i="673"/>
  <c r="H20" i="673"/>
  <c r="F20" i="673"/>
  <c r="D20" i="673"/>
  <c r="H19" i="673"/>
  <c r="F19" i="673"/>
  <c r="D19" i="673"/>
  <c r="H18" i="673"/>
  <c r="F18" i="673"/>
  <c r="D18" i="673"/>
  <c r="H17" i="673"/>
  <c r="F17" i="673"/>
  <c r="D17" i="673"/>
  <c r="H16" i="673"/>
  <c r="F16" i="673"/>
  <c r="D16" i="673"/>
  <c r="H15" i="673"/>
  <c r="F15" i="673"/>
  <c r="D15" i="673"/>
  <c r="H14" i="673"/>
  <c r="F14" i="673"/>
  <c r="D14" i="673"/>
  <c r="H13" i="673"/>
  <c r="F13" i="673"/>
  <c r="D13" i="673"/>
  <c r="H12" i="673"/>
  <c r="F12" i="673"/>
  <c r="D12" i="673"/>
  <c r="H11" i="673"/>
  <c r="F11" i="673"/>
  <c r="D11" i="673"/>
  <c r="D10" i="673"/>
  <c r="D9" i="673"/>
  <c r="D8" i="673"/>
  <c r="B5" i="673"/>
  <c r="F4" i="673"/>
  <c r="A3" i="673"/>
  <c r="D58" i="624"/>
  <c r="H52" i="624"/>
  <c r="D52" i="624"/>
  <c r="H51" i="624"/>
  <c r="D51" i="624"/>
  <c r="H50" i="624"/>
  <c r="D50" i="624"/>
  <c r="H49" i="624"/>
  <c r="D49" i="624"/>
  <c r="H43" i="624"/>
  <c r="F43" i="624"/>
  <c r="D43" i="624"/>
  <c r="H42" i="624"/>
  <c r="I41" i="624"/>
  <c r="F42" i="624"/>
  <c r="D42" i="624"/>
  <c r="H40" i="624"/>
  <c r="F40" i="624"/>
  <c r="D40" i="624"/>
  <c r="H39" i="624"/>
  <c r="F39" i="624"/>
  <c r="D39" i="624"/>
  <c r="H38" i="624"/>
  <c r="F38" i="624"/>
  <c r="D38" i="624"/>
  <c r="H32" i="624"/>
  <c r="F32" i="624"/>
  <c r="H31" i="624"/>
  <c r="F31" i="624"/>
  <c r="H30" i="624"/>
  <c r="F30" i="624"/>
  <c r="H29" i="624"/>
  <c r="F29" i="624"/>
  <c r="H28" i="624"/>
  <c r="F28" i="624"/>
  <c r="H21" i="624"/>
  <c r="F21" i="624"/>
  <c r="D21" i="624"/>
  <c r="H20" i="624"/>
  <c r="F20" i="624"/>
  <c r="D20" i="624"/>
  <c r="H19" i="624"/>
  <c r="F19" i="624"/>
  <c r="D19" i="624"/>
  <c r="H18" i="624"/>
  <c r="F18" i="624"/>
  <c r="D18" i="624"/>
  <c r="H17" i="624"/>
  <c r="F17" i="624"/>
  <c r="D17" i="624"/>
  <c r="D16" i="624"/>
  <c r="D15" i="624"/>
  <c r="D14" i="624"/>
  <c r="D13" i="624"/>
  <c r="D12" i="624"/>
  <c r="D11" i="624"/>
  <c r="D10" i="624"/>
  <c r="D9" i="624"/>
  <c r="D8" i="624"/>
  <c r="B5" i="624"/>
  <c r="C5" i="624"/>
  <c r="F4" i="624"/>
  <c r="A3" i="624"/>
  <c r="D58" i="360"/>
  <c r="H52" i="360"/>
  <c r="D52" i="360"/>
  <c r="H51" i="360"/>
  <c r="D51" i="360"/>
  <c r="H50" i="360"/>
  <c r="D50" i="360"/>
  <c r="H49" i="360"/>
  <c r="D49" i="360"/>
  <c r="H43" i="360"/>
  <c r="F43" i="360"/>
  <c r="D43" i="360"/>
  <c r="H42" i="360"/>
  <c r="F42" i="360"/>
  <c r="D42" i="360"/>
  <c r="H40" i="360"/>
  <c r="F40" i="360"/>
  <c r="D40" i="360"/>
  <c r="H39" i="360"/>
  <c r="H38" i="360"/>
  <c r="I37" i="360"/>
  <c r="I41" i="360"/>
  <c r="I44" i="360"/>
  <c r="F39" i="360"/>
  <c r="D39" i="360"/>
  <c r="F38" i="360"/>
  <c r="D38" i="360"/>
  <c r="H32" i="360"/>
  <c r="F32" i="360"/>
  <c r="H31" i="360"/>
  <c r="F31" i="360"/>
  <c r="H30" i="360"/>
  <c r="F30" i="360"/>
  <c r="H29" i="360"/>
  <c r="F29" i="360"/>
  <c r="H28" i="360"/>
  <c r="F28" i="360"/>
  <c r="H21" i="360"/>
  <c r="F21" i="360"/>
  <c r="D21" i="360"/>
  <c r="H20" i="360"/>
  <c r="F20" i="360"/>
  <c r="D20" i="360"/>
  <c r="H19" i="360"/>
  <c r="F19" i="360"/>
  <c r="D19" i="360"/>
  <c r="H18" i="360"/>
  <c r="F18" i="360"/>
  <c r="D18" i="360"/>
  <c r="H17" i="360"/>
  <c r="F17" i="360"/>
  <c r="D17" i="360"/>
  <c r="D16" i="360"/>
  <c r="D15" i="360"/>
  <c r="D14" i="360"/>
  <c r="D13" i="360"/>
  <c r="D12" i="360"/>
  <c r="D11" i="360"/>
  <c r="D10" i="360"/>
  <c r="D9" i="360"/>
  <c r="D8" i="360"/>
  <c r="AB445" i="721"/>
  <c r="AB440" i="720"/>
  <c r="AB443" i="720"/>
  <c r="AB443" i="721"/>
  <c r="I44" i="674"/>
  <c r="I41" i="673"/>
  <c r="I6" i="624"/>
  <c r="I37" i="624"/>
  <c r="I37" i="673"/>
  <c r="B5" i="360"/>
  <c r="I6" i="360"/>
  <c r="F4" i="360"/>
  <c r="A3" i="360"/>
  <c r="D58" i="342"/>
  <c r="H52" i="342"/>
  <c r="D52" i="342"/>
  <c r="H51" i="342"/>
  <c r="D51" i="342"/>
  <c r="H50" i="342"/>
  <c r="D50" i="342"/>
  <c r="H49" i="342"/>
  <c r="D49" i="342"/>
  <c r="H43" i="342"/>
  <c r="F43" i="342"/>
  <c r="D43" i="342"/>
  <c r="H42" i="342"/>
  <c r="I41" i="342"/>
  <c r="F42" i="342"/>
  <c r="D42" i="342"/>
  <c r="H40" i="342"/>
  <c r="F40" i="342"/>
  <c r="D40" i="342"/>
  <c r="H39" i="342"/>
  <c r="F39" i="342"/>
  <c r="D39" i="342"/>
  <c r="H38" i="342"/>
  <c r="F38" i="342"/>
  <c r="D38" i="342"/>
  <c r="H32" i="342"/>
  <c r="F32" i="342"/>
  <c r="H31" i="342"/>
  <c r="F31" i="342"/>
  <c r="H30" i="342"/>
  <c r="F30" i="342"/>
  <c r="H29" i="342"/>
  <c r="F29" i="342"/>
  <c r="H28" i="342"/>
  <c r="F28" i="342"/>
  <c r="H21" i="342"/>
  <c r="F21" i="342"/>
  <c r="D21" i="342"/>
  <c r="H20" i="342"/>
  <c r="F20" i="342"/>
  <c r="D20" i="342"/>
  <c r="H19" i="342"/>
  <c r="F19" i="342"/>
  <c r="D19" i="342"/>
  <c r="H18" i="342"/>
  <c r="F18" i="342"/>
  <c r="D18" i="342"/>
  <c r="H17" i="342"/>
  <c r="F17" i="342"/>
  <c r="D17" i="342"/>
  <c r="D16" i="342"/>
  <c r="D15" i="342"/>
  <c r="D14" i="342"/>
  <c r="D13" i="342"/>
  <c r="D12" i="342"/>
  <c r="D11" i="342"/>
  <c r="D10" i="342"/>
  <c r="D9" i="342"/>
  <c r="D8" i="342"/>
  <c r="B5" i="342"/>
  <c r="C5" i="342"/>
  <c r="F4" i="342"/>
  <c r="A3" i="342"/>
  <c r="D58" i="459"/>
  <c r="H52" i="459"/>
  <c r="D52" i="459"/>
  <c r="H51" i="459"/>
  <c r="D51" i="459"/>
  <c r="H50" i="459"/>
  <c r="D50" i="459"/>
  <c r="H49" i="459"/>
  <c r="D49" i="459"/>
  <c r="H43" i="459"/>
  <c r="F43" i="459"/>
  <c r="D43" i="459"/>
  <c r="H42" i="459"/>
  <c r="F42" i="459"/>
  <c r="D42" i="459"/>
  <c r="H40" i="459"/>
  <c r="F40" i="459"/>
  <c r="D40" i="459"/>
  <c r="H39" i="459"/>
  <c r="H38" i="459"/>
  <c r="I37" i="459"/>
  <c r="F39" i="459"/>
  <c r="D39" i="459"/>
  <c r="F38" i="459"/>
  <c r="D38" i="459"/>
  <c r="H32" i="459"/>
  <c r="F32" i="459"/>
  <c r="H31" i="459"/>
  <c r="F31" i="459"/>
  <c r="H30" i="459"/>
  <c r="F30" i="459"/>
  <c r="H29" i="459"/>
  <c r="F29" i="459"/>
  <c r="H28" i="459"/>
  <c r="F28" i="459"/>
  <c r="H27" i="459"/>
  <c r="F27" i="459"/>
  <c r="H21" i="459"/>
  <c r="F21" i="459"/>
  <c r="D21" i="459"/>
  <c r="H20" i="459"/>
  <c r="F20" i="459"/>
  <c r="D20" i="459"/>
  <c r="H19" i="459"/>
  <c r="F19" i="459"/>
  <c r="D19" i="459"/>
  <c r="H18" i="459"/>
  <c r="F18" i="459"/>
  <c r="D18" i="459"/>
  <c r="H17" i="459"/>
  <c r="F17" i="459"/>
  <c r="D17" i="459"/>
  <c r="H16" i="459"/>
  <c r="F16" i="459"/>
  <c r="D16" i="459"/>
  <c r="H15" i="459"/>
  <c r="F15" i="459"/>
  <c r="D15" i="459"/>
  <c r="H14" i="459"/>
  <c r="F14" i="459"/>
  <c r="D14" i="459"/>
  <c r="H13" i="459"/>
  <c r="F13" i="459"/>
  <c r="D13" i="459"/>
  <c r="H12" i="459"/>
  <c r="F12" i="459"/>
  <c r="D12" i="459"/>
  <c r="D11" i="459"/>
  <c r="D10" i="459"/>
  <c r="D9" i="459"/>
  <c r="D8" i="459"/>
  <c r="B5" i="459"/>
  <c r="C5" i="459"/>
  <c r="F4" i="459"/>
  <c r="A3" i="459"/>
  <c r="D58" i="367"/>
  <c r="H52" i="367"/>
  <c r="D52" i="367"/>
  <c r="H51" i="367"/>
  <c r="D51" i="367"/>
  <c r="H50" i="367"/>
  <c r="D50" i="367"/>
  <c r="H49" i="367"/>
  <c r="D49" i="367"/>
  <c r="H43" i="367"/>
  <c r="F43" i="367"/>
  <c r="D43" i="367"/>
  <c r="H42" i="367"/>
  <c r="I41" i="367"/>
  <c r="F42" i="367"/>
  <c r="D42" i="367"/>
  <c r="H40" i="367"/>
  <c r="F40" i="367"/>
  <c r="D40" i="367"/>
  <c r="H39" i="367"/>
  <c r="F39" i="367"/>
  <c r="D39" i="367"/>
  <c r="H38" i="367"/>
  <c r="I37" i="367"/>
  <c r="I44" i="367"/>
  <c r="AB426" i="721"/>
  <c r="F38" i="367"/>
  <c r="D38" i="367"/>
  <c r="H32" i="367"/>
  <c r="F32" i="367"/>
  <c r="H31" i="367"/>
  <c r="F31" i="367"/>
  <c r="H30" i="367"/>
  <c r="F30" i="367"/>
  <c r="H29" i="367"/>
  <c r="F29" i="367"/>
  <c r="H28" i="367"/>
  <c r="F28" i="367"/>
  <c r="H27" i="367"/>
  <c r="F27" i="367"/>
  <c r="H21" i="367"/>
  <c r="F21" i="367"/>
  <c r="D21" i="367"/>
  <c r="H20" i="367"/>
  <c r="F20" i="367"/>
  <c r="D20" i="367"/>
  <c r="H19" i="367"/>
  <c r="F19" i="367"/>
  <c r="D19" i="367"/>
  <c r="H18" i="367"/>
  <c r="F18" i="367"/>
  <c r="D18" i="367"/>
  <c r="H17" i="367"/>
  <c r="F17" i="367"/>
  <c r="D17" i="367"/>
  <c r="H16" i="367"/>
  <c r="F16" i="367"/>
  <c r="D16" i="367"/>
  <c r="H15" i="367"/>
  <c r="F15" i="367"/>
  <c r="D15" i="367"/>
  <c r="H14" i="367"/>
  <c r="F14" i="367"/>
  <c r="D14" i="367"/>
  <c r="H13" i="367"/>
  <c r="F13" i="367"/>
  <c r="D13" i="367"/>
  <c r="H12" i="367"/>
  <c r="F12" i="367"/>
  <c r="D12" i="367"/>
  <c r="D11" i="367"/>
  <c r="D10" i="367"/>
  <c r="D9" i="367"/>
  <c r="I41" i="459"/>
  <c r="I37" i="342"/>
  <c r="I44" i="342"/>
  <c r="I6" i="342"/>
  <c r="D8" i="367"/>
  <c r="B5" i="367"/>
  <c r="C5" i="367"/>
  <c r="F4" i="367"/>
  <c r="A3" i="367"/>
  <c r="I6" i="367"/>
  <c r="D58" i="435"/>
  <c r="H52" i="435"/>
  <c r="D52" i="435"/>
  <c r="H51" i="435"/>
  <c r="D51" i="435"/>
  <c r="H50" i="435"/>
  <c r="D50" i="435"/>
  <c r="H43" i="435"/>
  <c r="F43" i="435"/>
  <c r="D43" i="435"/>
  <c r="H42" i="435"/>
  <c r="F42" i="435"/>
  <c r="D42" i="435"/>
  <c r="H40" i="435"/>
  <c r="F40" i="435"/>
  <c r="D40" i="435"/>
  <c r="H39" i="435"/>
  <c r="H38" i="435"/>
  <c r="I37" i="435"/>
  <c r="F39" i="435"/>
  <c r="D39" i="435"/>
  <c r="F38" i="435"/>
  <c r="D38" i="435"/>
  <c r="H32" i="435"/>
  <c r="H31" i="435"/>
  <c r="H30" i="435"/>
  <c r="H29" i="435"/>
  <c r="H28" i="435"/>
  <c r="H27" i="435"/>
  <c r="H21" i="435"/>
  <c r="F21" i="435"/>
  <c r="D21" i="435"/>
  <c r="H20" i="435"/>
  <c r="F20" i="435"/>
  <c r="D20" i="435"/>
  <c r="H19" i="435"/>
  <c r="F19" i="435"/>
  <c r="D19" i="435"/>
  <c r="H18" i="435"/>
  <c r="F18" i="435"/>
  <c r="D18" i="435"/>
  <c r="H17" i="435"/>
  <c r="F17" i="435"/>
  <c r="D17" i="435"/>
  <c r="H16" i="435"/>
  <c r="F16" i="435"/>
  <c r="D16" i="435"/>
  <c r="H15" i="435"/>
  <c r="F15" i="435"/>
  <c r="D15" i="435"/>
  <c r="H14" i="435"/>
  <c r="F14" i="435"/>
  <c r="D14" i="435"/>
  <c r="H13" i="435"/>
  <c r="F13" i="435"/>
  <c r="D13" i="435"/>
  <c r="H12" i="435"/>
  <c r="F12" i="435"/>
  <c r="D12" i="435"/>
  <c r="H11" i="435"/>
  <c r="F11" i="435"/>
  <c r="D11" i="435"/>
  <c r="H10" i="435"/>
  <c r="F10" i="435"/>
  <c r="D10" i="435"/>
  <c r="D9" i="435"/>
  <c r="D8" i="435"/>
  <c r="B5" i="435"/>
  <c r="C5" i="435"/>
  <c r="F4" i="435"/>
  <c r="A3" i="435"/>
  <c r="D58" i="433"/>
  <c r="H52" i="433"/>
  <c r="D52" i="433"/>
  <c r="H51" i="433"/>
  <c r="D51" i="433"/>
  <c r="H50" i="433"/>
  <c r="D50" i="433"/>
  <c r="H49" i="433"/>
  <c r="D49" i="433"/>
  <c r="H43" i="433"/>
  <c r="F43" i="433"/>
  <c r="D43" i="433"/>
  <c r="H42" i="433"/>
  <c r="F42" i="433"/>
  <c r="D42" i="433"/>
  <c r="H40" i="433"/>
  <c r="F40" i="433"/>
  <c r="D40" i="433"/>
  <c r="H39" i="433"/>
  <c r="H38" i="433"/>
  <c r="I37" i="433"/>
  <c r="I41" i="433"/>
  <c r="I44" i="433"/>
  <c r="F39" i="433"/>
  <c r="D39" i="433"/>
  <c r="F38" i="433"/>
  <c r="D38" i="433"/>
  <c r="H32" i="433"/>
  <c r="H31" i="433"/>
  <c r="H30" i="433"/>
  <c r="H29" i="433"/>
  <c r="H28" i="433"/>
  <c r="H27" i="433"/>
  <c r="H21" i="433"/>
  <c r="F21" i="433"/>
  <c r="D21" i="433"/>
  <c r="H20" i="433"/>
  <c r="F20" i="433"/>
  <c r="D20" i="433"/>
  <c r="H19" i="433"/>
  <c r="F19" i="433"/>
  <c r="D19" i="433"/>
  <c r="H18" i="433"/>
  <c r="F18" i="433"/>
  <c r="D18" i="433"/>
  <c r="H17" i="433"/>
  <c r="F17" i="433"/>
  <c r="D17" i="433"/>
  <c r="H16" i="433"/>
  <c r="F16" i="433"/>
  <c r="D16" i="433"/>
  <c r="H15" i="433"/>
  <c r="F15" i="433"/>
  <c r="D15" i="433"/>
  <c r="H14" i="433"/>
  <c r="F14" i="433"/>
  <c r="D14" i="433"/>
  <c r="H13" i="433"/>
  <c r="F13" i="433"/>
  <c r="D13" i="433"/>
  <c r="H12" i="433"/>
  <c r="F12" i="433"/>
  <c r="D12" i="433"/>
  <c r="H11" i="433"/>
  <c r="F11" i="433"/>
  <c r="D11" i="433"/>
  <c r="H10" i="433"/>
  <c r="F10" i="433"/>
  <c r="D10" i="433"/>
  <c r="D9" i="433"/>
  <c r="D8" i="433"/>
  <c r="B5" i="433"/>
  <c r="C5" i="433"/>
  <c r="F4" i="433"/>
  <c r="A3" i="433"/>
  <c r="D58" i="432"/>
  <c r="H52" i="432"/>
  <c r="D52" i="432"/>
  <c r="H51" i="432"/>
  <c r="D51" i="432"/>
  <c r="H50" i="432"/>
  <c r="D50" i="432"/>
  <c r="H49" i="432"/>
  <c r="D49" i="432"/>
  <c r="H43" i="432"/>
  <c r="F43" i="432"/>
  <c r="D43" i="432"/>
  <c r="H42" i="432"/>
  <c r="F42" i="432"/>
  <c r="D42" i="432"/>
  <c r="H40" i="432"/>
  <c r="F40" i="432"/>
  <c r="D40" i="432"/>
  <c r="H39" i="432"/>
  <c r="H38" i="432"/>
  <c r="I37" i="432"/>
  <c r="I41" i="432"/>
  <c r="I44" i="432"/>
  <c r="AB420" i="721"/>
  <c r="F39" i="432"/>
  <c r="D39" i="432"/>
  <c r="F38" i="432"/>
  <c r="D38" i="432"/>
  <c r="H32" i="432"/>
  <c r="H31" i="432"/>
  <c r="H30" i="432"/>
  <c r="H29" i="432"/>
  <c r="H28" i="432"/>
  <c r="H27" i="432"/>
  <c r="H21" i="432"/>
  <c r="F21" i="432"/>
  <c r="D21" i="432"/>
  <c r="H20" i="432"/>
  <c r="F20" i="432"/>
  <c r="D20" i="432"/>
  <c r="H19" i="432"/>
  <c r="F19" i="432"/>
  <c r="D19" i="432"/>
  <c r="H18" i="432"/>
  <c r="F18" i="432"/>
  <c r="D18" i="432"/>
  <c r="H17" i="432"/>
  <c r="F17" i="432"/>
  <c r="D17" i="432"/>
  <c r="H16" i="432"/>
  <c r="F16" i="432"/>
  <c r="D16" i="432"/>
  <c r="H15" i="432"/>
  <c r="F15" i="432"/>
  <c r="D15" i="432"/>
  <c r="H14" i="432"/>
  <c r="F14" i="432"/>
  <c r="D14" i="432"/>
  <c r="H13" i="432"/>
  <c r="F13" i="432"/>
  <c r="D13" i="432"/>
  <c r="H12" i="432"/>
  <c r="F12" i="432"/>
  <c r="D12" i="432"/>
  <c r="H11" i="432"/>
  <c r="F11" i="432"/>
  <c r="D11" i="432"/>
  <c r="H10" i="432"/>
  <c r="F10" i="432"/>
  <c r="D10" i="432"/>
  <c r="D9" i="432"/>
  <c r="D8" i="432"/>
  <c r="B5" i="432"/>
  <c r="I6" i="432"/>
  <c r="C5" i="432"/>
  <c r="F4" i="432"/>
  <c r="A3" i="432"/>
  <c r="D58" i="423"/>
  <c r="H52" i="423"/>
  <c r="D52" i="423"/>
  <c r="H51" i="423"/>
  <c r="D51" i="423"/>
  <c r="H50" i="423"/>
  <c r="D50" i="423"/>
  <c r="H49" i="423"/>
  <c r="D49" i="423"/>
  <c r="H43" i="423"/>
  <c r="H42" i="423"/>
  <c r="I41" i="423"/>
  <c r="F43" i="423"/>
  <c r="D43" i="423"/>
  <c r="F42" i="423"/>
  <c r="D42" i="423"/>
  <c r="H40" i="423"/>
  <c r="F40" i="423"/>
  <c r="D40" i="423"/>
  <c r="H39" i="423"/>
  <c r="F39" i="423"/>
  <c r="D39" i="423"/>
  <c r="H38" i="423"/>
  <c r="I37" i="423"/>
  <c r="I44" i="423"/>
  <c r="F38" i="423"/>
  <c r="D38" i="423"/>
  <c r="H32" i="423"/>
  <c r="H31" i="423"/>
  <c r="H30" i="423"/>
  <c r="H29" i="423"/>
  <c r="H28" i="423"/>
  <c r="H27" i="423"/>
  <c r="H21" i="423"/>
  <c r="F21" i="423"/>
  <c r="D21" i="423"/>
  <c r="H20" i="423"/>
  <c r="F20" i="423"/>
  <c r="D20" i="423"/>
  <c r="H19" i="423"/>
  <c r="F19" i="423"/>
  <c r="D19" i="423"/>
  <c r="H18" i="423"/>
  <c r="F18" i="423"/>
  <c r="D18" i="423"/>
  <c r="H17" i="423"/>
  <c r="F17" i="423"/>
  <c r="D17" i="423"/>
  <c r="H16" i="423"/>
  <c r="F16" i="423"/>
  <c r="D16" i="423"/>
  <c r="H15" i="423"/>
  <c r="F15" i="423"/>
  <c r="D15" i="423"/>
  <c r="H14" i="423"/>
  <c r="F14" i="423"/>
  <c r="D14" i="423"/>
  <c r="H13" i="423"/>
  <c r="F13" i="423"/>
  <c r="D13" i="423"/>
  <c r="H12" i="423"/>
  <c r="F12" i="423"/>
  <c r="D12" i="423"/>
  <c r="H11" i="423"/>
  <c r="F11" i="423"/>
  <c r="D11" i="423"/>
  <c r="H10" i="423"/>
  <c r="F10" i="423"/>
  <c r="D10" i="423"/>
  <c r="H9" i="423"/>
  <c r="F9" i="423"/>
  <c r="D9" i="423"/>
  <c r="D8" i="423"/>
  <c r="B5" i="423"/>
  <c r="I6" i="423"/>
  <c r="F4" i="423"/>
  <c r="A3" i="423"/>
  <c r="D58" i="406"/>
  <c r="H52" i="406"/>
  <c r="D52" i="406"/>
  <c r="H51" i="406"/>
  <c r="D51" i="406"/>
  <c r="H50" i="406"/>
  <c r="D50" i="406"/>
  <c r="H49" i="406"/>
  <c r="D49" i="406"/>
  <c r="H43" i="406"/>
  <c r="H42" i="406"/>
  <c r="I41" i="406"/>
  <c r="F43" i="406"/>
  <c r="D43" i="406"/>
  <c r="F42" i="406"/>
  <c r="D42" i="406"/>
  <c r="H40" i="406"/>
  <c r="F40" i="406"/>
  <c r="D40" i="406"/>
  <c r="H39" i="406"/>
  <c r="H38" i="406"/>
  <c r="I37" i="406"/>
  <c r="F39" i="406"/>
  <c r="D39" i="406"/>
  <c r="F38" i="406"/>
  <c r="D38" i="406"/>
  <c r="H32" i="406"/>
  <c r="H31" i="406"/>
  <c r="H30" i="406"/>
  <c r="H29" i="406"/>
  <c r="H28" i="406"/>
  <c r="H27" i="406"/>
  <c r="H21" i="406"/>
  <c r="H20" i="406"/>
  <c r="H19" i="406"/>
  <c r="H18" i="406"/>
  <c r="H17" i="406"/>
  <c r="H16" i="406"/>
  <c r="H15" i="406"/>
  <c r="H14" i="406"/>
  <c r="H13" i="406"/>
  <c r="H12" i="406"/>
  <c r="H11" i="406"/>
  <c r="H10" i="406"/>
  <c r="AB430" i="720"/>
  <c r="AB429" i="721"/>
  <c r="AB430" i="721"/>
  <c r="AB429" i="720"/>
  <c r="AB428" i="720"/>
  <c r="AB428" i="721"/>
  <c r="I41" i="435"/>
  <c r="I6" i="433"/>
  <c r="I6" i="435"/>
  <c r="D9" i="406"/>
  <c r="D8" i="406"/>
  <c r="B5" i="406"/>
  <c r="F4" i="406"/>
  <c r="A3" i="406"/>
  <c r="D58" i="376"/>
  <c r="H52" i="376"/>
  <c r="D52" i="376"/>
  <c r="H51" i="376"/>
  <c r="D51" i="376"/>
  <c r="H50" i="376"/>
  <c r="D50" i="376"/>
  <c r="H49" i="376"/>
  <c r="D49" i="376"/>
  <c r="H43" i="376"/>
  <c r="F43" i="376"/>
  <c r="D43" i="376"/>
  <c r="H42" i="376"/>
  <c r="I41" i="376"/>
  <c r="H38" i="376"/>
  <c r="H39" i="376"/>
  <c r="H40" i="376"/>
  <c r="I37" i="376"/>
  <c r="I44" i="376"/>
  <c r="F42" i="376"/>
  <c r="D42" i="376"/>
  <c r="F40" i="376"/>
  <c r="D40" i="376"/>
  <c r="F39" i="376"/>
  <c r="D39" i="376"/>
  <c r="F38" i="376"/>
  <c r="D38" i="376"/>
  <c r="H32" i="376"/>
  <c r="H31" i="376"/>
  <c r="H30" i="376"/>
  <c r="H29" i="376"/>
  <c r="H28" i="376"/>
  <c r="H27" i="376"/>
  <c r="H21" i="376"/>
  <c r="H20" i="376"/>
  <c r="H19" i="376"/>
  <c r="H18" i="376"/>
  <c r="H17" i="376"/>
  <c r="H16" i="376"/>
  <c r="H15" i="376"/>
  <c r="H14" i="376"/>
  <c r="H13" i="376"/>
  <c r="H12" i="376"/>
  <c r="H11" i="376"/>
  <c r="H10" i="376"/>
  <c r="D9" i="376"/>
  <c r="D8" i="376"/>
  <c r="B5" i="376"/>
  <c r="I6" i="376"/>
  <c r="F4" i="376"/>
  <c r="A3" i="376"/>
  <c r="AB425" i="720"/>
  <c r="AB425" i="721"/>
  <c r="D58" i="373"/>
  <c r="H52" i="373"/>
  <c r="D52" i="373"/>
  <c r="H51" i="373"/>
  <c r="D51" i="373"/>
  <c r="H50" i="373"/>
  <c r="D50" i="373"/>
  <c r="H49" i="373"/>
  <c r="D49" i="373"/>
  <c r="H43" i="373"/>
  <c r="F43" i="373"/>
  <c r="D43" i="373"/>
  <c r="H42" i="373"/>
  <c r="F42" i="373"/>
  <c r="D42" i="373"/>
  <c r="H40" i="373"/>
  <c r="H38" i="373"/>
  <c r="H39" i="373"/>
  <c r="I37" i="373"/>
  <c r="F40" i="373"/>
  <c r="D40" i="373"/>
  <c r="F39" i="373"/>
  <c r="D39" i="373"/>
  <c r="F38" i="373"/>
  <c r="D38" i="373"/>
  <c r="H32" i="373"/>
  <c r="H31" i="373"/>
  <c r="H30" i="373"/>
  <c r="H29" i="373"/>
  <c r="H28" i="373"/>
  <c r="H27" i="373"/>
  <c r="H21" i="373"/>
  <c r="H20" i="373"/>
  <c r="H19" i="373"/>
  <c r="H18" i="373"/>
  <c r="H17" i="373"/>
  <c r="H16" i="373"/>
  <c r="H15" i="373"/>
  <c r="H14" i="373"/>
  <c r="H13" i="373"/>
  <c r="H12" i="373"/>
  <c r="H11" i="373"/>
  <c r="H10" i="373"/>
  <c r="H9" i="373"/>
  <c r="D8" i="373"/>
  <c r="B5" i="373"/>
  <c r="I6" i="373"/>
  <c r="F4" i="373"/>
  <c r="A3" i="373"/>
  <c r="D58" i="371"/>
  <c r="H52" i="371"/>
  <c r="D52" i="371"/>
  <c r="H51" i="371"/>
  <c r="D51" i="371"/>
  <c r="H50" i="371"/>
  <c r="D50" i="371"/>
  <c r="H49" i="371"/>
  <c r="D49" i="371"/>
  <c r="H43" i="371"/>
  <c r="F43" i="371"/>
  <c r="D43" i="371"/>
  <c r="H42" i="371"/>
  <c r="F42" i="371"/>
  <c r="D42" i="371"/>
  <c r="H40" i="371"/>
  <c r="F40" i="371"/>
  <c r="D40" i="371"/>
  <c r="H39" i="371"/>
  <c r="H38" i="371"/>
  <c r="I37" i="371"/>
  <c r="I41" i="371"/>
  <c r="I44" i="371"/>
  <c r="AB412" i="720"/>
  <c r="F39" i="371"/>
  <c r="D39" i="371"/>
  <c r="F38" i="371"/>
  <c r="D38" i="371"/>
  <c r="H32" i="371"/>
  <c r="H31" i="371"/>
  <c r="H30" i="371"/>
  <c r="H29" i="371"/>
  <c r="H28" i="371"/>
  <c r="H27" i="371"/>
  <c r="H21" i="371"/>
  <c r="H20" i="371"/>
  <c r="H19" i="371"/>
  <c r="H18" i="371"/>
  <c r="H17" i="371"/>
  <c r="H16" i="371"/>
  <c r="H15" i="371"/>
  <c r="H14" i="371"/>
  <c r="H13" i="371"/>
  <c r="H12" i="371"/>
  <c r="H11" i="371"/>
  <c r="H10" i="371"/>
  <c r="H9" i="371"/>
  <c r="D8" i="371"/>
  <c r="B5" i="371"/>
  <c r="I6" i="371"/>
  <c r="C5" i="371"/>
  <c r="F4" i="371"/>
  <c r="A3" i="371"/>
  <c r="D58" i="368"/>
  <c r="H52" i="368"/>
  <c r="D52" i="368"/>
  <c r="H51" i="368"/>
  <c r="D51" i="368"/>
  <c r="H50" i="368"/>
  <c r="D50" i="368"/>
  <c r="H49" i="368"/>
  <c r="D49" i="368"/>
  <c r="H43" i="368"/>
  <c r="F43" i="368"/>
  <c r="D43" i="368"/>
  <c r="H42" i="368"/>
  <c r="I41" i="368"/>
  <c r="H38" i="368"/>
  <c r="H39" i="368"/>
  <c r="H40" i="368"/>
  <c r="I37" i="368"/>
  <c r="I44" i="368"/>
  <c r="F42" i="368"/>
  <c r="D42" i="368"/>
  <c r="F40" i="368"/>
  <c r="D40" i="368"/>
  <c r="F39" i="368"/>
  <c r="D39" i="368"/>
  <c r="F38" i="368"/>
  <c r="D38" i="368"/>
  <c r="H32" i="368"/>
  <c r="H31" i="368"/>
  <c r="H30" i="368"/>
  <c r="H29" i="368"/>
  <c r="H28" i="368"/>
  <c r="H27" i="368"/>
  <c r="H21" i="368"/>
  <c r="H20" i="368"/>
  <c r="H19" i="368"/>
  <c r="H18" i="368"/>
  <c r="H17" i="368"/>
  <c r="H16" i="368"/>
  <c r="H15" i="368"/>
  <c r="H14" i="368"/>
  <c r="H13" i="368"/>
  <c r="H12" i="368"/>
  <c r="H11" i="368"/>
  <c r="H10" i="368"/>
  <c r="D10" i="368"/>
  <c r="H9" i="368"/>
  <c r="D9" i="368"/>
  <c r="D8" i="368"/>
  <c r="B5" i="368"/>
  <c r="I6" i="368"/>
  <c r="F4" i="368"/>
  <c r="A3" i="368"/>
  <c r="D58" i="343"/>
  <c r="H52" i="343"/>
  <c r="D52" i="343"/>
  <c r="H51" i="343"/>
  <c r="D51" i="343"/>
  <c r="H50" i="343"/>
  <c r="D50" i="343"/>
  <c r="H49" i="343"/>
  <c r="D49" i="343"/>
  <c r="H43" i="343"/>
  <c r="F43" i="343"/>
  <c r="D43" i="343"/>
  <c r="H42" i="343"/>
  <c r="F42" i="343"/>
  <c r="D42" i="343"/>
  <c r="H40" i="343"/>
  <c r="F40" i="343"/>
  <c r="D40" i="343"/>
  <c r="H39" i="343"/>
  <c r="F39" i="343"/>
  <c r="D39" i="343"/>
  <c r="H38" i="343"/>
  <c r="I37" i="343"/>
  <c r="F38" i="343"/>
  <c r="D38" i="343"/>
  <c r="H32" i="343"/>
  <c r="H31" i="343"/>
  <c r="H30" i="343"/>
  <c r="H29" i="343"/>
  <c r="H28" i="343"/>
  <c r="H27" i="343"/>
  <c r="H21" i="343"/>
  <c r="H20" i="343"/>
  <c r="H19" i="343"/>
  <c r="H18" i="343"/>
  <c r="H17" i="343"/>
  <c r="H16" i="343"/>
  <c r="H15" i="343"/>
  <c r="H14" i="343"/>
  <c r="H13" i="343"/>
  <c r="H12" i="343"/>
  <c r="H11" i="343"/>
  <c r="H10" i="343"/>
  <c r="H9" i="343"/>
  <c r="D8" i="343"/>
  <c r="B5" i="343"/>
  <c r="I6" i="343"/>
  <c r="C5" i="343"/>
  <c r="F4" i="343"/>
  <c r="A3" i="343"/>
  <c r="D58" i="340"/>
  <c r="H52" i="340"/>
  <c r="D52" i="340"/>
  <c r="H51" i="340"/>
  <c r="D51" i="340"/>
  <c r="H50" i="340"/>
  <c r="D50" i="340"/>
  <c r="H49" i="340"/>
  <c r="D49" i="340"/>
  <c r="H43" i="340"/>
  <c r="H42" i="340"/>
  <c r="I41" i="340"/>
  <c r="F43" i="340"/>
  <c r="D43" i="340"/>
  <c r="F42" i="340"/>
  <c r="D42" i="340"/>
  <c r="H40" i="340"/>
  <c r="F40" i="340"/>
  <c r="D40" i="340"/>
  <c r="H39" i="340"/>
  <c r="F39" i="340"/>
  <c r="D39" i="340"/>
  <c r="H38" i="340"/>
  <c r="F38" i="340"/>
  <c r="D38" i="340"/>
  <c r="H32" i="340"/>
  <c r="H31" i="340"/>
  <c r="H30" i="340"/>
  <c r="H29" i="340"/>
  <c r="H28" i="340"/>
  <c r="H27" i="340"/>
  <c r="H21" i="340"/>
  <c r="H20" i="340"/>
  <c r="H19" i="340"/>
  <c r="H18" i="340"/>
  <c r="H17" i="340"/>
  <c r="H16" i="340"/>
  <c r="H15" i="340"/>
  <c r="H14" i="340"/>
  <c r="H13" i="340"/>
  <c r="H12" i="340"/>
  <c r="H11" i="340"/>
  <c r="H10" i="340"/>
  <c r="H9" i="340"/>
  <c r="D8" i="340"/>
  <c r="B5" i="340"/>
  <c r="I6" i="340"/>
  <c r="C5" i="340"/>
  <c r="F4" i="340"/>
  <c r="A3" i="340"/>
  <c r="D58" i="339"/>
  <c r="H52" i="339"/>
  <c r="D52" i="339"/>
  <c r="H51" i="339"/>
  <c r="D51" i="339"/>
  <c r="H50" i="339"/>
  <c r="D50" i="339"/>
  <c r="H49" i="339"/>
  <c r="D49" i="339"/>
  <c r="H43" i="339"/>
  <c r="F43" i="339"/>
  <c r="D43" i="339"/>
  <c r="H42" i="339"/>
  <c r="I41" i="339"/>
  <c r="F42" i="339"/>
  <c r="D42" i="339"/>
  <c r="H40" i="339"/>
  <c r="F40" i="339"/>
  <c r="D40" i="339"/>
  <c r="H39" i="339"/>
  <c r="F39" i="339"/>
  <c r="D39" i="339"/>
  <c r="H38" i="339"/>
  <c r="F38" i="339"/>
  <c r="D38" i="339"/>
  <c r="H32" i="339"/>
  <c r="H31" i="339"/>
  <c r="H30" i="339"/>
  <c r="H29" i="339"/>
  <c r="H28" i="339"/>
  <c r="H27" i="339"/>
  <c r="H21" i="339"/>
  <c r="H20" i="339"/>
  <c r="H19" i="339"/>
  <c r="H18" i="339"/>
  <c r="H17" i="339"/>
  <c r="H16" i="339"/>
  <c r="H15" i="339"/>
  <c r="H14" i="339"/>
  <c r="H13" i="339"/>
  <c r="H12" i="339"/>
  <c r="H11" i="339"/>
  <c r="H10" i="339"/>
  <c r="H9" i="339"/>
  <c r="AB423" i="721"/>
  <c r="AB423" i="720"/>
  <c r="AB424" i="721"/>
  <c r="AB424" i="720"/>
  <c r="I37" i="339"/>
  <c r="I44" i="339"/>
  <c r="I41" i="373"/>
  <c r="I37" i="340"/>
  <c r="I41" i="343"/>
  <c r="D8" i="339"/>
  <c r="B5" i="339"/>
  <c r="I6" i="339"/>
  <c r="F4" i="339"/>
  <c r="A3" i="339"/>
  <c r="D58" i="431"/>
  <c r="H52" i="431"/>
  <c r="D52" i="431"/>
  <c r="H51" i="431"/>
  <c r="D51" i="431"/>
  <c r="H50" i="431"/>
  <c r="D50" i="431"/>
  <c r="H49" i="431"/>
  <c r="D49" i="431"/>
  <c r="H43" i="431"/>
  <c r="F43" i="431"/>
  <c r="D43" i="431"/>
  <c r="H42" i="431"/>
  <c r="F42" i="431"/>
  <c r="D42" i="431"/>
  <c r="H40" i="431"/>
  <c r="F40" i="431"/>
  <c r="D40" i="431"/>
  <c r="H39" i="431"/>
  <c r="H38" i="431"/>
  <c r="I37" i="431"/>
  <c r="I41" i="431"/>
  <c r="I44" i="431"/>
  <c r="F39" i="431"/>
  <c r="D39" i="431"/>
  <c r="F38" i="431"/>
  <c r="D38" i="431"/>
  <c r="H32" i="431"/>
  <c r="H31" i="431"/>
  <c r="H30" i="431"/>
  <c r="H29" i="431"/>
  <c r="H28" i="431"/>
  <c r="H27" i="431"/>
  <c r="H21" i="431"/>
  <c r="H20" i="431"/>
  <c r="H19" i="431"/>
  <c r="H18" i="431"/>
  <c r="H17" i="431"/>
  <c r="H16" i="431"/>
  <c r="H15" i="431"/>
  <c r="H14" i="431"/>
  <c r="H13" i="431"/>
  <c r="H12" i="431"/>
  <c r="H11" i="431"/>
  <c r="H10" i="431"/>
  <c r="H9" i="431"/>
  <c r="F9" i="431"/>
  <c r="D9" i="431"/>
  <c r="D8" i="431"/>
  <c r="B5" i="431"/>
  <c r="F4" i="431"/>
  <c r="A3" i="431"/>
  <c r="D58" i="430"/>
  <c r="H52" i="430"/>
  <c r="D52" i="430"/>
  <c r="H51" i="430"/>
  <c r="D51" i="430"/>
  <c r="H50" i="430"/>
  <c r="D50" i="430"/>
  <c r="H49" i="430"/>
  <c r="D49" i="430"/>
  <c r="H43" i="430"/>
  <c r="F43" i="430"/>
  <c r="D43" i="430"/>
  <c r="H42" i="430"/>
  <c r="I41" i="430"/>
  <c r="F42" i="430"/>
  <c r="D42" i="430"/>
  <c r="H40" i="430"/>
  <c r="H38" i="430"/>
  <c r="H39" i="430"/>
  <c r="I37" i="430"/>
  <c r="I44" i="430"/>
  <c r="F40" i="430"/>
  <c r="D40" i="430"/>
  <c r="F39" i="430"/>
  <c r="D39" i="430"/>
  <c r="F38" i="430"/>
  <c r="D38" i="430"/>
  <c r="H32" i="430"/>
  <c r="H31" i="430"/>
  <c r="H30" i="430"/>
  <c r="H29" i="430"/>
  <c r="H28" i="430"/>
  <c r="H27" i="430"/>
  <c r="H21" i="430"/>
  <c r="H20" i="430"/>
  <c r="H19" i="430"/>
  <c r="H18" i="430"/>
  <c r="H17" i="430"/>
  <c r="H16" i="430"/>
  <c r="H15" i="430"/>
  <c r="H14" i="430"/>
  <c r="H13" i="430"/>
  <c r="H12" i="430"/>
  <c r="H11" i="430"/>
  <c r="H10" i="430"/>
  <c r="H9" i="430"/>
  <c r="D8" i="430"/>
  <c r="B5" i="430"/>
  <c r="I6" i="430"/>
  <c r="F4" i="430"/>
  <c r="A3" i="430"/>
  <c r="D58" i="429"/>
  <c r="H52" i="429"/>
  <c r="D52" i="429"/>
  <c r="H51" i="429"/>
  <c r="D51" i="429"/>
  <c r="H50" i="429"/>
  <c r="D50" i="429"/>
  <c r="H49" i="429"/>
  <c r="D49" i="429"/>
  <c r="H43" i="429"/>
  <c r="F43" i="429"/>
  <c r="D43" i="429"/>
  <c r="H42" i="429"/>
  <c r="F42" i="429"/>
  <c r="D42" i="429"/>
  <c r="H40" i="429"/>
  <c r="F40" i="429"/>
  <c r="D40" i="429"/>
  <c r="H39" i="429"/>
  <c r="H38" i="429"/>
  <c r="I37" i="429"/>
  <c r="I41" i="429"/>
  <c r="I44" i="429"/>
  <c r="AB405" i="720"/>
  <c r="F39" i="429"/>
  <c r="D39" i="429"/>
  <c r="F38" i="429"/>
  <c r="D38" i="429"/>
  <c r="H32" i="429"/>
  <c r="H31" i="429"/>
  <c r="H30" i="429"/>
  <c r="H29" i="429"/>
  <c r="H28" i="429"/>
  <c r="H27" i="429"/>
  <c r="F27" i="429"/>
  <c r="H21" i="429"/>
  <c r="H20" i="429"/>
  <c r="H19" i="429"/>
  <c r="H18" i="429"/>
  <c r="H17" i="429"/>
  <c r="H16" i="429"/>
  <c r="H15" i="429"/>
  <c r="H14" i="429"/>
  <c r="H13" i="429"/>
  <c r="H12" i="429"/>
  <c r="H11" i="429"/>
  <c r="F10" i="429"/>
  <c r="D10" i="429"/>
  <c r="H9" i="429"/>
  <c r="F9" i="429"/>
  <c r="D9" i="429"/>
  <c r="D8" i="429"/>
  <c r="B5" i="429"/>
  <c r="I6" i="429"/>
  <c r="C5" i="429"/>
  <c r="F4" i="429"/>
  <c r="A3" i="429"/>
  <c r="D58" i="426"/>
  <c r="H52" i="426"/>
  <c r="D52" i="426"/>
  <c r="H51" i="426"/>
  <c r="D51" i="426"/>
  <c r="H50" i="426"/>
  <c r="D50" i="426"/>
  <c r="H49" i="426"/>
  <c r="D49" i="426"/>
  <c r="H43" i="426"/>
  <c r="H42" i="426"/>
  <c r="I41" i="426"/>
  <c r="F43" i="426"/>
  <c r="D43" i="426"/>
  <c r="F42" i="426"/>
  <c r="D42" i="426"/>
  <c r="F40" i="426"/>
  <c r="D40" i="426"/>
  <c r="H39" i="426"/>
  <c r="H38" i="426"/>
  <c r="H40" i="426"/>
  <c r="I37" i="426"/>
  <c r="F39" i="426"/>
  <c r="D39" i="426"/>
  <c r="F38" i="426"/>
  <c r="H32" i="426"/>
  <c r="F32" i="426"/>
  <c r="H31" i="426"/>
  <c r="F31" i="426"/>
  <c r="H30" i="426"/>
  <c r="F30" i="426"/>
  <c r="H29" i="426"/>
  <c r="F29" i="426"/>
  <c r="H28" i="426"/>
  <c r="F28" i="426"/>
  <c r="H27" i="426"/>
  <c r="F27" i="426"/>
  <c r="H21" i="426"/>
  <c r="F21" i="426"/>
  <c r="D21" i="426"/>
  <c r="H20" i="426"/>
  <c r="F20" i="426"/>
  <c r="D20" i="426"/>
  <c r="H19" i="426"/>
  <c r="F19" i="426"/>
  <c r="D19" i="426"/>
  <c r="H18" i="426"/>
  <c r="F18" i="426"/>
  <c r="D18" i="426"/>
  <c r="H17" i="426"/>
  <c r="F17" i="426"/>
  <c r="D17" i="426"/>
  <c r="H16" i="426"/>
  <c r="F16" i="426"/>
  <c r="D16" i="426"/>
  <c r="H15" i="426"/>
  <c r="F15" i="426"/>
  <c r="D15" i="426"/>
  <c r="H14" i="426"/>
  <c r="F14" i="426"/>
  <c r="D14" i="426"/>
  <c r="H13" i="426"/>
  <c r="F13" i="426"/>
  <c r="D13" i="426"/>
  <c r="H12" i="426"/>
  <c r="F12" i="426"/>
  <c r="D12" i="426"/>
  <c r="H11" i="426"/>
  <c r="F11" i="426"/>
  <c r="D11" i="426"/>
  <c r="H10" i="426"/>
  <c r="F10" i="426"/>
  <c r="D10" i="426"/>
  <c r="H9" i="426"/>
  <c r="F9" i="426"/>
  <c r="D9" i="426"/>
  <c r="D8" i="426"/>
  <c r="B5" i="426"/>
  <c r="I6" i="426"/>
  <c r="F4" i="426"/>
  <c r="A3" i="426"/>
  <c r="D58" i="422"/>
  <c r="H52" i="422"/>
  <c r="D52" i="422"/>
  <c r="H51" i="422"/>
  <c r="D51" i="422"/>
  <c r="H50" i="422"/>
  <c r="D50" i="422"/>
  <c r="H49" i="422"/>
  <c r="D49" i="422"/>
  <c r="H43" i="422"/>
  <c r="F43" i="422"/>
  <c r="D43" i="422"/>
  <c r="H42" i="422"/>
  <c r="F42" i="422"/>
  <c r="D42" i="422"/>
  <c r="H40" i="422"/>
  <c r="F40" i="422"/>
  <c r="D40" i="422"/>
  <c r="H39" i="422"/>
  <c r="H38" i="422"/>
  <c r="I37" i="422"/>
  <c r="F39" i="422"/>
  <c r="D39" i="422"/>
  <c r="F38" i="422"/>
  <c r="D38" i="422"/>
  <c r="H32" i="422"/>
  <c r="F32" i="422"/>
  <c r="H31" i="422"/>
  <c r="F31" i="422"/>
  <c r="H30" i="422"/>
  <c r="F30" i="422"/>
  <c r="H29" i="422"/>
  <c r="F29" i="422"/>
  <c r="H28" i="422"/>
  <c r="F28" i="422"/>
  <c r="H27" i="422"/>
  <c r="F27" i="422"/>
  <c r="H21" i="422"/>
  <c r="F21" i="422"/>
  <c r="D21" i="422"/>
  <c r="H20" i="422"/>
  <c r="F20" i="422"/>
  <c r="D20" i="422"/>
  <c r="H19" i="422"/>
  <c r="F19" i="422"/>
  <c r="D19" i="422"/>
  <c r="H18" i="422"/>
  <c r="F18" i="422"/>
  <c r="D18" i="422"/>
  <c r="H17" i="422"/>
  <c r="F17" i="422"/>
  <c r="D17" i="422"/>
  <c r="H16" i="422"/>
  <c r="F16" i="422"/>
  <c r="D16" i="422"/>
  <c r="H15" i="422"/>
  <c r="F15" i="422"/>
  <c r="D15" i="422"/>
  <c r="H14" i="422"/>
  <c r="F14" i="422"/>
  <c r="D14" i="422"/>
  <c r="H13" i="422"/>
  <c r="F13" i="422"/>
  <c r="D13" i="422"/>
  <c r="H12" i="422"/>
  <c r="F12" i="422"/>
  <c r="D12" i="422"/>
  <c r="H11" i="422"/>
  <c r="F11" i="422"/>
  <c r="D11" i="422"/>
  <c r="H10" i="422"/>
  <c r="F10" i="422"/>
  <c r="D10" i="422"/>
  <c r="H9" i="422"/>
  <c r="F9" i="422"/>
  <c r="D9" i="422"/>
  <c r="D8" i="422"/>
  <c r="B5" i="422"/>
  <c r="I6" i="422"/>
  <c r="C5" i="422"/>
  <c r="F4" i="422"/>
  <c r="A3" i="422"/>
  <c r="D58" i="421"/>
  <c r="H52" i="421"/>
  <c r="D52" i="421"/>
  <c r="H51" i="421"/>
  <c r="D51" i="421"/>
  <c r="H50" i="421"/>
  <c r="D50" i="421"/>
  <c r="H49" i="421"/>
  <c r="D49" i="421"/>
  <c r="H43" i="421"/>
  <c r="F43" i="421"/>
  <c r="D43" i="421"/>
  <c r="H42" i="421"/>
  <c r="I41" i="421"/>
  <c r="F42" i="421"/>
  <c r="D42" i="421"/>
  <c r="F40" i="421"/>
  <c r="D40" i="421"/>
  <c r="H39" i="421"/>
  <c r="H38" i="421"/>
  <c r="H40" i="421"/>
  <c r="I37" i="421"/>
  <c r="I44" i="421"/>
  <c r="F39" i="421"/>
  <c r="D39" i="421"/>
  <c r="F38" i="421"/>
  <c r="D38" i="421"/>
  <c r="H32" i="421"/>
  <c r="F32" i="421"/>
  <c r="H31" i="421"/>
  <c r="F31" i="421"/>
  <c r="H30" i="421"/>
  <c r="F30" i="421"/>
  <c r="H29" i="421"/>
  <c r="F29" i="421"/>
  <c r="H28" i="421"/>
  <c r="F28" i="421"/>
  <c r="H27" i="421"/>
  <c r="F27" i="421"/>
  <c r="H21" i="421"/>
  <c r="F21" i="421"/>
  <c r="D21" i="421"/>
  <c r="H20" i="421"/>
  <c r="F20" i="421"/>
  <c r="D20" i="421"/>
  <c r="H19" i="421"/>
  <c r="F19" i="421"/>
  <c r="D19" i="421"/>
  <c r="H18" i="421"/>
  <c r="F18" i="421"/>
  <c r="D18" i="421"/>
  <c r="H17" i="421"/>
  <c r="F17" i="421"/>
  <c r="D17" i="421"/>
  <c r="H16" i="421"/>
  <c r="F16" i="421"/>
  <c r="D16" i="421"/>
  <c r="H15" i="421"/>
  <c r="F15" i="421"/>
  <c r="D15" i="421"/>
  <c r="H14" i="421"/>
  <c r="F14" i="421"/>
  <c r="D14" i="421"/>
  <c r="H13" i="421"/>
  <c r="F13" i="421"/>
  <c r="D13" i="421"/>
  <c r="H12" i="421"/>
  <c r="F12" i="421"/>
  <c r="D12" i="421"/>
  <c r="H11" i="421"/>
  <c r="F11" i="421"/>
  <c r="D11" i="421"/>
  <c r="H10" i="421"/>
  <c r="I44" i="340"/>
  <c r="AB416" i="721"/>
  <c r="AB416" i="720"/>
  <c r="AB414" i="721"/>
  <c r="AB414" i="720"/>
  <c r="AB417" i="720"/>
  <c r="AB417" i="721"/>
  <c r="I44" i="426"/>
  <c r="I41" i="422"/>
  <c r="I44" i="343"/>
  <c r="F10" i="421"/>
  <c r="D10" i="421"/>
  <c r="H9" i="421"/>
  <c r="F9" i="421"/>
  <c r="D9" i="421"/>
  <c r="D8" i="421"/>
  <c r="B5" i="421"/>
  <c r="I6" i="421"/>
  <c r="C5" i="421"/>
  <c r="F4" i="421"/>
  <c r="A3" i="421"/>
  <c r="D58" i="420"/>
  <c r="H52" i="420"/>
  <c r="D52" i="420"/>
  <c r="H51" i="420"/>
  <c r="D51" i="420"/>
  <c r="H50" i="420"/>
  <c r="D50" i="420"/>
  <c r="H49" i="420"/>
  <c r="D49" i="420"/>
  <c r="H43" i="420"/>
  <c r="H42" i="420"/>
  <c r="I41" i="420"/>
  <c r="F43" i="420"/>
  <c r="D43" i="420"/>
  <c r="F42" i="420"/>
  <c r="D42" i="420"/>
  <c r="H40" i="420"/>
  <c r="F40" i="420"/>
  <c r="D40" i="420"/>
  <c r="H39" i="420"/>
  <c r="F39" i="420"/>
  <c r="D39" i="420"/>
  <c r="H38" i="420"/>
  <c r="I37" i="420"/>
  <c r="F38" i="420"/>
  <c r="D38" i="420"/>
  <c r="H32" i="420"/>
  <c r="F32" i="420"/>
  <c r="H31" i="420"/>
  <c r="F31" i="420"/>
  <c r="H30" i="420"/>
  <c r="F30" i="420"/>
  <c r="H29" i="420"/>
  <c r="F29" i="420"/>
  <c r="H28" i="420"/>
  <c r="F28" i="420"/>
  <c r="H27" i="420"/>
  <c r="F27" i="420"/>
  <c r="H21" i="420"/>
  <c r="F21" i="420"/>
  <c r="D21" i="420"/>
  <c r="H20" i="420"/>
  <c r="F20" i="420"/>
  <c r="D20" i="420"/>
  <c r="H19" i="420"/>
  <c r="F19" i="420"/>
  <c r="D19" i="420"/>
  <c r="H18" i="420"/>
  <c r="F18" i="420"/>
  <c r="D18" i="420"/>
  <c r="H17" i="420"/>
  <c r="F17" i="420"/>
  <c r="D17" i="420"/>
  <c r="H16" i="420"/>
  <c r="F16" i="420"/>
  <c r="D16" i="420"/>
  <c r="H15" i="420"/>
  <c r="F15" i="420"/>
  <c r="D15" i="420"/>
  <c r="H14" i="420"/>
  <c r="F14" i="420"/>
  <c r="D14" i="420"/>
  <c r="H13" i="420"/>
  <c r="F13" i="420"/>
  <c r="D13" i="420"/>
  <c r="H12" i="420"/>
  <c r="F12" i="420"/>
  <c r="D12" i="420"/>
  <c r="H11" i="420"/>
  <c r="F11" i="420"/>
  <c r="D11" i="420"/>
  <c r="H10" i="420"/>
  <c r="F10" i="420"/>
  <c r="D10" i="420"/>
  <c r="H9" i="420"/>
  <c r="F9" i="420"/>
  <c r="D9" i="420"/>
  <c r="D8" i="420"/>
  <c r="B5" i="420"/>
  <c r="I6" i="420"/>
  <c r="C5" i="420"/>
  <c r="F4" i="420"/>
  <c r="A3" i="420"/>
  <c r="D58" i="418"/>
  <c r="H52" i="418"/>
  <c r="D52" i="418"/>
  <c r="H51" i="418"/>
  <c r="D51" i="418"/>
  <c r="H50" i="418"/>
  <c r="D50" i="418"/>
  <c r="H49" i="418"/>
  <c r="D49" i="418"/>
  <c r="H43" i="418"/>
  <c r="F43" i="418"/>
  <c r="D43" i="418"/>
  <c r="H42" i="418"/>
  <c r="I41" i="418"/>
  <c r="F42" i="418"/>
  <c r="D42" i="418"/>
  <c r="H40" i="418"/>
  <c r="F40" i="418"/>
  <c r="D40" i="418"/>
  <c r="H39" i="418"/>
  <c r="F39" i="418"/>
  <c r="D39" i="418"/>
  <c r="H38" i="418"/>
  <c r="I37" i="418"/>
  <c r="F38" i="418"/>
  <c r="D38" i="418"/>
  <c r="H32" i="418"/>
  <c r="H31" i="418"/>
  <c r="H30" i="418"/>
  <c r="H29" i="418"/>
  <c r="H28" i="418"/>
  <c r="H27" i="418"/>
  <c r="H21" i="418"/>
  <c r="H20" i="418"/>
  <c r="H19" i="418"/>
  <c r="H18" i="418"/>
  <c r="H17" i="418"/>
  <c r="H16" i="418"/>
  <c r="H15" i="418"/>
  <c r="H14" i="418"/>
  <c r="H13" i="418"/>
  <c r="H12" i="418"/>
  <c r="H11" i="418"/>
  <c r="H10" i="418"/>
  <c r="H9" i="418"/>
  <c r="D8" i="418"/>
  <c r="B5" i="418"/>
  <c r="F4" i="418"/>
  <c r="A3" i="418"/>
  <c r="D58" i="417"/>
  <c r="H52" i="417"/>
  <c r="D52" i="417"/>
  <c r="H51" i="417"/>
  <c r="D51" i="417"/>
  <c r="H50" i="417"/>
  <c r="D50" i="417"/>
  <c r="H49" i="417"/>
  <c r="D49" i="417"/>
  <c r="H43" i="417"/>
  <c r="F43" i="417"/>
  <c r="D43" i="417"/>
  <c r="H42" i="417"/>
  <c r="I41" i="417"/>
  <c r="F42" i="417"/>
  <c r="D42" i="417"/>
  <c r="H40" i="417"/>
  <c r="H38" i="417"/>
  <c r="H39" i="417"/>
  <c r="I37" i="417"/>
  <c r="I44" i="417"/>
  <c r="F40" i="417"/>
  <c r="D40" i="417"/>
  <c r="F39" i="417"/>
  <c r="D39" i="417"/>
  <c r="F38" i="417"/>
  <c r="D38" i="417"/>
  <c r="H32" i="417"/>
  <c r="H31" i="417"/>
  <c r="H30" i="417"/>
  <c r="H29" i="417"/>
  <c r="H28" i="417"/>
  <c r="H27" i="417"/>
  <c r="H21" i="417"/>
  <c r="F21" i="417"/>
  <c r="D21" i="417"/>
  <c r="H20" i="417"/>
  <c r="F20" i="417"/>
  <c r="D20" i="417"/>
  <c r="H19" i="417"/>
  <c r="F19" i="417"/>
  <c r="D19" i="417"/>
  <c r="H18" i="417"/>
  <c r="F18" i="417"/>
  <c r="D18" i="417"/>
  <c r="H17" i="417"/>
  <c r="F17" i="417"/>
  <c r="D17" i="417"/>
  <c r="H16" i="417"/>
  <c r="F16" i="417"/>
  <c r="D16" i="417"/>
  <c r="H15" i="417"/>
  <c r="F15" i="417"/>
  <c r="D15" i="417"/>
  <c r="H14" i="417"/>
  <c r="F14" i="417"/>
  <c r="D14" i="417"/>
  <c r="H13" i="417"/>
  <c r="F13" i="417"/>
  <c r="D13" i="417"/>
  <c r="H12" i="417"/>
  <c r="F12" i="417"/>
  <c r="D12" i="417"/>
  <c r="H11" i="417"/>
  <c r="F11" i="417"/>
  <c r="D11" i="417"/>
  <c r="H10" i="417"/>
  <c r="F10" i="417"/>
  <c r="D10" i="417"/>
  <c r="H9" i="417"/>
  <c r="F9" i="417"/>
  <c r="D9" i="417"/>
  <c r="D8" i="417"/>
  <c r="B5" i="417"/>
  <c r="I6" i="417"/>
  <c r="C5" i="417"/>
  <c r="F4" i="417"/>
  <c r="A3" i="417"/>
  <c r="D58" i="416"/>
  <c r="H52" i="416"/>
  <c r="D52" i="416"/>
  <c r="H51" i="416"/>
  <c r="D51" i="416"/>
  <c r="H50" i="416"/>
  <c r="D50" i="416"/>
  <c r="H49" i="416"/>
  <c r="D49" i="416"/>
  <c r="H43" i="416"/>
  <c r="F43" i="416"/>
  <c r="D43" i="416"/>
  <c r="H42" i="416"/>
  <c r="I41" i="416"/>
  <c r="F42" i="416"/>
  <c r="D42" i="416"/>
  <c r="H40" i="416"/>
  <c r="F40" i="416"/>
  <c r="D40" i="416"/>
  <c r="H39" i="416"/>
  <c r="F39" i="416"/>
  <c r="D39" i="416"/>
  <c r="H38" i="416"/>
  <c r="F38" i="416"/>
  <c r="D38" i="416"/>
  <c r="H32" i="416"/>
  <c r="H31" i="416"/>
  <c r="H30" i="416"/>
  <c r="H29" i="416"/>
  <c r="H28" i="416"/>
  <c r="H27" i="416"/>
  <c r="H21" i="416"/>
  <c r="H20" i="416"/>
  <c r="H19" i="416"/>
  <c r="H18" i="416"/>
  <c r="H17" i="416"/>
  <c r="H16" i="416"/>
  <c r="H15" i="416"/>
  <c r="H14" i="416"/>
  <c r="H13" i="416"/>
  <c r="F12" i="416"/>
  <c r="D12" i="416"/>
  <c r="H11" i="416"/>
  <c r="F11" i="416"/>
  <c r="D11" i="416"/>
  <c r="H10" i="416"/>
  <c r="AB405" i="721"/>
  <c r="I44" i="422"/>
  <c r="I37" i="416"/>
  <c r="F10" i="416"/>
  <c r="D10" i="416"/>
  <c r="H9" i="416"/>
  <c r="F9" i="416"/>
  <c r="D9" i="416"/>
  <c r="D8" i="416"/>
  <c r="B5" i="416"/>
  <c r="F4" i="416"/>
  <c r="A3" i="416"/>
  <c r="D58" i="415"/>
  <c r="H52" i="415"/>
  <c r="D52" i="415"/>
  <c r="H51" i="415"/>
  <c r="D51" i="415"/>
  <c r="H50" i="415"/>
  <c r="D50" i="415"/>
  <c r="H49" i="415"/>
  <c r="D49" i="415"/>
  <c r="H43" i="415"/>
  <c r="F43" i="415"/>
  <c r="D43" i="415"/>
  <c r="H42" i="415"/>
  <c r="F42" i="415"/>
  <c r="D42" i="415"/>
  <c r="H40" i="415"/>
  <c r="H38" i="415"/>
  <c r="H39" i="415"/>
  <c r="I37" i="415"/>
  <c r="F40" i="415"/>
  <c r="D40" i="415"/>
  <c r="F39" i="415"/>
  <c r="D39" i="415"/>
  <c r="F38" i="415"/>
  <c r="D38" i="415"/>
  <c r="H32" i="415"/>
  <c r="H31" i="415"/>
  <c r="H30" i="415"/>
  <c r="H29" i="415"/>
  <c r="H28" i="415"/>
  <c r="I41" i="415"/>
  <c r="I44" i="420"/>
  <c r="AB401" i="720"/>
  <c r="H27" i="415"/>
  <c r="F27" i="415"/>
  <c r="H21" i="415"/>
  <c r="H20" i="415"/>
  <c r="H19" i="415"/>
  <c r="H18" i="415"/>
  <c r="H17" i="415"/>
  <c r="H16" i="415"/>
  <c r="H15" i="415"/>
  <c r="H14" i="415"/>
  <c r="H13" i="415"/>
  <c r="H12" i="415"/>
  <c r="H11" i="415"/>
  <c r="F10" i="415"/>
  <c r="D10" i="415"/>
  <c r="H9" i="415"/>
  <c r="F9" i="415"/>
  <c r="D9" i="415"/>
  <c r="D8" i="415"/>
  <c r="B5" i="415"/>
  <c r="F4" i="415"/>
  <c r="A3" i="415"/>
  <c r="D58" i="414"/>
  <c r="H52" i="414"/>
  <c r="D52" i="414"/>
  <c r="H51" i="414"/>
  <c r="D51" i="414"/>
  <c r="H50" i="414"/>
  <c r="D50" i="414"/>
  <c r="H49" i="414"/>
  <c r="D49" i="414"/>
  <c r="H43" i="414"/>
  <c r="F43" i="414"/>
  <c r="D43" i="414"/>
  <c r="H42" i="414"/>
  <c r="I41" i="414"/>
  <c r="H38" i="414"/>
  <c r="H39" i="414"/>
  <c r="H40" i="414"/>
  <c r="I37" i="414"/>
  <c r="I44" i="414"/>
  <c r="F42" i="414"/>
  <c r="D42" i="414"/>
  <c r="F40" i="414"/>
  <c r="D40" i="414"/>
  <c r="F39" i="414"/>
  <c r="D39" i="414"/>
  <c r="F38" i="414"/>
  <c r="D38" i="414"/>
  <c r="H32" i="414"/>
  <c r="H31" i="414"/>
  <c r="H30" i="414"/>
  <c r="H29" i="414"/>
  <c r="H28" i="414"/>
  <c r="H27" i="414"/>
  <c r="H21" i="414"/>
  <c r="H20" i="414"/>
  <c r="H19" i="414"/>
  <c r="H18" i="414"/>
  <c r="H17" i="414"/>
  <c r="H16" i="414"/>
  <c r="H15" i="414"/>
  <c r="H14" i="414"/>
  <c r="H13" i="414"/>
  <c r="H12" i="414"/>
  <c r="H11" i="414"/>
  <c r="H10" i="414"/>
  <c r="H9" i="414"/>
  <c r="F9" i="414"/>
  <c r="D9" i="414"/>
  <c r="D8" i="414"/>
  <c r="B5" i="414"/>
  <c r="I6" i="414"/>
  <c r="C5" i="414"/>
  <c r="F4" i="414"/>
  <c r="A3" i="414"/>
  <c r="D58" i="413"/>
  <c r="H52" i="413"/>
  <c r="D52" i="413"/>
  <c r="H51" i="413"/>
  <c r="D51" i="413"/>
  <c r="H50" i="413"/>
  <c r="D50" i="413"/>
  <c r="H49" i="413"/>
  <c r="D49" i="413"/>
  <c r="H43" i="413"/>
  <c r="F43" i="413"/>
  <c r="D43" i="413"/>
  <c r="H42" i="413"/>
  <c r="I41" i="413"/>
  <c r="H38" i="413"/>
  <c r="H39" i="413"/>
  <c r="H40" i="413"/>
  <c r="I37" i="413"/>
  <c r="I44" i="413"/>
  <c r="F42" i="413"/>
  <c r="D42" i="413"/>
  <c r="F40" i="413"/>
  <c r="D40" i="413"/>
  <c r="F39" i="413"/>
  <c r="D39" i="413"/>
  <c r="F38" i="413"/>
  <c r="D38" i="413"/>
  <c r="H32" i="413"/>
  <c r="H31" i="413"/>
  <c r="H30" i="413"/>
  <c r="H29" i="413"/>
  <c r="H28" i="413"/>
  <c r="H27" i="413"/>
  <c r="H21" i="413"/>
  <c r="D21" i="413"/>
  <c r="H20" i="413"/>
  <c r="D20" i="413"/>
  <c r="H19" i="413"/>
  <c r="D19" i="413"/>
  <c r="H18" i="413"/>
  <c r="D18" i="413"/>
  <c r="H17" i="413"/>
  <c r="D17" i="413"/>
  <c r="H16" i="413"/>
  <c r="D16" i="413"/>
  <c r="H15" i="413"/>
  <c r="D15" i="413"/>
  <c r="H14" i="413"/>
  <c r="D14" i="413"/>
  <c r="H13" i="413"/>
  <c r="D13" i="413"/>
  <c r="H12" i="413"/>
  <c r="D12" i="413"/>
  <c r="H11" i="413"/>
  <c r="D11" i="413"/>
  <c r="H10" i="413"/>
  <c r="D10" i="413"/>
  <c r="H9" i="413"/>
  <c r="D9" i="413"/>
  <c r="D8" i="413"/>
  <c r="B5" i="413"/>
  <c r="I6" i="413"/>
  <c r="F4" i="413"/>
  <c r="A3" i="413"/>
  <c r="D58" i="412"/>
  <c r="H52" i="412"/>
  <c r="D52" i="412"/>
  <c r="H51" i="412"/>
  <c r="D51" i="412"/>
  <c r="H50" i="412"/>
  <c r="D50" i="412"/>
  <c r="H49" i="412"/>
  <c r="D49" i="412"/>
  <c r="H43" i="412"/>
  <c r="F43" i="412"/>
  <c r="D43" i="412"/>
  <c r="H42" i="412"/>
  <c r="F42" i="412"/>
  <c r="D42" i="412"/>
  <c r="H40" i="412"/>
  <c r="F40" i="412"/>
  <c r="D40" i="412"/>
  <c r="H39" i="412"/>
  <c r="F39" i="412"/>
  <c r="D39" i="412"/>
  <c r="H38" i="412"/>
  <c r="F38" i="412"/>
  <c r="D38" i="412"/>
  <c r="H32" i="412"/>
  <c r="H31" i="412"/>
  <c r="H30" i="412"/>
  <c r="H29" i="412"/>
  <c r="H28" i="412"/>
  <c r="H27" i="412"/>
  <c r="H21" i="412"/>
  <c r="H20" i="412"/>
  <c r="H19" i="412"/>
  <c r="H18" i="412"/>
  <c r="H17" i="412"/>
  <c r="H16" i="412"/>
  <c r="H15" i="412"/>
  <c r="H14" i="412"/>
  <c r="H13" i="412"/>
  <c r="H12" i="412"/>
  <c r="H11" i="412"/>
  <c r="H10" i="412"/>
  <c r="H9" i="412"/>
  <c r="D8" i="412"/>
  <c r="B5" i="412"/>
  <c r="I6" i="412"/>
  <c r="C5" i="412"/>
  <c r="F4" i="412"/>
  <c r="A3" i="412"/>
  <c r="AB401" i="721"/>
  <c r="I37" i="412"/>
  <c r="I41" i="412"/>
  <c r="I44" i="412"/>
  <c r="AB393" i="721"/>
  <c r="AB393" i="720"/>
  <c r="D58" i="398"/>
  <c r="H52" i="398"/>
  <c r="D52" i="398"/>
  <c r="H51" i="398"/>
  <c r="D51" i="398"/>
  <c r="H50" i="398"/>
  <c r="D50" i="398"/>
  <c r="H49" i="398"/>
  <c r="D49" i="398"/>
  <c r="H43" i="398"/>
  <c r="H42" i="398"/>
  <c r="I41" i="398"/>
  <c r="F43" i="398"/>
  <c r="D43" i="398"/>
  <c r="F42" i="398"/>
  <c r="D42" i="398"/>
  <c r="H40" i="398"/>
  <c r="F40" i="398"/>
  <c r="D40" i="398"/>
  <c r="H39" i="398"/>
  <c r="F39" i="398"/>
  <c r="D39" i="398"/>
  <c r="H38" i="398"/>
  <c r="I44" i="398"/>
  <c r="F38" i="398"/>
  <c r="D38" i="398"/>
  <c r="H32" i="398"/>
  <c r="H31" i="398"/>
  <c r="H30" i="398"/>
  <c r="H29" i="398"/>
  <c r="H28" i="398"/>
  <c r="H27" i="398"/>
  <c r="H21" i="398"/>
  <c r="H20" i="398"/>
  <c r="H19" i="398"/>
  <c r="H18" i="398"/>
  <c r="H17" i="398"/>
  <c r="H16" i="398"/>
  <c r="H15" i="398"/>
  <c r="H14" i="398"/>
  <c r="H13" i="398"/>
  <c r="H12" i="398"/>
  <c r="H11" i="398"/>
  <c r="H10" i="398"/>
  <c r="H9" i="398"/>
  <c r="D8" i="398"/>
  <c r="B5" i="398"/>
  <c r="I6" i="398"/>
  <c r="C5" i="398"/>
  <c r="F4" i="398"/>
  <c r="A3" i="398"/>
  <c r="D58" i="394"/>
  <c r="H52" i="394"/>
  <c r="D52" i="394"/>
  <c r="H51" i="394"/>
  <c r="D51" i="394"/>
  <c r="H50" i="394"/>
  <c r="D50" i="394"/>
  <c r="H49" i="394"/>
  <c r="D49" i="394"/>
  <c r="H43" i="394"/>
  <c r="F43" i="394"/>
  <c r="D43" i="394"/>
  <c r="H42" i="394"/>
  <c r="F42" i="394"/>
  <c r="D42" i="394"/>
  <c r="H40" i="394"/>
  <c r="F40" i="394"/>
  <c r="D40" i="394"/>
  <c r="H39" i="394"/>
  <c r="F39" i="394"/>
  <c r="D39" i="394"/>
  <c r="H38" i="394"/>
  <c r="F38" i="394"/>
  <c r="D38" i="394"/>
  <c r="H32" i="394"/>
  <c r="H31" i="394"/>
  <c r="H30" i="394"/>
  <c r="H29" i="394"/>
  <c r="H28" i="394"/>
  <c r="H27" i="394"/>
  <c r="H21" i="394"/>
  <c r="H20" i="394"/>
  <c r="H19" i="394"/>
  <c r="H18" i="394"/>
  <c r="H17" i="394"/>
  <c r="H16" i="394"/>
  <c r="H15" i="394"/>
  <c r="H14" i="394"/>
  <c r="H13" i="394"/>
  <c r="H12" i="394"/>
  <c r="H11" i="394"/>
  <c r="H10" i="394"/>
  <c r="H9" i="394"/>
  <c r="D8" i="394"/>
  <c r="B5" i="394"/>
  <c r="F4" i="394"/>
  <c r="A3" i="394"/>
  <c r="D58" i="390"/>
  <c r="H52" i="390"/>
  <c r="D52" i="390"/>
  <c r="H51" i="390"/>
  <c r="D51" i="390"/>
  <c r="H50" i="390"/>
  <c r="D50" i="390"/>
  <c r="H49" i="390"/>
  <c r="D49" i="390"/>
  <c r="H43" i="390"/>
  <c r="F43" i="390"/>
  <c r="D43" i="390"/>
  <c r="H42" i="390"/>
  <c r="I41" i="390"/>
  <c r="F42" i="390"/>
  <c r="D42" i="390"/>
  <c r="H40" i="390"/>
  <c r="H38" i="390"/>
  <c r="H39" i="390"/>
  <c r="I37" i="390"/>
  <c r="I44" i="390"/>
  <c r="AB389" i="721"/>
  <c r="F40" i="390"/>
  <c r="D40" i="390"/>
  <c r="F39" i="390"/>
  <c r="D39" i="390"/>
  <c r="F38" i="390"/>
  <c r="D38" i="390"/>
  <c r="H32" i="390"/>
  <c r="H31" i="390"/>
  <c r="H30" i="390"/>
  <c r="H29" i="390"/>
  <c r="H28" i="390"/>
  <c r="I41" i="394"/>
  <c r="I37" i="394"/>
  <c r="I44" i="394"/>
  <c r="H27" i="390"/>
  <c r="H21" i="390"/>
  <c r="H20" i="390"/>
  <c r="H19" i="390"/>
  <c r="H18" i="390"/>
  <c r="H17" i="390"/>
  <c r="H16" i="390"/>
  <c r="H15" i="390"/>
  <c r="H14" i="390"/>
  <c r="H13" i="390"/>
  <c r="H12" i="390"/>
  <c r="H11" i="390"/>
  <c r="F10" i="390"/>
  <c r="D10" i="390"/>
  <c r="H9" i="390"/>
  <c r="F9" i="390"/>
  <c r="D9" i="390"/>
  <c r="D8" i="390"/>
  <c r="B5" i="390"/>
  <c r="I6" i="390"/>
  <c r="C5" i="390"/>
  <c r="F4" i="390"/>
  <c r="A3" i="390"/>
  <c r="D58" i="384"/>
  <c r="H52" i="384"/>
  <c r="D52" i="384"/>
  <c r="H51" i="384"/>
  <c r="D51" i="384"/>
  <c r="H50" i="384"/>
  <c r="D50" i="384"/>
  <c r="H49" i="384"/>
  <c r="D49" i="384"/>
  <c r="H43" i="384"/>
  <c r="F43" i="384"/>
  <c r="D43" i="384"/>
  <c r="H42" i="384"/>
  <c r="I41" i="384"/>
  <c r="F42" i="384"/>
  <c r="D42" i="384"/>
  <c r="H40" i="384"/>
  <c r="F40" i="384"/>
  <c r="D40" i="384"/>
  <c r="H39" i="384"/>
  <c r="F39" i="384"/>
  <c r="D39" i="384"/>
  <c r="H38" i="384"/>
  <c r="F38" i="384"/>
  <c r="D38" i="384"/>
  <c r="H32" i="384"/>
  <c r="H31" i="384"/>
  <c r="H30" i="384"/>
  <c r="H29" i="384"/>
  <c r="H28" i="384"/>
  <c r="H27" i="384"/>
  <c r="H21" i="384"/>
  <c r="H20" i="384"/>
  <c r="H19" i="384"/>
  <c r="H18" i="384"/>
  <c r="H17" i="384"/>
  <c r="H16" i="384"/>
  <c r="H15" i="384"/>
  <c r="H14" i="384"/>
  <c r="H13" i="384"/>
  <c r="H11" i="384"/>
  <c r="I37" i="384"/>
  <c r="I44" i="384"/>
  <c r="H10" i="384"/>
  <c r="H9" i="384"/>
  <c r="D8" i="384"/>
  <c r="B5" i="384"/>
  <c r="I6" i="384"/>
  <c r="F4" i="384"/>
  <c r="A3" i="384"/>
  <c r="D58" i="383"/>
  <c r="H52" i="383"/>
  <c r="D52" i="383"/>
  <c r="H51" i="383"/>
  <c r="D51" i="383"/>
  <c r="H50" i="383"/>
  <c r="D50" i="383"/>
  <c r="H49" i="383"/>
  <c r="D49" i="383"/>
  <c r="H43" i="383"/>
  <c r="F43" i="383"/>
  <c r="D43" i="383"/>
  <c r="H42" i="383"/>
  <c r="F42" i="383"/>
  <c r="D42" i="383"/>
  <c r="H40" i="383"/>
  <c r="F40" i="383"/>
  <c r="D40" i="383"/>
  <c r="H39" i="383"/>
  <c r="H38" i="383"/>
  <c r="I37" i="383"/>
  <c r="I41" i="383"/>
  <c r="I44" i="383"/>
  <c r="F39" i="383"/>
  <c r="D39" i="383"/>
  <c r="F38" i="383"/>
  <c r="D38" i="383"/>
  <c r="H32" i="383"/>
  <c r="H31" i="383"/>
  <c r="H30" i="383"/>
  <c r="H29" i="383"/>
  <c r="H28" i="383"/>
  <c r="H27" i="383"/>
  <c r="H21" i="383"/>
  <c r="H20" i="383"/>
  <c r="H19" i="383"/>
  <c r="H18" i="383"/>
  <c r="H17" i="383"/>
  <c r="H16" i="383"/>
  <c r="H15" i="383"/>
  <c r="H14" i="383"/>
  <c r="D13" i="383"/>
  <c r="D12" i="383"/>
  <c r="AB389" i="720"/>
  <c r="AB392" i="720"/>
  <c r="AB392" i="721"/>
  <c r="D11" i="383"/>
  <c r="D10" i="383"/>
  <c r="D9" i="383"/>
  <c r="D8" i="383"/>
  <c r="B5" i="383"/>
  <c r="I6" i="383"/>
  <c r="C5" i="383"/>
  <c r="F4" i="383"/>
  <c r="A3" i="383"/>
  <c r="D58" i="382"/>
  <c r="H52" i="382"/>
  <c r="D52" i="382"/>
  <c r="H51" i="382"/>
  <c r="D51" i="382"/>
  <c r="H50" i="382"/>
  <c r="D50" i="382"/>
  <c r="H49" i="382"/>
  <c r="D49" i="382"/>
  <c r="H43" i="382"/>
  <c r="F43" i="382"/>
  <c r="D43" i="382"/>
  <c r="H42" i="382"/>
  <c r="F42" i="382"/>
  <c r="D42" i="382"/>
  <c r="H40" i="382"/>
  <c r="F40" i="382"/>
  <c r="D40" i="382"/>
  <c r="H39" i="382"/>
  <c r="F39" i="382"/>
  <c r="D39" i="382"/>
  <c r="H38" i="382"/>
  <c r="F38" i="382"/>
  <c r="D38" i="382"/>
  <c r="H37" i="382"/>
  <c r="H32" i="382"/>
  <c r="H31" i="382"/>
  <c r="H30" i="382"/>
  <c r="H29" i="382"/>
  <c r="H28" i="382"/>
  <c r="H27" i="382"/>
  <c r="H21" i="382"/>
  <c r="H20" i="382"/>
  <c r="H19" i="382"/>
  <c r="H18" i="382"/>
  <c r="H17" i="382"/>
  <c r="H16" i="382"/>
  <c r="H15" i="382"/>
  <c r="H14" i="382"/>
  <c r="H13" i="382"/>
  <c r="H12" i="382"/>
  <c r="H11" i="382"/>
  <c r="H10" i="382"/>
  <c r="H9" i="382"/>
  <c r="F9" i="382"/>
  <c r="D9" i="382"/>
  <c r="D8" i="382"/>
  <c r="B5" i="382"/>
  <c r="I6" i="382"/>
  <c r="C5" i="382"/>
  <c r="F4" i="382"/>
  <c r="A3" i="382"/>
  <c r="D58" i="374"/>
  <c r="H52" i="374"/>
  <c r="D52" i="374"/>
  <c r="H51" i="374"/>
  <c r="D51" i="374"/>
  <c r="H50" i="374"/>
  <c r="D50" i="374"/>
  <c r="H49" i="374"/>
  <c r="D49" i="374"/>
  <c r="H43" i="374"/>
  <c r="H42" i="374"/>
  <c r="I41" i="374"/>
  <c r="F43" i="374"/>
  <c r="D43" i="374"/>
  <c r="F42" i="374"/>
  <c r="D42" i="374"/>
  <c r="H40" i="374"/>
  <c r="F40" i="374"/>
  <c r="D40" i="374"/>
  <c r="H39" i="374"/>
  <c r="F39" i="374"/>
  <c r="D39" i="374"/>
  <c r="H38" i="374"/>
  <c r="I37" i="374"/>
  <c r="I44" i="374"/>
  <c r="F38" i="374"/>
  <c r="D38" i="374"/>
  <c r="H32" i="374"/>
  <c r="H31" i="374"/>
  <c r="H30" i="374"/>
  <c r="H29" i="374"/>
  <c r="H28" i="374"/>
  <c r="H27" i="374"/>
  <c r="H21" i="374"/>
  <c r="H20" i="374"/>
  <c r="H19" i="374"/>
  <c r="H18" i="374"/>
  <c r="H17" i="374"/>
  <c r="H16" i="374"/>
  <c r="H15" i="374"/>
  <c r="H14" i="374"/>
  <c r="H13" i="374"/>
  <c r="H12" i="374"/>
  <c r="H11" i="374"/>
  <c r="H10" i="374"/>
  <c r="H9" i="374"/>
  <c r="F9" i="374"/>
  <c r="D9" i="374"/>
  <c r="D8" i="374"/>
  <c r="B5" i="374"/>
  <c r="I6" i="374"/>
  <c r="F4" i="374"/>
  <c r="A3" i="374"/>
  <c r="I37" i="382"/>
  <c r="D58" i="312"/>
  <c r="H52" i="312"/>
  <c r="D52" i="312"/>
  <c r="H51" i="312"/>
  <c r="D51" i="312"/>
  <c r="H50" i="312"/>
  <c r="D50" i="312"/>
  <c r="H49" i="312"/>
  <c r="D49" i="312"/>
  <c r="H43" i="312"/>
  <c r="F43" i="312"/>
  <c r="D43" i="312"/>
  <c r="H42" i="312"/>
  <c r="F42" i="312"/>
  <c r="D42" i="312"/>
  <c r="H40" i="312"/>
  <c r="F40" i="312"/>
  <c r="D40" i="312"/>
  <c r="H39" i="312"/>
  <c r="F39" i="312"/>
  <c r="D39" i="312"/>
  <c r="H38" i="312"/>
  <c r="F38" i="312"/>
  <c r="D38" i="312"/>
  <c r="H32" i="312"/>
  <c r="F32" i="312"/>
  <c r="H31" i="312"/>
  <c r="F31" i="312"/>
  <c r="H30" i="312"/>
  <c r="F30" i="312"/>
  <c r="H29" i="312"/>
  <c r="F29" i="312"/>
  <c r="H28" i="312"/>
  <c r="F28" i="312"/>
  <c r="H27" i="312"/>
  <c r="F27" i="312"/>
  <c r="H21" i="312"/>
  <c r="F21" i="312"/>
  <c r="D21" i="312"/>
  <c r="H20" i="312"/>
  <c r="F20" i="312"/>
  <c r="D20" i="312"/>
  <c r="H19" i="312"/>
  <c r="F19" i="312"/>
  <c r="D19" i="312"/>
  <c r="H18" i="312"/>
  <c r="F18" i="312"/>
  <c r="D18" i="312"/>
  <c r="H17" i="312"/>
  <c r="F17" i="312"/>
  <c r="D17" i="312"/>
  <c r="H16" i="312"/>
  <c r="F16" i="312"/>
  <c r="D16" i="312"/>
  <c r="H15" i="312"/>
  <c r="F15" i="312"/>
  <c r="D15" i="312"/>
  <c r="H14" i="312"/>
  <c r="F14" i="312"/>
  <c r="D14" i="312"/>
  <c r="H13" i="312"/>
  <c r="F13" i="312"/>
  <c r="D13" i="312"/>
  <c r="H12" i="312"/>
  <c r="F12" i="312"/>
  <c r="D12" i="312"/>
  <c r="AB384" i="720"/>
  <c r="AB384" i="721"/>
  <c r="I41" i="312"/>
  <c r="D11" i="312"/>
  <c r="D10" i="312"/>
  <c r="AB383" i="721"/>
  <c r="AB382" i="721"/>
  <c r="AB383" i="720"/>
  <c r="AB382" i="720"/>
  <c r="D9" i="312"/>
  <c r="D8" i="312"/>
  <c r="B5" i="312"/>
  <c r="I6" i="312"/>
  <c r="F4" i="312"/>
  <c r="A3" i="312"/>
  <c r="AB381" i="720"/>
  <c r="AB381" i="721"/>
  <c r="AB379" i="720"/>
  <c r="AB379" i="721"/>
  <c r="D56" i="639"/>
  <c r="H50" i="639"/>
  <c r="D50" i="639"/>
  <c r="H49" i="639"/>
  <c r="D49" i="639"/>
  <c r="H48" i="639"/>
  <c r="D48" i="639"/>
  <c r="H47" i="639"/>
  <c r="D47" i="639"/>
  <c r="H41" i="639"/>
  <c r="F41" i="639"/>
  <c r="D41" i="639"/>
  <c r="H40" i="639"/>
  <c r="H39" i="639"/>
  <c r="I38" i="639"/>
  <c r="F40" i="639"/>
  <c r="D40" i="639"/>
  <c r="F39" i="639"/>
  <c r="D39" i="639"/>
  <c r="H38" i="639"/>
  <c r="F38" i="639"/>
  <c r="H37" i="639"/>
  <c r="H36" i="639"/>
  <c r="I35" i="639"/>
  <c r="F37" i="639"/>
  <c r="D37" i="639"/>
  <c r="F36" i="639"/>
  <c r="D36" i="639"/>
  <c r="H30" i="639"/>
  <c r="F30" i="639"/>
  <c r="H29" i="639"/>
  <c r="F29" i="639"/>
  <c r="H28" i="639"/>
  <c r="F28" i="639"/>
  <c r="H27" i="639"/>
  <c r="F27" i="639"/>
  <c r="H26" i="639"/>
  <c r="F26" i="639"/>
  <c r="H25" i="639"/>
  <c r="F25" i="639"/>
  <c r="H19" i="639"/>
  <c r="F19" i="639"/>
  <c r="D19" i="639"/>
  <c r="H18" i="639"/>
  <c r="F18" i="639"/>
  <c r="D18" i="639"/>
  <c r="H17" i="639"/>
  <c r="F17" i="639"/>
  <c r="D17" i="639"/>
  <c r="H16" i="639"/>
  <c r="F16" i="639"/>
  <c r="D16" i="639"/>
  <c r="H15" i="639"/>
  <c r="F15" i="639"/>
  <c r="D15" i="639"/>
  <c r="H14" i="639"/>
  <c r="F14" i="639"/>
  <c r="D14" i="639"/>
  <c r="H13" i="639"/>
  <c r="F13" i="639"/>
  <c r="D13" i="639"/>
  <c r="H12" i="639"/>
  <c r="F12" i="639"/>
  <c r="D12" i="639"/>
  <c r="H11" i="639"/>
  <c r="F11" i="639"/>
  <c r="D11" i="639"/>
  <c r="H10" i="639"/>
  <c r="F10" i="639"/>
  <c r="D10" i="639"/>
  <c r="D9" i="639"/>
  <c r="D8" i="639"/>
  <c r="I6" i="639"/>
  <c r="C5" i="639"/>
  <c r="B5" i="639"/>
  <c r="F4" i="639"/>
  <c r="A3" i="639"/>
  <c r="D54" i="543"/>
  <c r="H48" i="543"/>
  <c r="D48" i="543"/>
  <c r="H47" i="543"/>
  <c r="D47" i="543"/>
  <c r="H46" i="543"/>
  <c r="D46" i="543"/>
  <c r="H45" i="543"/>
  <c r="D45" i="543"/>
  <c r="H39" i="543"/>
  <c r="H38" i="543"/>
  <c r="I37" i="543"/>
  <c r="F39" i="543"/>
  <c r="D39" i="543"/>
  <c r="F38" i="543"/>
  <c r="D38" i="543"/>
  <c r="H36" i="543"/>
  <c r="F36" i="543"/>
  <c r="D36" i="543"/>
  <c r="H35" i="543"/>
  <c r="F35" i="543"/>
  <c r="D35" i="543"/>
  <c r="H34" i="543"/>
  <c r="I33" i="543"/>
  <c r="F34" i="543"/>
  <c r="D34" i="543"/>
  <c r="H28" i="543"/>
  <c r="F28" i="543"/>
  <c r="H27" i="543"/>
  <c r="F27" i="543"/>
  <c r="H26" i="543"/>
  <c r="F26" i="543"/>
  <c r="H25" i="543"/>
  <c r="F25" i="543"/>
  <c r="H24" i="543"/>
  <c r="F24" i="543"/>
  <c r="H23" i="543"/>
  <c r="F23" i="543"/>
  <c r="H17" i="543"/>
  <c r="F17" i="543"/>
  <c r="D17" i="543"/>
  <c r="H16" i="543"/>
  <c r="F16" i="543"/>
  <c r="D16" i="543"/>
  <c r="H15" i="543"/>
  <c r="F15" i="543"/>
  <c r="D15" i="543"/>
  <c r="H14" i="543"/>
  <c r="F14" i="543"/>
  <c r="D14" i="543"/>
  <c r="H13" i="543"/>
  <c r="F13" i="543"/>
  <c r="D13" i="543"/>
  <c r="H12" i="543"/>
  <c r="F12" i="543"/>
  <c r="D12" i="543"/>
  <c r="H11" i="543"/>
  <c r="F11" i="543"/>
  <c r="D11" i="543"/>
  <c r="D10" i="543"/>
  <c r="D9" i="543"/>
  <c r="D8" i="543"/>
  <c r="I6" i="543"/>
  <c r="C5" i="543"/>
  <c r="B5" i="543"/>
  <c r="F4" i="543"/>
  <c r="A3" i="543"/>
  <c r="D55" i="542"/>
  <c r="H49" i="542"/>
  <c r="D49" i="542"/>
  <c r="H48" i="542"/>
  <c r="D48" i="542"/>
  <c r="H47" i="542"/>
  <c r="D47" i="542"/>
  <c r="H46" i="542"/>
  <c r="D46" i="542"/>
  <c r="H40" i="542"/>
  <c r="F40" i="542"/>
  <c r="D40" i="542"/>
  <c r="H39" i="542"/>
  <c r="I38" i="542"/>
  <c r="F39" i="542"/>
  <c r="D39" i="542"/>
  <c r="H37" i="542"/>
  <c r="F37" i="542"/>
  <c r="D37" i="542"/>
  <c r="H36" i="542"/>
  <c r="F36" i="542"/>
  <c r="D36" i="542"/>
  <c r="H35" i="542"/>
  <c r="I34" i="542"/>
  <c r="F35" i="542"/>
  <c r="D35" i="542"/>
  <c r="H29" i="542"/>
  <c r="F29" i="542"/>
  <c r="H28" i="542"/>
  <c r="F28" i="542"/>
  <c r="H27" i="542"/>
  <c r="F27" i="542"/>
  <c r="H26" i="542"/>
  <c r="F26" i="542"/>
  <c r="H25" i="542"/>
  <c r="F25" i="542"/>
  <c r="H24" i="542"/>
  <c r="F24" i="542"/>
  <c r="H18" i="542"/>
  <c r="F18" i="542"/>
  <c r="D18" i="542"/>
  <c r="H17" i="542"/>
  <c r="F17" i="542"/>
  <c r="D17" i="542"/>
  <c r="H16" i="542"/>
  <c r="F16" i="542"/>
  <c r="D16" i="542"/>
  <c r="H15" i="542"/>
  <c r="F15" i="542"/>
  <c r="D15" i="542"/>
  <c r="H14" i="542"/>
  <c r="F14" i="542"/>
  <c r="D14" i="542"/>
  <c r="H13" i="542"/>
  <c r="F13" i="542"/>
  <c r="D13" i="542"/>
  <c r="H12" i="542"/>
  <c r="F12" i="542"/>
  <c r="D12" i="542"/>
  <c r="H11" i="542"/>
  <c r="F11" i="542"/>
  <c r="D11" i="542"/>
  <c r="H10" i="542"/>
  <c r="F10" i="542"/>
  <c r="D10" i="542"/>
  <c r="D9" i="542"/>
  <c r="D8" i="542"/>
  <c r="I6" i="542"/>
  <c r="C5" i="542"/>
  <c r="B5" i="542"/>
  <c r="F4" i="542"/>
  <c r="A3" i="542"/>
  <c r="D55" i="541"/>
  <c r="H49" i="541"/>
  <c r="D49" i="541"/>
  <c r="H48" i="541"/>
  <c r="D48" i="541"/>
  <c r="H47" i="541"/>
  <c r="D47" i="541"/>
  <c r="H46" i="541"/>
  <c r="D46" i="541"/>
  <c r="H40" i="541"/>
  <c r="H39" i="541"/>
  <c r="I38" i="541"/>
  <c r="F40" i="541"/>
  <c r="D40" i="541"/>
  <c r="F39" i="541"/>
  <c r="D39" i="541"/>
  <c r="H37" i="541"/>
  <c r="F37" i="541"/>
  <c r="D37" i="541"/>
  <c r="H36" i="541"/>
  <c r="H35" i="541"/>
  <c r="I34" i="541"/>
  <c r="F36" i="541"/>
  <c r="D36" i="541"/>
  <c r="F35" i="541"/>
  <c r="D35" i="541"/>
  <c r="H29" i="541"/>
  <c r="F29" i="541"/>
  <c r="H28" i="541"/>
  <c r="F28" i="541"/>
  <c r="H27" i="541"/>
  <c r="F27" i="541"/>
  <c r="H26" i="541"/>
  <c r="F26" i="541"/>
  <c r="H25" i="541"/>
  <c r="F25" i="541"/>
  <c r="H24" i="541"/>
  <c r="F24" i="541"/>
  <c r="H18" i="541"/>
  <c r="F18" i="541"/>
  <c r="D18" i="541"/>
  <c r="H17" i="541"/>
  <c r="F17" i="541"/>
  <c r="D17" i="541"/>
  <c r="H16" i="541"/>
  <c r="F16" i="541"/>
  <c r="D16" i="541"/>
  <c r="H15" i="541"/>
  <c r="F15" i="541"/>
  <c r="D15" i="541"/>
  <c r="H14" i="541"/>
  <c r="F14" i="541"/>
  <c r="D14" i="541"/>
  <c r="H13" i="541"/>
  <c r="F13" i="541"/>
  <c r="D13" i="541"/>
  <c r="H12" i="541"/>
  <c r="F12" i="541"/>
  <c r="D12" i="541"/>
  <c r="H11" i="541"/>
  <c r="F11" i="541"/>
  <c r="D11" i="541"/>
  <c r="H10" i="541"/>
  <c r="F10" i="541"/>
  <c r="D10" i="541"/>
  <c r="D9" i="541"/>
  <c r="D8" i="541"/>
  <c r="I6" i="541"/>
  <c r="C5" i="541"/>
  <c r="B5" i="541"/>
  <c r="F4" i="541"/>
  <c r="A3" i="541"/>
  <c r="D55" i="540"/>
  <c r="H49" i="540"/>
  <c r="D49" i="540"/>
  <c r="H48" i="540"/>
  <c r="D48" i="540"/>
  <c r="H47" i="540"/>
  <c r="D47" i="540"/>
  <c r="H46" i="540"/>
  <c r="D46" i="540"/>
  <c r="H40" i="540"/>
  <c r="F40" i="540"/>
  <c r="D40" i="540"/>
  <c r="H39" i="540"/>
  <c r="I38" i="540"/>
  <c r="F39" i="540"/>
  <c r="D39" i="540"/>
  <c r="H37" i="540"/>
  <c r="F37" i="540"/>
  <c r="D37" i="540"/>
  <c r="H36" i="540"/>
  <c r="F36" i="540"/>
  <c r="D36" i="540"/>
  <c r="H35" i="540"/>
  <c r="F35" i="540"/>
  <c r="D35" i="540"/>
  <c r="H29" i="540"/>
  <c r="F29" i="540"/>
  <c r="H28" i="540"/>
  <c r="F28" i="540"/>
  <c r="H27" i="540"/>
  <c r="F27" i="540"/>
  <c r="H26" i="540"/>
  <c r="F26" i="540"/>
  <c r="H25" i="540"/>
  <c r="F25" i="540"/>
  <c r="H24" i="540"/>
  <c r="F24" i="540"/>
  <c r="H18" i="540"/>
  <c r="F18" i="540"/>
  <c r="D18" i="540"/>
  <c r="H17" i="540"/>
  <c r="F17" i="540"/>
  <c r="D17" i="540"/>
  <c r="H16" i="540"/>
  <c r="F16" i="540"/>
  <c r="D16" i="540"/>
  <c r="H15" i="540"/>
  <c r="F15" i="540"/>
  <c r="D15" i="540"/>
  <c r="H14" i="540"/>
  <c r="F14" i="540"/>
  <c r="D14" i="540"/>
  <c r="H13" i="540"/>
  <c r="F13" i="540"/>
  <c r="D13" i="540"/>
  <c r="D12" i="540"/>
  <c r="D11" i="540"/>
  <c r="D10" i="540"/>
  <c r="D9" i="540"/>
  <c r="D8" i="540"/>
  <c r="I6" i="540"/>
  <c r="C5" i="540"/>
  <c r="B5" i="540"/>
  <c r="F4" i="540"/>
  <c r="A3" i="540"/>
  <c r="D55" i="539"/>
  <c r="H49" i="539"/>
  <c r="D49" i="539"/>
  <c r="H48" i="539"/>
  <c r="D48" i="539"/>
  <c r="H47" i="539"/>
  <c r="D47" i="539"/>
  <c r="H46" i="539"/>
  <c r="D46" i="539"/>
  <c r="H40" i="539"/>
  <c r="F40" i="539"/>
  <c r="D40" i="539"/>
  <c r="H39" i="539"/>
  <c r="I38" i="539"/>
  <c r="F39" i="539"/>
  <c r="D39" i="539"/>
  <c r="H37" i="539"/>
  <c r="F37" i="539"/>
  <c r="D37" i="539"/>
  <c r="H36" i="539"/>
  <c r="F36" i="539"/>
  <c r="D36" i="539"/>
  <c r="H35" i="539"/>
  <c r="I34" i="539"/>
  <c r="I41" i="539"/>
  <c r="F35" i="539"/>
  <c r="D35" i="539"/>
  <c r="H29" i="539"/>
  <c r="F29" i="539"/>
  <c r="H28" i="539"/>
  <c r="F28" i="539"/>
  <c r="H27" i="539"/>
  <c r="F27" i="539"/>
  <c r="H26" i="539"/>
  <c r="F26" i="539"/>
  <c r="H25" i="539"/>
  <c r="F25" i="539"/>
  <c r="H24" i="539"/>
  <c r="F24" i="539"/>
  <c r="H18" i="539"/>
  <c r="F18" i="539"/>
  <c r="D18" i="539"/>
  <c r="H17" i="539"/>
  <c r="F17" i="539"/>
  <c r="D17" i="539"/>
  <c r="H16" i="539"/>
  <c r="F16" i="539"/>
  <c r="D16" i="539"/>
  <c r="H15" i="539"/>
  <c r="F15" i="539"/>
  <c r="D15" i="539"/>
  <c r="H14" i="539"/>
  <c r="F14" i="539"/>
  <c r="D14" i="539"/>
  <c r="D13" i="539"/>
  <c r="D12" i="539"/>
  <c r="D11" i="539"/>
  <c r="D10" i="539"/>
  <c r="D9" i="539"/>
  <c r="D8" i="539"/>
  <c r="I6" i="539"/>
  <c r="C5" i="539"/>
  <c r="B5" i="539"/>
  <c r="F4" i="539"/>
  <c r="A3" i="539"/>
  <c r="D56" i="618"/>
  <c r="H50" i="618"/>
  <c r="D50" i="618"/>
  <c r="H49" i="618"/>
  <c r="D49" i="618"/>
  <c r="H48" i="618"/>
  <c r="D48" i="618"/>
  <c r="H47" i="618"/>
  <c r="D47" i="618"/>
  <c r="H41" i="618"/>
  <c r="F41" i="618"/>
  <c r="D41" i="618"/>
  <c r="H40" i="618"/>
  <c r="F40" i="618"/>
  <c r="D40" i="618"/>
  <c r="H39" i="618"/>
  <c r="F39" i="618"/>
  <c r="D39" i="618"/>
  <c r="H38" i="618"/>
  <c r="F38" i="618"/>
  <c r="H37" i="618"/>
  <c r="F37" i="618"/>
  <c r="D37" i="618"/>
  <c r="H36" i="618"/>
  <c r="I35" i="618"/>
  <c r="F36" i="618"/>
  <c r="D36" i="618"/>
  <c r="H30" i="618"/>
  <c r="F30" i="618"/>
  <c r="H29" i="618"/>
  <c r="F29" i="618"/>
  <c r="H28" i="618"/>
  <c r="F28" i="618"/>
  <c r="H27" i="618"/>
  <c r="F27" i="618"/>
  <c r="H26" i="618"/>
  <c r="F26" i="618"/>
  <c r="H25" i="618"/>
  <c r="F25" i="618"/>
  <c r="H19" i="618"/>
  <c r="F19" i="618"/>
  <c r="D19" i="618"/>
  <c r="H18" i="618"/>
  <c r="F18" i="618"/>
  <c r="D18" i="618"/>
  <c r="H17" i="618"/>
  <c r="F17" i="618"/>
  <c r="D17" i="618"/>
  <c r="H16" i="618"/>
  <c r="F16" i="618"/>
  <c r="D16" i="618"/>
  <c r="H15" i="618"/>
  <c r="F15" i="618"/>
  <c r="D15" i="618"/>
  <c r="H14" i="618"/>
  <c r="F14" i="618"/>
  <c r="D14" i="618"/>
  <c r="H13" i="618"/>
  <c r="F13" i="618"/>
  <c r="D13" i="618"/>
  <c r="H12" i="618"/>
  <c r="F12" i="618"/>
  <c r="D12" i="618"/>
  <c r="H11" i="618"/>
  <c r="F11" i="618"/>
  <c r="D11" i="618"/>
  <c r="H10" i="618"/>
  <c r="F10" i="618"/>
  <c r="D10" i="618"/>
  <c r="D9" i="618"/>
  <c r="D8" i="618"/>
  <c r="I6" i="618"/>
  <c r="C5" i="618"/>
  <c r="B5" i="618"/>
  <c r="F4" i="618"/>
  <c r="A3" i="618"/>
  <c r="D56" i="617"/>
  <c r="H50" i="617"/>
  <c r="D50" i="617"/>
  <c r="H49" i="617"/>
  <c r="D49" i="617"/>
  <c r="H48" i="617"/>
  <c r="D48" i="617"/>
  <c r="H47" i="617"/>
  <c r="D47" i="617"/>
  <c r="H41" i="617"/>
  <c r="F41" i="617"/>
  <c r="D41" i="617"/>
  <c r="H40" i="617"/>
  <c r="F40" i="617"/>
  <c r="D40" i="617"/>
  <c r="H39" i="617"/>
  <c r="I38" i="617"/>
  <c r="F39" i="617"/>
  <c r="D39" i="617"/>
  <c r="H38" i="617"/>
  <c r="F38" i="617"/>
  <c r="H37" i="617"/>
  <c r="F37" i="617"/>
  <c r="D37" i="617"/>
  <c r="H36" i="617"/>
  <c r="I35" i="617"/>
  <c r="I42" i="617"/>
  <c r="F36" i="617"/>
  <c r="D36" i="617"/>
  <c r="H30" i="617"/>
  <c r="F30" i="617"/>
  <c r="H29" i="617"/>
  <c r="F29" i="617"/>
  <c r="H28" i="617"/>
  <c r="F28" i="617"/>
  <c r="H27" i="617"/>
  <c r="F27" i="617"/>
  <c r="H26" i="617"/>
  <c r="F26" i="617"/>
  <c r="H25" i="617"/>
  <c r="F25" i="617"/>
  <c r="H19" i="617"/>
  <c r="F19" i="617"/>
  <c r="D19" i="617"/>
  <c r="H18" i="617"/>
  <c r="F18" i="617"/>
  <c r="D18" i="617"/>
  <c r="H17" i="617"/>
  <c r="F17" i="617"/>
  <c r="D17" i="617"/>
  <c r="H16" i="617"/>
  <c r="F16" i="617"/>
  <c r="D16" i="617"/>
  <c r="H15" i="617"/>
  <c r="F15" i="617"/>
  <c r="D15" i="617"/>
  <c r="H14" i="617"/>
  <c r="F14" i="617"/>
  <c r="D14" i="617"/>
  <c r="H13" i="617"/>
  <c r="F13" i="617"/>
  <c r="D13" i="617"/>
  <c r="H12" i="617"/>
  <c r="F12" i="617"/>
  <c r="D12" i="617"/>
  <c r="H11" i="617"/>
  <c r="F11" i="617"/>
  <c r="D11" i="617"/>
  <c r="H10" i="617"/>
  <c r="F10" i="617"/>
  <c r="D10" i="617"/>
  <c r="D9" i="617"/>
  <c r="D8" i="617"/>
  <c r="I6" i="617"/>
  <c r="C5" i="617"/>
  <c r="B5" i="617"/>
  <c r="F4" i="617"/>
  <c r="A3" i="617"/>
  <c r="D56" i="620"/>
  <c r="H50" i="620"/>
  <c r="D50" i="620"/>
  <c r="H49" i="620"/>
  <c r="D49" i="620"/>
  <c r="H48" i="620"/>
  <c r="D48" i="620"/>
  <c r="H47" i="620"/>
  <c r="D47" i="620"/>
  <c r="H41" i="620"/>
  <c r="F41" i="620"/>
  <c r="D41" i="620"/>
  <c r="H40" i="620"/>
  <c r="H39" i="620"/>
  <c r="I38" i="620"/>
  <c r="F40" i="620"/>
  <c r="D40" i="620"/>
  <c r="F39" i="620"/>
  <c r="D39" i="620"/>
  <c r="H38" i="620"/>
  <c r="F38" i="620"/>
  <c r="H37" i="620"/>
  <c r="F37" i="620"/>
  <c r="D37" i="620"/>
  <c r="H36" i="620"/>
  <c r="F36" i="620"/>
  <c r="D36" i="620"/>
  <c r="H30" i="620"/>
  <c r="F30" i="620"/>
  <c r="H29" i="620"/>
  <c r="F29" i="620"/>
  <c r="H28" i="620"/>
  <c r="F28" i="620"/>
  <c r="H27" i="620"/>
  <c r="F27" i="620"/>
  <c r="H26" i="620"/>
  <c r="F26" i="620"/>
  <c r="H25" i="620"/>
  <c r="F25" i="620"/>
  <c r="H19" i="620"/>
  <c r="F19" i="620"/>
  <c r="D19" i="620"/>
  <c r="H18" i="620"/>
  <c r="F18" i="620"/>
  <c r="D18" i="620"/>
  <c r="H17" i="620"/>
  <c r="F17" i="620"/>
  <c r="D17" i="620"/>
  <c r="H16" i="620"/>
  <c r="F16" i="620"/>
  <c r="D16" i="620"/>
  <c r="H15" i="620"/>
  <c r="F15" i="620"/>
  <c r="D15" i="620"/>
  <c r="H14" i="620"/>
  <c r="F14" i="620"/>
  <c r="D14" i="620"/>
  <c r="H13" i="620"/>
  <c r="F13" i="620"/>
  <c r="D13" i="620"/>
  <c r="H12" i="620"/>
  <c r="F12" i="620"/>
  <c r="D12" i="620"/>
  <c r="H11" i="620"/>
  <c r="F11" i="620"/>
  <c r="D11" i="620"/>
  <c r="D10" i="620"/>
  <c r="D9" i="620"/>
  <c r="D8" i="620"/>
  <c r="I6" i="620"/>
  <c r="C5" i="620"/>
  <c r="B5" i="620"/>
  <c r="F4" i="620"/>
  <c r="A3" i="620"/>
  <c r="D56" i="619"/>
  <c r="H50" i="619"/>
  <c r="D50" i="619"/>
  <c r="H49" i="619"/>
  <c r="D49" i="619"/>
  <c r="H48" i="619"/>
  <c r="D48" i="619"/>
  <c r="H47" i="619"/>
  <c r="D47" i="619"/>
  <c r="H41" i="619"/>
  <c r="F41" i="619"/>
  <c r="D41" i="619"/>
  <c r="H40" i="619"/>
  <c r="F40" i="619"/>
  <c r="D40" i="619"/>
  <c r="H39" i="619"/>
  <c r="I38" i="619"/>
  <c r="F39" i="619"/>
  <c r="D39" i="619"/>
  <c r="H38" i="619"/>
  <c r="F38" i="619"/>
  <c r="H37" i="619"/>
  <c r="F37" i="619"/>
  <c r="D37" i="619"/>
  <c r="H36" i="619"/>
  <c r="I35" i="619"/>
  <c r="I42" i="619"/>
  <c r="AB342" i="721"/>
  <c r="F36" i="619"/>
  <c r="D36" i="619"/>
  <c r="H30" i="619"/>
  <c r="F30" i="619"/>
  <c r="H29" i="619"/>
  <c r="F29" i="619"/>
  <c r="H28" i="619"/>
  <c r="F28" i="619"/>
  <c r="H27" i="619"/>
  <c r="F27" i="619"/>
  <c r="H26" i="619"/>
  <c r="F26" i="619"/>
  <c r="H25" i="619"/>
  <c r="F25" i="619"/>
  <c r="H19" i="619"/>
  <c r="F19" i="619"/>
  <c r="D19" i="619"/>
  <c r="H18" i="619"/>
  <c r="F18" i="619"/>
  <c r="D18" i="619"/>
  <c r="H17" i="619"/>
  <c r="F17" i="619"/>
  <c r="D17" i="619"/>
  <c r="H16" i="619"/>
  <c r="F16" i="619"/>
  <c r="D16" i="619"/>
  <c r="H15" i="619"/>
  <c r="F15" i="619"/>
  <c r="D15" i="619"/>
  <c r="H14" i="619"/>
  <c r="F14" i="619"/>
  <c r="D14" i="619"/>
  <c r="H13" i="619"/>
  <c r="F13" i="619"/>
  <c r="D13" i="619"/>
  <c r="H12" i="619"/>
  <c r="F12" i="619"/>
  <c r="D12" i="619"/>
  <c r="H11" i="619"/>
  <c r="F11" i="619"/>
  <c r="D11" i="619"/>
  <c r="D10" i="619"/>
  <c r="I34" i="540"/>
  <c r="I41" i="540"/>
  <c r="I35" i="620"/>
  <c r="I42" i="620"/>
  <c r="AB343" i="721"/>
  <c r="I38" i="618"/>
  <c r="D9" i="619"/>
  <c r="D8" i="619"/>
  <c r="I6" i="619"/>
  <c r="C5" i="619"/>
  <c r="B5" i="619"/>
  <c r="F4" i="619"/>
  <c r="A3" i="619"/>
  <c r="D55" i="495"/>
  <c r="H49" i="495"/>
  <c r="D49" i="495"/>
  <c r="H48" i="495"/>
  <c r="D48" i="495"/>
  <c r="H47" i="495"/>
  <c r="D47" i="495"/>
  <c r="H46" i="495"/>
  <c r="D46" i="495"/>
  <c r="H40" i="495"/>
  <c r="H39" i="495"/>
  <c r="I38" i="495"/>
  <c r="F40" i="495"/>
  <c r="D40" i="495"/>
  <c r="F39" i="495"/>
  <c r="D39" i="495"/>
  <c r="H37" i="495"/>
  <c r="F37" i="495"/>
  <c r="D37" i="495"/>
  <c r="H36" i="495"/>
  <c r="F36" i="495"/>
  <c r="D36" i="495"/>
  <c r="H35" i="495"/>
  <c r="I34" i="495"/>
  <c r="I41" i="495"/>
  <c r="F35" i="495"/>
  <c r="D35" i="495"/>
  <c r="H29" i="495"/>
  <c r="F29" i="495"/>
  <c r="H28" i="495"/>
  <c r="F28" i="495"/>
  <c r="H27" i="495"/>
  <c r="F27" i="495"/>
  <c r="H26" i="495"/>
  <c r="F26" i="495"/>
  <c r="H25" i="495"/>
  <c r="F25" i="495"/>
  <c r="H24" i="495"/>
  <c r="F24" i="495"/>
  <c r="H18" i="495"/>
  <c r="F18" i="495"/>
  <c r="D18" i="495"/>
  <c r="H17" i="495"/>
  <c r="F17" i="495"/>
  <c r="D17" i="495"/>
  <c r="H16" i="495"/>
  <c r="F16" i="495"/>
  <c r="D16" i="495"/>
  <c r="H15" i="495"/>
  <c r="F15" i="495"/>
  <c r="D15" i="495"/>
  <c r="H14" i="495"/>
  <c r="F14" i="495"/>
  <c r="D14" i="495"/>
  <c r="H13" i="495"/>
  <c r="F13" i="495"/>
  <c r="D13" i="495"/>
  <c r="H12" i="495"/>
  <c r="F12" i="495"/>
  <c r="D12" i="495"/>
  <c r="H11" i="495"/>
  <c r="AB376" i="721"/>
  <c r="AB376" i="720"/>
  <c r="AC376" i="720"/>
  <c r="AB377" i="720"/>
  <c r="AB377" i="721"/>
  <c r="F11" i="495"/>
  <c r="D11" i="495"/>
  <c r="H10" i="495"/>
  <c r="F10" i="495"/>
  <c r="D10" i="495"/>
  <c r="H9" i="495"/>
  <c r="F9" i="495"/>
  <c r="D9" i="495"/>
  <c r="D8" i="495"/>
  <c r="I6" i="495"/>
  <c r="C5" i="495"/>
  <c r="B5" i="495"/>
  <c r="F4" i="495"/>
  <c r="A3" i="495"/>
  <c r="D55" i="287"/>
  <c r="H49" i="287"/>
  <c r="D49" i="287"/>
  <c r="H48" i="287"/>
  <c r="D48" i="287"/>
  <c r="H47" i="287"/>
  <c r="D47" i="287"/>
  <c r="H46" i="287"/>
  <c r="D46" i="287"/>
  <c r="H40" i="287"/>
  <c r="F40" i="287"/>
  <c r="D40" i="287"/>
  <c r="H39" i="287"/>
  <c r="F39" i="287"/>
  <c r="D39" i="287"/>
  <c r="H37" i="287"/>
  <c r="H35" i="287"/>
  <c r="H36" i="287"/>
  <c r="I34" i="287"/>
  <c r="F37" i="287"/>
  <c r="D37" i="287"/>
  <c r="F36" i="287"/>
  <c r="D36" i="287"/>
  <c r="F35" i="287"/>
  <c r="D35" i="287"/>
  <c r="H29" i="287"/>
  <c r="F29" i="287"/>
  <c r="H28" i="287"/>
  <c r="F28" i="287"/>
  <c r="H27" i="287"/>
  <c r="F27" i="287"/>
  <c r="H26" i="287"/>
  <c r="F26" i="287"/>
  <c r="H25" i="287"/>
  <c r="F25" i="287"/>
  <c r="H18" i="287"/>
  <c r="F18" i="287"/>
  <c r="D18" i="287"/>
  <c r="H17" i="287"/>
  <c r="F17" i="287"/>
  <c r="D17" i="287"/>
  <c r="D16" i="287"/>
  <c r="D15" i="287"/>
  <c r="D14" i="287"/>
  <c r="D13" i="287"/>
  <c r="D12" i="287"/>
  <c r="D11" i="287"/>
  <c r="D10" i="287"/>
  <c r="D9" i="287"/>
  <c r="AB353" i="721"/>
  <c r="AB353" i="720"/>
  <c r="AB342" i="720"/>
  <c r="AB343" i="720"/>
  <c r="AB352" i="720"/>
  <c r="AB352" i="721"/>
  <c r="I38" i="287"/>
  <c r="D8" i="287"/>
  <c r="I6" i="287"/>
  <c r="C5" i="287"/>
  <c r="B5" i="287"/>
  <c r="F4" i="287"/>
  <c r="A3" i="287"/>
  <c r="D55" i="604"/>
  <c r="H49" i="604"/>
  <c r="D49" i="604"/>
  <c r="H48" i="604"/>
  <c r="D48" i="604"/>
  <c r="H47" i="604"/>
  <c r="D47" i="604"/>
  <c r="H46" i="604"/>
  <c r="D46" i="604"/>
  <c r="H40" i="604"/>
  <c r="F40" i="604"/>
  <c r="D40" i="604"/>
  <c r="H39" i="604"/>
  <c r="I38" i="604"/>
  <c r="F39" i="604"/>
  <c r="D39" i="604"/>
  <c r="H37" i="604"/>
  <c r="F37" i="604"/>
  <c r="D37" i="604"/>
  <c r="H36" i="604"/>
  <c r="F36" i="604"/>
  <c r="D36" i="604"/>
  <c r="H35" i="604"/>
  <c r="I34" i="604"/>
  <c r="F35" i="604"/>
  <c r="D35" i="604"/>
  <c r="H29" i="604"/>
  <c r="F29" i="604"/>
  <c r="H28" i="604"/>
  <c r="F28" i="604"/>
  <c r="H27" i="604"/>
  <c r="F27" i="604"/>
  <c r="H26" i="604"/>
  <c r="F26" i="604"/>
  <c r="H25" i="604"/>
  <c r="F25" i="604"/>
  <c r="H24" i="604"/>
  <c r="F24" i="604"/>
  <c r="H18" i="604"/>
  <c r="F18" i="604"/>
  <c r="D18" i="604"/>
  <c r="H17" i="604"/>
  <c r="F17" i="604"/>
  <c r="D17" i="604"/>
  <c r="H16" i="604"/>
  <c r="F16" i="604"/>
  <c r="D16" i="604"/>
  <c r="H15" i="604"/>
  <c r="F15" i="604"/>
  <c r="D15" i="604"/>
  <c r="H14" i="604"/>
  <c r="F14" i="604"/>
  <c r="D14" i="604"/>
  <c r="H13" i="604"/>
  <c r="F13" i="604"/>
  <c r="D13" i="604"/>
  <c r="H12" i="604"/>
  <c r="F12" i="604"/>
  <c r="D12" i="604"/>
  <c r="D11" i="604"/>
  <c r="D10" i="604"/>
  <c r="D9" i="604"/>
  <c r="D8" i="604"/>
  <c r="I6" i="604"/>
  <c r="C5" i="604"/>
  <c r="B5" i="604"/>
  <c r="F4" i="604"/>
  <c r="A3" i="604"/>
  <c r="D55" i="616"/>
  <c r="H49" i="616"/>
  <c r="D49" i="616"/>
  <c r="H48" i="616"/>
  <c r="D48" i="616"/>
  <c r="H47" i="616"/>
  <c r="D47" i="616"/>
  <c r="H46" i="616"/>
  <c r="D46" i="616"/>
  <c r="H40" i="616"/>
  <c r="F40" i="616"/>
  <c r="D40" i="616"/>
  <c r="H39" i="616"/>
  <c r="F39" i="616"/>
  <c r="D39" i="616"/>
  <c r="H37" i="616"/>
  <c r="F37" i="616"/>
  <c r="D37" i="616"/>
  <c r="H36" i="616"/>
  <c r="H35" i="616"/>
  <c r="I34" i="616"/>
  <c r="F36" i="616"/>
  <c r="D36" i="616"/>
  <c r="F35" i="616"/>
  <c r="D35" i="616"/>
  <c r="H29" i="616"/>
  <c r="F29" i="616"/>
  <c r="H28" i="616"/>
  <c r="F28" i="616"/>
  <c r="H27" i="616"/>
  <c r="F27" i="616"/>
  <c r="H26" i="616"/>
  <c r="F26" i="616"/>
  <c r="H25" i="616"/>
  <c r="F25" i="616"/>
  <c r="H24" i="616"/>
  <c r="F24" i="616"/>
  <c r="H18" i="616"/>
  <c r="F18" i="616"/>
  <c r="D18" i="616"/>
  <c r="H17" i="616"/>
  <c r="F17" i="616"/>
  <c r="D17" i="616"/>
  <c r="H16" i="616"/>
  <c r="F16" i="616"/>
  <c r="D16" i="616"/>
  <c r="H15" i="616"/>
  <c r="F15" i="616"/>
  <c r="D15" i="616"/>
  <c r="H14" i="616"/>
  <c r="F14" i="616"/>
  <c r="D14" i="616"/>
  <c r="H13" i="616"/>
  <c r="F13" i="616"/>
  <c r="D13" i="616"/>
  <c r="H12" i="616"/>
  <c r="F12" i="616"/>
  <c r="D12" i="616"/>
  <c r="D11" i="616"/>
  <c r="D10" i="616"/>
  <c r="D9" i="616"/>
  <c r="D8" i="616"/>
  <c r="I6" i="616"/>
  <c r="C5" i="616"/>
  <c r="B5" i="616"/>
  <c r="F4" i="616"/>
  <c r="A3" i="616"/>
  <c r="D55" i="517"/>
  <c r="H49" i="517"/>
  <c r="D49" i="517"/>
  <c r="H48" i="517"/>
  <c r="D48" i="517"/>
  <c r="H47" i="517"/>
  <c r="D47" i="517"/>
  <c r="H46" i="517"/>
  <c r="D46" i="517"/>
  <c r="H40" i="517"/>
  <c r="F40" i="517"/>
  <c r="D40" i="517"/>
  <c r="H39" i="517"/>
  <c r="F39" i="517"/>
  <c r="D39" i="517"/>
  <c r="H37" i="517"/>
  <c r="F37" i="517"/>
  <c r="D37" i="517"/>
  <c r="H36" i="517"/>
  <c r="F36" i="517"/>
  <c r="D36" i="517"/>
  <c r="H35" i="517"/>
  <c r="F35" i="517"/>
  <c r="D35" i="517"/>
  <c r="H29" i="517"/>
  <c r="F29" i="517"/>
  <c r="H28" i="517"/>
  <c r="F28" i="517"/>
  <c r="H27" i="517"/>
  <c r="F27" i="517"/>
  <c r="H26" i="517"/>
  <c r="F26" i="517"/>
  <c r="H25" i="517"/>
  <c r="F25" i="517"/>
  <c r="H24" i="517"/>
  <c r="F24" i="517"/>
  <c r="H18" i="517"/>
  <c r="F18" i="517"/>
  <c r="D18" i="517"/>
  <c r="H17" i="517"/>
  <c r="F17" i="517"/>
  <c r="D17" i="517"/>
  <c r="H16" i="517"/>
  <c r="F16" i="517"/>
  <c r="D16" i="517"/>
  <c r="H15" i="517"/>
  <c r="F15" i="517"/>
  <c r="D15" i="517"/>
  <c r="H14" i="517"/>
  <c r="F14" i="517"/>
  <c r="D14" i="517"/>
  <c r="H13" i="517"/>
  <c r="F13" i="517"/>
  <c r="D13" i="517"/>
  <c r="H12" i="517"/>
  <c r="F12" i="517"/>
  <c r="D12" i="517"/>
  <c r="D11" i="517"/>
  <c r="D10" i="517"/>
  <c r="D9" i="517"/>
  <c r="D8" i="517"/>
  <c r="I6" i="517"/>
  <c r="C5" i="517"/>
  <c r="B5" i="517"/>
  <c r="F4" i="517"/>
  <c r="A3" i="517"/>
  <c r="I34" i="517"/>
  <c r="I38" i="616"/>
  <c r="I38" i="517"/>
  <c r="D56" i="614"/>
  <c r="H50" i="614"/>
  <c r="D50" i="614"/>
  <c r="H49" i="614"/>
  <c r="D49" i="614"/>
  <c r="H48" i="614"/>
  <c r="D48" i="614"/>
  <c r="H47" i="614"/>
  <c r="D47" i="614"/>
  <c r="H41" i="614"/>
  <c r="F41" i="614"/>
  <c r="D41" i="614"/>
  <c r="H40" i="614"/>
  <c r="I39" i="614"/>
  <c r="F40" i="614"/>
  <c r="D40" i="614"/>
  <c r="H38" i="614"/>
  <c r="H36" i="614"/>
  <c r="H37" i="614"/>
  <c r="I35" i="614"/>
  <c r="F38" i="614"/>
  <c r="D38" i="614"/>
  <c r="F37" i="614"/>
  <c r="D37" i="614"/>
  <c r="F36" i="614"/>
  <c r="D36" i="614"/>
  <c r="H30" i="614"/>
  <c r="F30" i="614"/>
  <c r="H29" i="614"/>
  <c r="F29" i="614"/>
  <c r="H28" i="614"/>
  <c r="F28" i="614"/>
  <c r="H27" i="614"/>
  <c r="F27" i="614"/>
  <c r="H26" i="614"/>
  <c r="F26" i="614"/>
  <c r="H25" i="614"/>
  <c r="F25" i="614"/>
  <c r="H19" i="614"/>
  <c r="F19" i="614"/>
  <c r="D19" i="614"/>
  <c r="H18" i="614"/>
  <c r="F18" i="614"/>
  <c r="D18" i="614"/>
  <c r="F17" i="614"/>
  <c r="F16" i="614"/>
  <c r="H15" i="614"/>
  <c r="F15" i="614"/>
  <c r="D15" i="614"/>
  <c r="H14" i="614"/>
  <c r="F14" i="614"/>
  <c r="D14" i="614"/>
  <c r="D13" i="614"/>
  <c r="D12" i="614"/>
  <c r="D11" i="614"/>
  <c r="D10" i="614"/>
  <c r="D9" i="614"/>
  <c r="D8" i="614"/>
  <c r="I6" i="614"/>
  <c r="C5" i="614"/>
  <c r="B5" i="614"/>
  <c r="F4" i="614"/>
  <c r="A3" i="614"/>
  <c r="D55" i="612"/>
  <c r="H49" i="612"/>
  <c r="D49" i="612"/>
  <c r="H48" i="612"/>
  <c r="D48" i="612"/>
  <c r="H47" i="612"/>
  <c r="D47" i="612"/>
  <c r="H46" i="612"/>
  <c r="D46" i="612"/>
  <c r="H40" i="612"/>
  <c r="F40" i="612"/>
  <c r="D40" i="612"/>
  <c r="H39" i="612"/>
  <c r="F39" i="612"/>
  <c r="D39" i="612"/>
  <c r="H38" i="612"/>
  <c r="F38" i="612"/>
  <c r="D38" i="612"/>
  <c r="H37" i="612"/>
  <c r="F37" i="612"/>
  <c r="H36" i="612"/>
  <c r="F36" i="612"/>
  <c r="D36" i="612"/>
  <c r="H35" i="612"/>
  <c r="I34" i="612"/>
  <c r="F35" i="612"/>
  <c r="D35" i="612"/>
  <c r="H29" i="612"/>
  <c r="F29" i="612"/>
  <c r="H28" i="612"/>
  <c r="F28" i="612"/>
  <c r="H27" i="612"/>
  <c r="F27" i="612"/>
  <c r="H26" i="612"/>
  <c r="F26" i="612"/>
  <c r="H25" i="612"/>
  <c r="F25" i="612"/>
  <c r="H24" i="612"/>
  <c r="F24" i="612"/>
  <c r="H18" i="612"/>
  <c r="F18" i="612"/>
  <c r="D18" i="612"/>
  <c r="H17" i="612"/>
  <c r="F17" i="612"/>
  <c r="D17" i="612"/>
  <c r="H16" i="612"/>
  <c r="F16" i="612"/>
  <c r="D16" i="612"/>
  <c r="H15" i="612"/>
  <c r="F15" i="612"/>
  <c r="D15" i="612"/>
  <c r="H14" i="612"/>
  <c r="F14" i="612"/>
  <c r="D14" i="612"/>
  <c r="H13" i="612"/>
  <c r="F13" i="612"/>
  <c r="D13" i="612"/>
  <c r="D12" i="612"/>
  <c r="D11" i="612"/>
  <c r="D10" i="612"/>
  <c r="D9" i="612"/>
  <c r="D8" i="612"/>
  <c r="I6" i="612"/>
  <c r="C5" i="612"/>
  <c r="B5" i="612"/>
  <c r="F4" i="612"/>
  <c r="A3" i="612"/>
  <c r="D55" i="611"/>
  <c r="H49" i="611"/>
  <c r="D49" i="611"/>
  <c r="H48" i="611"/>
  <c r="D48" i="611"/>
  <c r="H47" i="611"/>
  <c r="D47" i="611"/>
  <c r="H46" i="611"/>
  <c r="D46" i="611"/>
  <c r="H40" i="611"/>
  <c r="H38" i="611"/>
  <c r="H39" i="611"/>
  <c r="I37" i="611"/>
  <c r="F40" i="611"/>
  <c r="D40" i="611"/>
  <c r="F39" i="611"/>
  <c r="D39" i="611"/>
  <c r="F38" i="611"/>
  <c r="D38" i="611"/>
  <c r="H37" i="611"/>
  <c r="F37" i="611"/>
  <c r="H36" i="611"/>
  <c r="F36" i="611"/>
  <c r="D36" i="611"/>
  <c r="H35" i="611"/>
  <c r="F35" i="611"/>
  <c r="D35" i="611"/>
  <c r="H29" i="611"/>
  <c r="F29" i="611"/>
  <c r="H28" i="611"/>
  <c r="F28" i="611"/>
  <c r="H27" i="611"/>
  <c r="F27" i="611"/>
  <c r="H26" i="611"/>
  <c r="F26" i="611"/>
  <c r="H25" i="611"/>
  <c r="F25" i="611"/>
  <c r="H24" i="611"/>
  <c r="F24" i="611"/>
  <c r="H18" i="611"/>
  <c r="F18" i="611"/>
  <c r="D18" i="611"/>
  <c r="H17" i="611"/>
  <c r="F17" i="611"/>
  <c r="D17" i="611"/>
  <c r="H16" i="611"/>
  <c r="F16" i="611"/>
  <c r="D16" i="611"/>
  <c r="H15" i="611"/>
  <c r="F15" i="611"/>
  <c r="D15" i="611"/>
  <c r="H14" i="611"/>
  <c r="F14" i="611"/>
  <c r="D14" i="611"/>
  <c r="H13" i="611"/>
  <c r="F13" i="611"/>
  <c r="D13" i="611"/>
  <c r="H12" i="611"/>
  <c r="F12" i="611"/>
  <c r="D12" i="611"/>
  <c r="D11" i="611"/>
  <c r="D10" i="611"/>
  <c r="D9" i="611"/>
  <c r="D8" i="611"/>
  <c r="I6" i="611"/>
  <c r="C5" i="611"/>
  <c r="B5" i="611"/>
  <c r="F4" i="611"/>
  <c r="A3" i="611"/>
  <c r="D55" i="610"/>
  <c r="H49" i="610"/>
  <c r="D49" i="610"/>
  <c r="H48" i="610"/>
  <c r="D48" i="610"/>
  <c r="H47" i="610"/>
  <c r="D47" i="610"/>
  <c r="H46" i="610"/>
  <c r="D46" i="610"/>
  <c r="H40" i="610"/>
  <c r="H38" i="610"/>
  <c r="H39" i="610"/>
  <c r="I37" i="610"/>
  <c r="H35" i="610"/>
  <c r="H36" i="610"/>
  <c r="I34" i="610"/>
  <c r="I41" i="610"/>
  <c r="AB313" i="720"/>
  <c r="F40" i="610"/>
  <c r="D40" i="610"/>
  <c r="F39" i="610"/>
  <c r="D39" i="610"/>
  <c r="F38" i="610"/>
  <c r="D38" i="610"/>
  <c r="H37" i="610"/>
  <c r="F37" i="610"/>
  <c r="F36" i="610"/>
  <c r="D36" i="610"/>
  <c r="F35" i="610"/>
  <c r="D35" i="610"/>
  <c r="H29" i="610"/>
  <c r="F29" i="610"/>
  <c r="H28" i="610"/>
  <c r="F28" i="610"/>
  <c r="H27" i="610"/>
  <c r="F27" i="610"/>
  <c r="H26" i="610"/>
  <c r="F26" i="610"/>
  <c r="H25" i="610"/>
  <c r="F25" i="610"/>
  <c r="H24" i="610"/>
  <c r="F24" i="610"/>
  <c r="H18" i="610"/>
  <c r="F18" i="610"/>
  <c r="D18" i="610"/>
  <c r="H17" i="610"/>
  <c r="F17" i="610"/>
  <c r="D17" i="610"/>
  <c r="H16" i="610"/>
  <c r="F16" i="610"/>
  <c r="D16" i="610"/>
  <c r="H15" i="610"/>
  <c r="F15" i="610"/>
  <c r="D15" i="610"/>
  <c r="H14" i="610"/>
  <c r="F14" i="610"/>
  <c r="D14" i="610"/>
  <c r="H13" i="610"/>
  <c r="F13" i="610"/>
  <c r="D13" i="610"/>
  <c r="H12" i="610"/>
  <c r="F12" i="610"/>
  <c r="D12" i="610"/>
  <c r="H11" i="610"/>
  <c r="F11" i="610"/>
  <c r="D11" i="610"/>
  <c r="H10" i="610"/>
  <c r="F10" i="610"/>
  <c r="D10" i="610"/>
  <c r="D9" i="610"/>
  <c r="D8" i="610"/>
  <c r="I6" i="610"/>
  <c r="C5" i="610"/>
  <c r="B5" i="610"/>
  <c r="F4" i="610"/>
  <c r="A3" i="610"/>
  <c r="D55" i="609"/>
  <c r="H49" i="609"/>
  <c r="D49" i="609"/>
  <c r="H48" i="609"/>
  <c r="D48" i="609"/>
  <c r="H47" i="609"/>
  <c r="D47" i="609"/>
  <c r="H46" i="609"/>
  <c r="D46" i="609"/>
  <c r="H40" i="609"/>
  <c r="H38" i="609"/>
  <c r="H39" i="609"/>
  <c r="I37" i="609"/>
  <c r="F40" i="609"/>
  <c r="D40" i="609"/>
  <c r="F39" i="609"/>
  <c r="D39" i="609"/>
  <c r="F38" i="609"/>
  <c r="D38" i="609"/>
  <c r="H37" i="609"/>
  <c r="F37" i="609"/>
  <c r="H36" i="609"/>
  <c r="F36" i="609"/>
  <c r="D36" i="609"/>
  <c r="H35" i="609"/>
  <c r="F35" i="609"/>
  <c r="D35" i="609"/>
  <c r="H29" i="609"/>
  <c r="F29" i="609"/>
  <c r="H28" i="609"/>
  <c r="F28" i="609"/>
  <c r="H27" i="609"/>
  <c r="F27" i="609"/>
  <c r="H26" i="609"/>
  <c r="F26" i="609"/>
  <c r="H25" i="609"/>
  <c r="F25" i="609"/>
  <c r="H24" i="609"/>
  <c r="F24" i="609"/>
  <c r="H18" i="609"/>
  <c r="F18" i="609"/>
  <c r="D18" i="609"/>
  <c r="H17" i="609"/>
  <c r="F17" i="609"/>
  <c r="D17" i="609"/>
  <c r="H16" i="609"/>
  <c r="F16" i="609"/>
  <c r="D16" i="609"/>
  <c r="H15" i="609"/>
  <c r="F15" i="609"/>
  <c r="D15" i="609"/>
  <c r="H14" i="609"/>
  <c r="F14" i="609"/>
  <c r="D14" i="609"/>
  <c r="H13" i="609"/>
  <c r="F13" i="609"/>
  <c r="D13" i="609"/>
  <c r="H12" i="609"/>
  <c r="F12" i="609"/>
  <c r="D12" i="609"/>
  <c r="H11" i="609"/>
  <c r="F11" i="609"/>
  <c r="D11" i="609"/>
  <c r="H10" i="609"/>
  <c r="F10" i="609"/>
  <c r="D10" i="609"/>
  <c r="D9" i="609"/>
  <c r="D8" i="609"/>
  <c r="I6" i="609"/>
  <c r="C5" i="609"/>
  <c r="B5" i="609"/>
  <c r="F4" i="609"/>
  <c r="A3" i="609"/>
  <c r="D56" i="608"/>
  <c r="H50" i="608"/>
  <c r="D50" i="608"/>
  <c r="H49" i="608"/>
  <c r="D49" i="608"/>
  <c r="H48" i="608"/>
  <c r="D48" i="608"/>
  <c r="H47" i="608"/>
  <c r="D47" i="608"/>
  <c r="H41" i="608"/>
  <c r="H39" i="608"/>
  <c r="H40" i="608"/>
  <c r="I38" i="608"/>
  <c r="H36" i="608"/>
  <c r="H37" i="608"/>
  <c r="I35" i="608"/>
  <c r="I42" i="608"/>
  <c r="F41" i="608"/>
  <c r="D41" i="608"/>
  <c r="F40" i="608"/>
  <c r="D40" i="608"/>
  <c r="F39" i="608"/>
  <c r="D39" i="608"/>
  <c r="H38" i="608"/>
  <c r="F38" i="608"/>
  <c r="F37" i="608"/>
  <c r="D37" i="608"/>
  <c r="F36" i="608"/>
  <c r="D36" i="608"/>
  <c r="H30" i="608"/>
  <c r="F30" i="608"/>
  <c r="H29" i="608"/>
  <c r="F29" i="608"/>
  <c r="H28" i="608"/>
  <c r="F28" i="608"/>
  <c r="H27" i="608"/>
  <c r="F27" i="608"/>
  <c r="H26" i="608"/>
  <c r="F26" i="608"/>
  <c r="H25" i="608"/>
  <c r="F25" i="608"/>
  <c r="H19" i="608"/>
  <c r="F19" i="608"/>
  <c r="D19" i="608"/>
  <c r="H18" i="608"/>
  <c r="F18" i="608"/>
  <c r="D18" i="608"/>
  <c r="H17" i="608"/>
  <c r="F17" i="608"/>
  <c r="D17" i="608"/>
  <c r="H16" i="608"/>
  <c r="F16" i="608"/>
  <c r="D16" i="608"/>
  <c r="H15" i="608"/>
  <c r="F15" i="608"/>
  <c r="D15" i="608"/>
  <c r="H14" i="608"/>
  <c r="F14" i="608"/>
  <c r="D14" i="608"/>
  <c r="H13" i="608"/>
  <c r="F13" i="608"/>
  <c r="D13" i="608"/>
  <c r="H12" i="608"/>
  <c r="F12" i="608"/>
  <c r="D12" i="608"/>
  <c r="H11" i="608"/>
  <c r="F11" i="608"/>
  <c r="D11" i="608"/>
  <c r="H10" i="608"/>
  <c r="F10" i="608"/>
  <c r="D10" i="608"/>
  <c r="D9" i="608"/>
  <c r="D8" i="608"/>
  <c r="I6" i="608"/>
  <c r="C5" i="608"/>
  <c r="B5" i="608"/>
  <c r="F4" i="608"/>
  <c r="A3" i="608"/>
  <c r="D56" i="252"/>
  <c r="H50" i="252"/>
  <c r="D50" i="252"/>
  <c r="H49" i="252"/>
  <c r="D49" i="252"/>
  <c r="H48" i="252"/>
  <c r="D48" i="252"/>
  <c r="H47" i="252"/>
  <c r="D47" i="252"/>
  <c r="H41" i="252"/>
  <c r="F41" i="252"/>
  <c r="D41" i="252"/>
  <c r="H40" i="252"/>
  <c r="F40" i="252"/>
  <c r="D40" i="252"/>
  <c r="H39" i="252"/>
  <c r="I38" i="252"/>
  <c r="F39" i="252"/>
  <c r="D39" i="252"/>
  <c r="H38" i="252"/>
  <c r="F38" i="252"/>
  <c r="H37" i="252"/>
  <c r="F37" i="252"/>
  <c r="D37" i="252"/>
  <c r="H36" i="252"/>
  <c r="F36" i="252"/>
  <c r="D36" i="252"/>
  <c r="H30" i="252"/>
  <c r="F30" i="252"/>
  <c r="H29" i="252"/>
  <c r="F29" i="252"/>
  <c r="H28" i="252"/>
  <c r="F28" i="252"/>
  <c r="H27" i="252"/>
  <c r="F27" i="252"/>
  <c r="H26" i="252"/>
  <c r="F26" i="252"/>
  <c r="H25" i="252"/>
  <c r="F25" i="252"/>
  <c r="H19" i="252"/>
  <c r="F19" i="252"/>
  <c r="D19" i="252"/>
  <c r="D18" i="252"/>
  <c r="D17" i="252"/>
  <c r="D16" i="252"/>
  <c r="D15" i="252"/>
  <c r="D14" i="252"/>
  <c r="D13" i="252"/>
  <c r="D12" i="252"/>
  <c r="D11" i="252"/>
  <c r="D10" i="252"/>
  <c r="D9" i="252"/>
  <c r="D8" i="252"/>
  <c r="C5" i="252"/>
  <c r="B5" i="252"/>
  <c r="F4" i="252"/>
  <c r="A3" i="252"/>
  <c r="D57" i="502"/>
  <c r="H51" i="502"/>
  <c r="D51" i="502"/>
  <c r="H50" i="502"/>
  <c r="D50" i="502"/>
  <c r="H49" i="502"/>
  <c r="D49" i="502"/>
  <c r="H48" i="502"/>
  <c r="D48" i="502"/>
  <c r="H42" i="502"/>
  <c r="F42" i="502"/>
  <c r="D42" i="502"/>
  <c r="H41" i="502"/>
  <c r="F41" i="502"/>
  <c r="D41" i="502"/>
  <c r="H39" i="502"/>
  <c r="F39" i="502"/>
  <c r="D39" i="502"/>
  <c r="H38" i="502"/>
  <c r="H37" i="502"/>
  <c r="I36" i="502"/>
  <c r="I40" i="502"/>
  <c r="I43" i="502"/>
  <c r="AB308" i="720"/>
  <c r="F38" i="502"/>
  <c r="D38" i="502"/>
  <c r="F37" i="502"/>
  <c r="D37" i="502"/>
  <c r="F31" i="502"/>
  <c r="H30" i="502"/>
  <c r="F30" i="502"/>
  <c r="H29" i="502"/>
  <c r="F29" i="502"/>
  <c r="H28" i="502"/>
  <c r="F28" i="502"/>
  <c r="H27" i="502"/>
  <c r="F27" i="502"/>
  <c r="H26" i="502"/>
  <c r="F26" i="502"/>
  <c r="D20" i="502"/>
  <c r="D19" i="502"/>
  <c r="D18" i="502"/>
  <c r="AB338" i="720"/>
  <c r="AC338" i="720"/>
  <c r="AB338" i="721"/>
  <c r="I35" i="252"/>
  <c r="I42" i="252"/>
  <c r="I34" i="609"/>
  <c r="I41" i="609"/>
  <c r="AB312" i="721"/>
  <c r="I34" i="611"/>
  <c r="I41" i="611"/>
  <c r="I37" i="612"/>
  <c r="D17" i="502"/>
  <c r="D16" i="502"/>
  <c r="D15" i="502"/>
  <c r="AB321" i="721"/>
  <c r="AB321" i="720"/>
  <c r="D14" i="502"/>
  <c r="D13" i="502"/>
  <c r="AB308" i="721"/>
  <c r="AB313" i="721"/>
  <c r="D12" i="502"/>
  <c r="D11" i="502"/>
  <c r="D10" i="502"/>
  <c r="D9" i="502"/>
  <c r="D8" i="502"/>
  <c r="I6" i="502"/>
  <c r="C5" i="502"/>
  <c r="B5" i="502"/>
  <c r="F4" i="502"/>
  <c r="A3" i="502"/>
  <c r="D57" i="607"/>
  <c r="H51" i="607"/>
  <c r="D51" i="607"/>
  <c r="H50" i="607"/>
  <c r="D50" i="607"/>
  <c r="H49" i="607"/>
  <c r="D49" i="607"/>
  <c r="H48" i="607"/>
  <c r="D48" i="607"/>
  <c r="H42" i="607"/>
  <c r="F42" i="607"/>
  <c r="D42" i="607"/>
  <c r="H41" i="607"/>
  <c r="F41" i="607"/>
  <c r="D41" i="607"/>
  <c r="H40" i="607"/>
  <c r="F40" i="607"/>
  <c r="D40" i="607"/>
  <c r="H38" i="607"/>
  <c r="F38" i="607"/>
  <c r="D38" i="607"/>
  <c r="H37" i="607"/>
  <c r="F37" i="607"/>
  <c r="D37" i="607"/>
  <c r="F31" i="607"/>
  <c r="H30" i="607"/>
  <c r="F30" i="607"/>
  <c r="H29" i="607"/>
  <c r="F29" i="607"/>
  <c r="H28" i="607"/>
  <c r="F28" i="607"/>
  <c r="H27" i="607"/>
  <c r="F27" i="607"/>
  <c r="H26" i="607"/>
  <c r="F26" i="607"/>
  <c r="H20" i="607"/>
  <c r="F20" i="607"/>
  <c r="D20" i="607"/>
  <c r="H19" i="607"/>
  <c r="F19" i="607"/>
  <c r="D19" i="607"/>
  <c r="H18" i="607"/>
  <c r="F18" i="607"/>
  <c r="D18" i="607"/>
  <c r="H17" i="607"/>
  <c r="F17" i="607"/>
  <c r="D17" i="607"/>
  <c r="D16" i="607"/>
  <c r="D15" i="607"/>
  <c r="D14" i="607"/>
  <c r="D13" i="607"/>
  <c r="D12" i="607"/>
  <c r="D11" i="607"/>
  <c r="D10" i="607"/>
  <c r="D9" i="607"/>
  <c r="H8" i="607"/>
  <c r="F8" i="607"/>
  <c r="D8" i="607"/>
  <c r="I6" i="607"/>
  <c r="C5" i="607"/>
  <c r="B5" i="607"/>
  <c r="F4" i="607"/>
  <c r="A3" i="607"/>
  <c r="D57" i="251"/>
  <c r="H51" i="251"/>
  <c r="D51" i="251"/>
  <c r="H50" i="251"/>
  <c r="D50" i="251"/>
  <c r="H49" i="251"/>
  <c r="D49" i="251"/>
  <c r="H48" i="251"/>
  <c r="D48" i="251"/>
  <c r="H42" i="251"/>
  <c r="F42" i="251"/>
  <c r="D42" i="251"/>
  <c r="H41" i="251"/>
  <c r="I40" i="251"/>
  <c r="F41" i="251"/>
  <c r="D41" i="251"/>
  <c r="H39" i="251"/>
  <c r="F39" i="251"/>
  <c r="D39" i="251"/>
  <c r="H38" i="251"/>
  <c r="F38" i="251"/>
  <c r="D38" i="251"/>
  <c r="H37" i="251"/>
  <c r="I36" i="251"/>
  <c r="F37" i="251"/>
  <c r="D37" i="251"/>
  <c r="F31" i="251"/>
  <c r="H30" i="251"/>
  <c r="F30" i="251"/>
  <c r="H29" i="251"/>
  <c r="F29" i="251"/>
  <c r="H28" i="251"/>
  <c r="F28" i="251"/>
  <c r="H27" i="251"/>
  <c r="F27" i="251"/>
  <c r="H26" i="251"/>
  <c r="F26" i="251"/>
  <c r="D20" i="251"/>
  <c r="D19" i="251"/>
  <c r="D18" i="251"/>
  <c r="D17" i="251"/>
  <c r="D16" i="251"/>
  <c r="I39" i="607"/>
  <c r="I36" i="607"/>
  <c r="D15" i="251"/>
  <c r="D14" i="251"/>
  <c r="D13" i="251"/>
  <c r="D12" i="251"/>
  <c r="D11" i="251"/>
  <c r="D10" i="251"/>
  <c r="D9" i="251"/>
  <c r="D8" i="251"/>
  <c r="I6" i="251"/>
  <c r="C5" i="251"/>
  <c r="B5" i="251"/>
  <c r="F4" i="251"/>
  <c r="A3" i="251"/>
  <c r="D57" i="250"/>
  <c r="H51" i="250"/>
  <c r="D51" i="250"/>
  <c r="H50" i="250"/>
  <c r="D50" i="250"/>
  <c r="H49" i="250"/>
  <c r="D49" i="250"/>
  <c r="H48" i="250"/>
  <c r="D48" i="250"/>
  <c r="H42" i="250"/>
  <c r="F42" i="250"/>
  <c r="D42" i="250"/>
  <c r="H41" i="250"/>
  <c r="F41" i="250"/>
  <c r="D41" i="250"/>
  <c r="H39" i="250"/>
  <c r="H37" i="250"/>
  <c r="H38" i="250"/>
  <c r="I43" i="250"/>
  <c r="F39" i="250"/>
  <c r="D39" i="250"/>
  <c r="F38" i="250"/>
  <c r="D38" i="250"/>
  <c r="F37" i="250"/>
  <c r="D37" i="250"/>
  <c r="F31" i="250"/>
  <c r="H30" i="250"/>
  <c r="F30" i="250"/>
  <c r="H29" i="250"/>
  <c r="F29" i="250"/>
  <c r="H28" i="250"/>
  <c r="F28" i="250"/>
  <c r="H27" i="250"/>
  <c r="F27" i="250"/>
  <c r="H26" i="250"/>
  <c r="F26" i="250"/>
  <c r="D20" i="250"/>
  <c r="D19" i="250"/>
  <c r="I40" i="250"/>
  <c r="D18" i="250"/>
  <c r="D17" i="250"/>
  <c r="D16" i="250"/>
  <c r="D15" i="250"/>
  <c r="D14" i="250"/>
  <c r="D13" i="250"/>
  <c r="D12" i="250"/>
  <c r="D11" i="250"/>
  <c r="D10" i="250"/>
  <c r="D9" i="250"/>
  <c r="D8" i="250"/>
  <c r="I6" i="250"/>
  <c r="C5" i="250"/>
  <c r="B5" i="250"/>
  <c r="F4" i="250"/>
  <c r="A3" i="250"/>
  <c r="D56" i="606"/>
  <c r="H50" i="606"/>
  <c r="D50" i="606"/>
  <c r="H49" i="606"/>
  <c r="D49" i="606"/>
  <c r="H48" i="606"/>
  <c r="D48" i="606"/>
  <c r="H47" i="606"/>
  <c r="D47" i="606"/>
  <c r="H41" i="606"/>
  <c r="H40" i="606"/>
  <c r="I39" i="606"/>
  <c r="F41" i="606"/>
  <c r="D41" i="606"/>
  <c r="F40" i="606"/>
  <c r="D40" i="606"/>
  <c r="H38" i="606"/>
  <c r="F38" i="606"/>
  <c r="D38" i="606"/>
  <c r="H37" i="606"/>
  <c r="H36" i="606"/>
  <c r="I42" i="606"/>
  <c r="F37" i="606"/>
  <c r="D37" i="606"/>
  <c r="F36" i="606"/>
  <c r="D36" i="606"/>
  <c r="F30" i="606"/>
  <c r="H29" i="606"/>
  <c r="F29" i="606"/>
  <c r="H28" i="606"/>
  <c r="F28" i="606"/>
  <c r="H27" i="606"/>
  <c r="F27" i="606"/>
  <c r="H26" i="606"/>
  <c r="F26" i="606"/>
  <c r="H25" i="606"/>
  <c r="F25" i="606"/>
  <c r="H19" i="606"/>
  <c r="F19" i="606"/>
  <c r="D19" i="606"/>
  <c r="H18" i="606"/>
  <c r="F18" i="606"/>
  <c r="D18" i="606"/>
  <c r="D17" i="606"/>
  <c r="D16" i="606"/>
  <c r="D15" i="606"/>
  <c r="D14" i="606"/>
  <c r="D13" i="606"/>
  <c r="D12" i="606"/>
  <c r="D11" i="606"/>
  <c r="D10" i="606"/>
  <c r="D9" i="606"/>
  <c r="D8" i="606"/>
  <c r="I6" i="606"/>
  <c r="C5" i="606"/>
  <c r="B5" i="606"/>
  <c r="F4" i="606"/>
  <c r="A3" i="606"/>
  <c r="D56" i="605"/>
  <c r="H50" i="605"/>
  <c r="D50" i="605"/>
  <c r="H49" i="605"/>
  <c r="D49" i="605"/>
  <c r="H48" i="605"/>
  <c r="D48" i="605"/>
  <c r="H47" i="605"/>
  <c r="D47" i="605"/>
  <c r="H41" i="605"/>
  <c r="F41" i="605"/>
  <c r="D41" i="605"/>
  <c r="H40" i="605"/>
  <c r="F40" i="605"/>
  <c r="D40" i="605"/>
  <c r="H39" i="605"/>
  <c r="I38" i="605"/>
  <c r="F39" i="605"/>
  <c r="D39" i="605"/>
  <c r="H38" i="605"/>
  <c r="F38" i="605"/>
  <c r="H37" i="605"/>
  <c r="F37" i="605"/>
  <c r="D37" i="605"/>
  <c r="H36" i="605"/>
  <c r="I35" i="605"/>
  <c r="I42" i="605"/>
  <c r="F36" i="605"/>
  <c r="D36" i="605"/>
  <c r="H30" i="605"/>
  <c r="F30" i="605"/>
  <c r="H29" i="605"/>
  <c r="F29" i="605"/>
  <c r="H28" i="605"/>
  <c r="F28" i="605"/>
  <c r="H27" i="605"/>
  <c r="F27" i="605"/>
  <c r="H26" i="605"/>
  <c r="F26" i="605"/>
  <c r="H25" i="605"/>
  <c r="F25" i="605"/>
  <c r="H19" i="605"/>
  <c r="F19" i="605"/>
  <c r="D19" i="605"/>
  <c r="H18" i="605"/>
  <c r="F18" i="605"/>
  <c r="D18" i="605"/>
  <c r="H17" i="605"/>
  <c r="F17" i="605"/>
  <c r="D17" i="605"/>
  <c r="H16" i="605"/>
  <c r="F16" i="605"/>
  <c r="D16" i="605"/>
  <c r="H15" i="605"/>
  <c r="F15" i="605"/>
  <c r="D15" i="605"/>
  <c r="H14" i="605"/>
  <c r="F14" i="605"/>
  <c r="D14" i="605"/>
  <c r="H13" i="605"/>
  <c r="F13" i="605"/>
  <c r="D13" i="605"/>
  <c r="H12" i="605"/>
  <c r="F12" i="605"/>
  <c r="D12" i="605"/>
  <c r="H11" i="605"/>
  <c r="F11" i="605"/>
  <c r="D11" i="605"/>
  <c r="H10" i="605"/>
  <c r="F10" i="605"/>
  <c r="D10" i="605"/>
  <c r="D9" i="605"/>
  <c r="D8" i="605"/>
  <c r="I6" i="605"/>
  <c r="C5" i="605"/>
  <c r="B5" i="605"/>
  <c r="F4" i="605"/>
  <c r="A3" i="605"/>
  <c r="D56" i="600"/>
  <c r="H50" i="600"/>
  <c r="D50" i="600"/>
  <c r="H49" i="600"/>
  <c r="D49" i="600"/>
  <c r="H48" i="600"/>
  <c r="D48" i="600"/>
  <c r="H47" i="600"/>
  <c r="D47" i="600"/>
  <c r="H41" i="600"/>
  <c r="F41" i="600"/>
  <c r="D41" i="600"/>
  <c r="H40" i="600"/>
  <c r="H39" i="600"/>
  <c r="I38" i="600"/>
  <c r="F40" i="600"/>
  <c r="D40" i="600"/>
  <c r="F39" i="600"/>
  <c r="D39" i="600"/>
  <c r="H38" i="600"/>
  <c r="F38" i="600"/>
  <c r="H37" i="600"/>
  <c r="F37" i="600"/>
  <c r="D37" i="600"/>
  <c r="H36" i="600"/>
  <c r="F36" i="600"/>
  <c r="D36" i="600"/>
  <c r="H30" i="600"/>
  <c r="F30" i="600"/>
  <c r="H29" i="600"/>
  <c r="F29" i="600"/>
  <c r="H28" i="600"/>
  <c r="F28" i="600"/>
  <c r="H27" i="600"/>
  <c r="F27" i="600"/>
  <c r="H26" i="600"/>
  <c r="F26" i="600"/>
  <c r="H25" i="600"/>
  <c r="F25" i="600"/>
  <c r="H19" i="600"/>
  <c r="F19" i="600"/>
  <c r="D19" i="600"/>
  <c r="H18" i="600"/>
  <c r="F18" i="600"/>
  <c r="D18" i="600"/>
  <c r="H17" i="600"/>
  <c r="F17" i="600"/>
  <c r="D17" i="600"/>
  <c r="H16" i="600"/>
  <c r="F16" i="600"/>
  <c r="D16" i="600"/>
  <c r="H15" i="600"/>
  <c r="F15" i="600"/>
  <c r="D15" i="600"/>
  <c r="H14" i="600"/>
  <c r="F14" i="600"/>
  <c r="D14" i="600"/>
  <c r="H13" i="600"/>
  <c r="F13" i="600"/>
  <c r="D13" i="600"/>
  <c r="H12" i="600"/>
  <c r="F12" i="600"/>
  <c r="D12" i="600"/>
  <c r="H11" i="600"/>
  <c r="F11" i="600"/>
  <c r="D11" i="600"/>
  <c r="D10" i="600"/>
  <c r="D9" i="600"/>
  <c r="D8" i="600"/>
  <c r="I6" i="600"/>
  <c r="C5" i="600"/>
  <c r="B5" i="600"/>
  <c r="F4" i="600"/>
  <c r="A3" i="600"/>
  <c r="D56" i="601"/>
  <c r="H50" i="601"/>
  <c r="D50" i="601"/>
  <c r="H49" i="601"/>
  <c r="D49" i="601"/>
  <c r="H48" i="601"/>
  <c r="D48" i="601"/>
  <c r="H47" i="601"/>
  <c r="D47" i="601"/>
  <c r="H41" i="601"/>
  <c r="F41" i="601"/>
  <c r="D41" i="601"/>
  <c r="H40" i="601"/>
  <c r="F40" i="601"/>
  <c r="D40" i="601"/>
  <c r="H39" i="601"/>
  <c r="I38" i="601"/>
  <c r="F39" i="601"/>
  <c r="D39" i="601"/>
  <c r="H38" i="601"/>
  <c r="F38" i="601"/>
  <c r="H37" i="601"/>
  <c r="F37" i="601"/>
  <c r="D37" i="601"/>
  <c r="H36" i="601"/>
  <c r="I35" i="601"/>
  <c r="I42" i="601"/>
  <c r="F36" i="601"/>
  <c r="D36" i="601"/>
  <c r="H30" i="601"/>
  <c r="F30" i="601"/>
  <c r="H29" i="601"/>
  <c r="F29" i="601"/>
  <c r="H28" i="601"/>
  <c r="F28" i="601"/>
  <c r="H27" i="601"/>
  <c r="F27" i="601"/>
  <c r="H26" i="601"/>
  <c r="F26" i="601"/>
  <c r="H25" i="601"/>
  <c r="F25" i="601"/>
  <c r="H19" i="601"/>
  <c r="F19" i="601"/>
  <c r="D19" i="601"/>
  <c r="H18" i="601"/>
  <c r="F18" i="601"/>
  <c r="D18" i="601"/>
  <c r="H17" i="601"/>
  <c r="F17" i="601"/>
  <c r="D17" i="601"/>
  <c r="H16" i="601"/>
  <c r="F16" i="601"/>
  <c r="D16" i="601"/>
  <c r="H15" i="601"/>
  <c r="F15" i="601"/>
  <c r="D15" i="601"/>
  <c r="H14" i="601"/>
  <c r="F14" i="601"/>
  <c r="D14" i="601"/>
  <c r="H13" i="601"/>
  <c r="F13" i="601"/>
  <c r="D13" i="601"/>
  <c r="H12" i="601"/>
  <c r="F12" i="601"/>
  <c r="D12" i="601"/>
  <c r="H11" i="601"/>
  <c r="F11" i="601"/>
  <c r="D11" i="601"/>
  <c r="D10" i="601"/>
  <c r="D9" i="601"/>
  <c r="D8" i="601"/>
  <c r="I6" i="601"/>
  <c r="C5" i="601"/>
  <c r="B5" i="601"/>
  <c r="F4" i="601"/>
  <c r="A3" i="601"/>
  <c r="D56" i="599"/>
  <c r="H50" i="599"/>
  <c r="D50" i="599"/>
  <c r="H49" i="599"/>
  <c r="D49" i="599"/>
  <c r="H48" i="599"/>
  <c r="D48" i="599"/>
  <c r="H47" i="599"/>
  <c r="D47" i="599"/>
  <c r="H41" i="599"/>
  <c r="F41" i="599"/>
  <c r="D41" i="599"/>
  <c r="H40" i="599"/>
  <c r="F40" i="599"/>
  <c r="D40" i="599"/>
  <c r="H39" i="599"/>
  <c r="F39" i="599"/>
  <c r="D39" i="599"/>
  <c r="H38" i="599"/>
  <c r="F38" i="599"/>
  <c r="H37" i="599"/>
  <c r="F37" i="599"/>
  <c r="D37" i="599"/>
  <c r="H36" i="599"/>
  <c r="F36" i="599"/>
  <c r="D36" i="599"/>
  <c r="H30" i="599"/>
  <c r="F30" i="599"/>
  <c r="H29" i="599"/>
  <c r="F29" i="599"/>
  <c r="H28" i="599"/>
  <c r="F28" i="599"/>
  <c r="H27" i="599"/>
  <c r="F27" i="599"/>
  <c r="H26" i="599"/>
  <c r="F26" i="599"/>
  <c r="H25" i="599"/>
  <c r="F25" i="599"/>
  <c r="H19" i="599"/>
  <c r="F19" i="599"/>
  <c r="D19" i="599"/>
  <c r="H18" i="599"/>
  <c r="F18" i="599"/>
  <c r="D18" i="599"/>
  <c r="H17" i="599"/>
  <c r="F17" i="599"/>
  <c r="D17" i="599"/>
  <c r="H16" i="599"/>
  <c r="F16" i="599"/>
  <c r="D16" i="599"/>
  <c r="H15" i="599"/>
  <c r="F15" i="599"/>
  <c r="D15" i="599"/>
  <c r="H14" i="599"/>
  <c r="F14" i="599"/>
  <c r="D14" i="599"/>
  <c r="H13" i="599"/>
  <c r="F13" i="599"/>
  <c r="D13" i="599"/>
  <c r="H12" i="599"/>
  <c r="F12" i="599"/>
  <c r="D12" i="599"/>
  <c r="H11" i="599"/>
  <c r="F11" i="599"/>
  <c r="D11" i="599"/>
  <c r="D10" i="599"/>
  <c r="D9" i="599"/>
  <c r="D8" i="599"/>
  <c r="I6" i="599"/>
  <c r="C5" i="599"/>
  <c r="B5" i="599"/>
  <c r="F4" i="599"/>
  <c r="A3" i="599"/>
  <c r="D56" i="598"/>
  <c r="H50" i="598"/>
  <c r="D50" i="598"/>
  <c r="H49" i="598"/>
  <c r="D49" i="598"/>
  <c r="H48" i="598"/>
  <c r="D48" i="598"/>
  <c r="H47" i="598"/>
  <c r="D47" i="598"/>
  <c r="H41" i="598"/>
  <c r="H39" i="598"/>
  <c r="H40" i="598"/>
  <c r="I38" i="598"/>
  <c r="H36" i="598"/>
  <c r="H37" i="598"/>
  <c r="I35" i="598"/>
  <c r="I42" i="598"/>
  <c r="AB295" i="720"/>
  <c r="F41" i="598"/>
  <c r="D41" i="598"/>
  <c r="F40" i="598"/>
  <c r="D40" i="598"/>
  <c r="F39" i="598"/>
  <c r="D39" i="598"/>
  <c r="H38" i="598"/>
  <c r="F38" i="598"/>
  <c r="F37" i="598"/>
  <c r="D37" i="598"/>
  <c r="F36" i="598"/>
  <c r="D36" i="598"/>
  <c r="H30" i="598"/>
  <c r="F30" i="598"/>
  <c r="H29" i="598"/>
  <c r="F29" i="598"/>
  <c r="H28" i="598"/>
  <c r="F28" i="598"/>
  <c r="H27" i="598"/>
  <c r="F27" i="598"/>
  <c r="H26" i="598"/>
  <c r="F26" i="598"/>
  <c r="H25" i="598"/>
  <c r="F25" i="598"/>
  <c r="H19" i="598"/>
  <c r="F19" i="598"/>
  <c r="D19" i="598"/>
  <c r="H18" i="598"/>
  <c r="F18" i="598"/>
  <c r="D18" i="598"/>
  <c r="H17" i="598"/>
  <c r="F17" i="598"/>
  <c r="D17" i="598"/>
  <c r="H16" i="598"/>
  <c r="F16" i="598"/>
  <c r="D16" i="598"/>
  <c r="H15" i="598"/>
  <c r="F15" i="598"/>
  <c r="D15" i="598"/>
  <c r="H14" i="598"/>
  <c r="F14" i="598"/>
  <c r="D14" i="598"/>
  <c r="H13" i="598"/>
  <c r="F13" i="598"/>
  <c r="D13" i="598"/>
  <c r="H12" i="598"/>
  <c r="F12" i="598"/>
  <c r="D12" i="598"/>
  <c r="H11" i="598"/>
  <c r="F11" i="598"/>
  <c r="D11" i="598"/>
  <c r="D10" i="598"/>
  <c r="D9" i="598"/>
  <c r="D8" i="598"/>
  <c r="I6" i="598"/>
  <c r="C5" i="598"/>
  <c r="B5" i="598"/>
  <c r="F4" i="598"/>
  <c r="A3" i="598"/>
  <c r="D56" i="514"/>
  <c r="H50" i="514"/>
  <c r="D50" i="514"/>
  <c r="H49" i="514"/>
  <c r="D49" i="514"/>
  <c r="H41" i="514"/>
  <c r="F41" i="514"/>
  <c r="D41" i="514"/>
  <c r="H40" i="514"/>
  <c r="F40" i="514"/>
  <c r="D40" i="514"/>
  <c r="H39" i="514"/>
  <c r="F39" i="514"/>
  <c r="D39" i="514"/>
  <c r="H38" i="514"/>
  <c r="F38" i="514"/>
  <c r="H37" i="514"/>
  <c r="F37" i="514"/>
  <c r="D37" i="514"/>
  <c r="H36" i="514"/>
  <c r="F36" i="514"/>
  <c r="D36" i="514"/>
  <c r="H30" i="514"/>
  <c r="F30" i="514"/>
  <c r="H29" i="514"/>
  <c r="F29" i="514"/>
  <c r="H28" i="514"/>
  <c r="F28" i="514"/>
  <c r="H27" i="514"/>
  <c r="F27" i="514"/>
  <c r="H26" i="514"/>
  <c r="F26" i="514"/>
  <c r="H25" i="514"/>
  <c r="F25" i="514"/>
  <c r="H19" i="514"/>
  <c r="F19" i="514"/>
  <c r="D19" i="514"/>
  <c r="H18" i="514"/>
  <c r="F18" i="514"/>
  <c r="D18" i="514"/>
  <c r="H17" i="514"/>
  <c r="F17" i="514"/>
  <c r="D17" i="514"/>
  <c r="H16" i="514"/>
  <c r="F16" i="514"/>
  <c r="D16" i="514"/>
  <c r="H15" i="514"/>
  <c r="F15" i="514"/>
  <c r="D15" i="514"/>
  <c r="H14" i="514"/>
  <c r="F14" i="514"/>
  <c r="D14" i="514"/>
  <c r="H13" i="514"/>
  <c r="F13" i="514"/>
  <c r="D13" i="514"/>
  <c r="D12" i="514"/>
  <c r="D11" i="514"/>
  <c r="D10" i="514"/>
  <c r="D9" i="514"/>
  <c r="D8" i="514"/>
  <c r="I6" i="514"/>
  <c r="C5" i="514"/>
  <c r="B5" i="514"/>
  <c r="F4" i="514"/>
  <c r="A3" i="514"/>
  <c r="D56" i="434"/>
  <c r="H50" i="434"/>
  <c r="D50" i="434"/>
  <c r="H49" i="434"/>
  <c r="D49" i="434"/>
  <c r="H41" i="434"/>
  <c r="F41" i="434"/>
  <c r="D41" i="434"/>
  <c r="H40" i="434"/>
  <c r="F40" i="434"/>
  <c r="D40" i="434"/>
  <c r="H39" i="434"/>
  <c r="I38" i="434"/>
  <c r="F39" i="434"/>
  <c r="D39" i="434"/>
  <c r="H38" i="434"/>
  <c r="F38" i="434"/>
  <c r="H37" i="434"/>
  <c r="F37" i="434"/>
  <c r="D37" i="434"/>
  <c r="H36" i="434"/>
  <c r="I35" i="434"/>
  <c r="I42" i="434"/>
  <c r="F36" i="434"/>
  <c r="D36" i="434"/>
  <c r="H30" i="434"/>
  <c r="F30" i="434"/>
  <c r="H29" i="434"/>
  <c r="F29" i="434"/>
  <c r="H28" i="434"/>
  <c r="F28" i="434"/>
  <c r="H27" i="434"/>
  <c r="F27" i="434"/>
  <c r="H26" i="434"/>
  <c r="F26" i="434"/>
  <c r="H25" i="434"/>
  <c r="F25" i="434"/>
  <c r="H19" i="434"/>
  <c r="F19" i="434"/>
  <c r="D19" i="434"/>
  <c r="H18" i="434"/>
  <c r="F18" i="434"/>
  <c r="D18" i="434"/>
  <c r="H17" i="434"/>
  <c r="F17" i="434"/>
  <c r="D17" i="434"/>
  <c r="H16" i="434"/>
  <c r="F16" i="434"/>
  <c r="D16" i="434"/>
  <c r="H15" i="434"/>
  <c r="F15" i="434"/>
  <c r="D15" i="434"/>
  <c r="H14" i="434"/>
  <c r="F14" i="434"/>
  <c r="D14" i="434"/>
  <c r="H13" i="434"/>
  <c r="F13" i="434"/>
  <c r="D13" i="434"/>
  <c r="D12" i="434"/>
  <c r="D11" i="434"/>
  <c r="D10" i="434"/>
  <c r="D9" i="434"/>
  <c r="D8" i="434"/>
  <c r="I6" i="434"/>
  <c r="C5" i="434"/>
  <c r="B5" i="434"/>
  <c r="F4" i="434"/>
  <c r="A3" i="434"/>
  <c r="D56" i="409"/>
  <c r="H50" i="409"/>
  <c r="D50" i="409"/>
  <c r="H49" i="409"/>
  <c r="D49" i="409"/>
  <c r="H41" i="409"/>
  <c r="F41" i="409"/>
  <c r="D41" i="409"/>
  <c r="H40" i="409"/>
  <c r="F40" i="409"/>
  <c r="D40" i="409"/>
  <c r="H39" i="409"/>
  <c r="I38" i="409"/>
  <c r="F39" i="409"/>
  <c r="D39" i="409"/>
  <c r="H38" i="409"/>
  <c r="F38" i="409"/>
  <c r="H37" i="409"/>
  <c r="F37" i="409"/>
  <c r="D37" i="409"/>
  <c r="H36" i="409"/>
  <c r="F36" i="409"/>
  <c r="D36" i="409"/>
  <c r="H30" i="409"/>
  <c r="F30" i="409"/>
  <c r="H29" i="409"/>
  <c r="F29" i="409"/>
  <c r="H28" i="409"/>
  <c r="F28" i="409"/>
  <c r="H27" i="409"/>
  <c r="F27" i="409"/>
  <c r="H26" i="409"/>
  <c r="F26" i="409"/>
  <c r="H25" i="409"/>
  <c r="F25" i="409"/>
  <c r="H19" i="409"/>
  <c r="F19" i="409"/>
  <c r="D19" i="409"/>
  <c r="H18" i="409"/>
  <c r="F18" i="409"/>
  <c r="D18" i="409"/>
  <c r="H17" i="409"/>
  <c r="F17" i="409"/>
  <c r="D17" i="409"/>
  <c r="H16" i="409"/>
  <c r="F16" i="409"/>
  <c r="D16" i="409"/>
  <c r="H15" i="409"/>
  <c r="F15" i="409"/>
  <c r="D15" i="409"/>
  <c r="H14" i="409"/>
  <c r="F14" i="409"/>
  <c r="D14" i="409"/>
  <c r="H13" i="409"/>
  <c r="F13" i="409"/>
  <c r="D13" i="409"/>
  <c r="D12" i="409"/>
  <c r="D11" i="409"/>
  <c r="D10" i="409"/>
  <c r="D9" i="409"/>
  <c r="D8" i="409"/>
  <c r="I6" i="409"/>
  <c r="C5" i="409"/>
  <c r="B5" i="409"/>
  <c r="F4" i="409"/>
  <c r="A3" i="409"/>
  <c r="D56" i="408"/>
  <c r="H50" i="408"/>
  <c r="D50" i="408"/>
  <c r="H49" i="408"/>
  <c r="D49" i="408"/>
  <c r="H41" i="408"/>
  <c r="H39" i="408"/>
  <c r="H40" i="408"/>
  <c r="I38" i="408"/>
  <c r="F41" i="408"/>
  <c r="D41" i="408"/>
  <c r="F40" i="408"/>
  <c r="D40" i="408"/>
  <c r="F39" i="408"/>
  <c r="D39" i="408"/>
  <c r="H38" i="408"/>
  <c r="F38" i="408"/>
  <c r="H37" i="408"/>
  <c r="F37" i="408"/>
  <c r="D37" i="408"/>
  <c r="H36" i="408"/>
  <c r="F36" i="408"/>
  <c r="D36" i="408"/>
  <c r="H30" i="408"/>
  <c r="F30" i="408"/>
  <c r="H29" i="408"/>
  <c r="F29" i="408"/>
  <c r="H28" i="408"/>
  <c r="F28" i="408"/>
  <c r="H27" i="408"/>
  <c r="F27" i="408"/>
  <c r="H26" i="408"/>
  <c r="F26" i="408"/>
  <c r="H19" i="408"/>
  <c r="F19" i="408"/>
  <c r="D19" i="408"/>
  <c r="H18" i="408"/>
  <c r="F18" i="408"/>
  <c r="D18" i="408"/>
  <c r="H17" i="408"/>
  <c r="F17" i="408"/>
  <c r="D17" i="408"/>
  <c r="H16" i="408"/>
  <c r="F16" i="408"/>
  <c r="D16" i="408"/>
  <c r="H15" i="408"/>
  <c r="F15" i="408"/>
  <c r="D15" i="408"/>
  <c r="H14" i="408"/>
  <c r="F14" i="408"/>
  <c r="D14" i="408"/>
  <c r="D13" i="408"/>
  <c r="D12" i="408"/>
  <c r="D11" i="408"/>
  <c r="D10" i="408"/>
  <c r="D9" i="408"/>
  <c r="I35" i="409"/>
  <c r="I35" i="408"/>
  <c r="I35" i="599"/>
  <c r="I38" i="599"/>
  <c r="I42" i="599"/>
  <c r="AB296" i="721"/>
  <c r="I35" i="514"/>
  <c r="I35" i="600"/>
  <c r="I42" i="600"/>
  <c r="I38" i="514"/>
  <c r="D8" i="408"/>
  <c r="I6" i="408"/>
  <c r="C5" i="408"/>
  <c r="B5" i="408"/>
  <c r="F4" i="408"/>
  <c r="A3" i="408"/>
  <c r="D56" i="407"/>
  <c r="H50" i="407"/>
  <c r="D50" i="407"/>
  <c r="H49" i="407"/>
  <c r="D49" i="407"/>
  <c r="H41" i="407"/>
  <c r="F41" i="407"/>
  <c r="D41" i="407"/>
  <c r="H40" i="407"/>
  <c r="H39" i="407"/>
  <c r="I38" i="407"/>
  <c r="F40" i="407"/>
  <c r="D40" i="407"/>
  <c r="F39" i="407"/>
  <c r="D39" i="407"/>
  <c r="H38" i="407"/>
  <c r="F38" i="407"/>
  <c r="H37" i="407"/>
  <c r="H36" i="407"/>
  <c r="I35" i="407"/>
  <c r="I42" i="407"/>
  <c r="F37" i="407"/>
  <c r="D37" i="407"/>
  <c r="F36" i="407"/>
  <c r="D36" i="407"/>
  <c r="H30" i="407"/>
  <c r="F30" i="407"/>
  <c r="H29" i="407"/>
  <c r="F29" i="407"/>
  <c r="H28" i="407"/>
  <c r="F28" i="407"/>
  <c r="H27" i="407"/>
  <c r="F27" i="407"/>
  <c r="H26" i="407"/>
  <c r="F26" i="407"/>
  <c r="H19" i="407"/>
  <c r="F19" i="407"/>
  <c r="D19" i="407"/>
  <c r="H18" i="407"/>
  <c r="F18" i="407"/>
  <c r="D18" i="407"/>
  <c r="H17" i="407"/>
  <c r="F17" i="407"/>
  <c r="D17" i="407"/>
  <c r="H16" i="407"/>
  <c r="F16" i="407"/>
  <c r="D16" i="407"/>
  <c r="H15" i="407"/>
  <c r="F15" i="407"/>
  <c r="D15" i="407"/>
  <c r="H14" i="407"/>
  <c r="F14" i="407"/>
  <c r="D14" i="407"/>
  <c r="H13" i="407"/>
  <c r="F13" i="407"/>
  <c r="D13" i="407"/>
  <c r="D12" i="407"/>
  <c r="D11" i="407"/>
  <c r="D10" i="407"/>
  <c r="D9" i="407"/>
  <c r="I42" i="408"/>
  <c r="AB295" i="721"/>
  <c r="AB296" i="720"/>
  <c r="D8" i="407"/>
  <c r="I6" i="407"/>
  <c r="C5" i="407"/>
  <c r="B5" i="407"/>
  <c r="F4" i="407"/>
  <c r="A3" i="407"/>
  <c r="D56" i="404"/>
  <c r="H50" i="404"/>
  <c r="D50" i="404"/>
  <c r="H49" i="404"/>
  <c r="D49" i="404"/>
  <c r="H48" i="404"/>
  <c r="D48" i="404"/>
  <c r="H47" i="404"/>
  <c r="D47" i="404"/>
  <c r="H41" i="404"/>
  <c r="F41" i="404"/>
  <c r="D41" i="404"/>
  <c r="H40" i="404"/>
  <c r="F40" i="404"/>
  <c r="D40" i="404"/>
  <c r="H39" i="404"/>
  <c r="F39" i="404"/>
  <c r="D39" i="404"/>
  <c r="H38" i="404"/>
  <c r="F38" i="404"/>
  <c r="H37" i="404"/>
  <c r="F37" i="404"/>
  <c r="D37" i="404"/>
  <c r="H36" i="404"/>
  <c r="F36" i="404"/>
  <c r="D36" i="404"/>
  <c r="H30" i="404"/>
  <c r="F30" i="404"/>
  <c r="H29" i="404"/>
  <c r="F29" i="404"/>
  <c r="H28" i="404"/>
  <c r="F28" i="404"/>
  <c r="H27" i="404"/>
  <c r="F27" i="404"/>
  <c r="H26" i="404"/>
  <c r="F26" i="404"/>
  <c r="H25" i="404"/>
  <c r="F25" i="404"/>
  <c r="H19" i="404"/>
  <c r="F19" i="404"/>
  <c r="D19" i="404"/>
  <c r="H18" i="404"/>
  <c r="F18" i="404"/>
  <c r="D18" i="404"/>
  <c r="H17" i="404"/>
  <c r="F17" i="404"/>
  <c r="D17" i="404"/>
  <c r="H16" i="404"/>
  <c r="F16" i="404"/>
  <c r="D16" i="404"/>
  <c r="H15" i="404"/>
  <c r="F15" i="404"/>
  <c r="D15" i="404"/>
  <c r="H14" i="404"/>
  <c r="F14" i="404"/>
  <c r="D14" i="404"/>
  <c r="H13" i="404"/>
  <c r="F13" i="404"/>
  <c r="D13" i="404"/>
  <c r="H12" i="404"/>
  <c r="F12" i="404"/>
  <c r="D12" i="404"/>
  <c r="I35" i="404"/>
  <c r="I38" i="404"/>
  <c r="I42" i="404"/>
  <c r="D11" i="404"/>
  <c r="D10" i="404"/>
  <c r="D9" i="404"/>
  <c r="D8" i="404"/>
  <c r="I6" i="404"/>
  <c r="C5" i="404"/>
  <c r="B5" i="404"/>
  <c r="F4" i="404"/>
  <c r="A3" i="404"/>
  <c r="D56" i="403"/>
  <c r="H50" i="403"/>
  <c r="D50" i="403"/>
  <c r="H49" i="403"/>
  <c r="D49" i="403"/>
  <c r="H48" i="403"/>
  <c r="D48" i="403"/>
  <c r="H47" i="403"/>
  <c r="D47" i="403"/>
  <c r="H41" i="403"/>
  <c r="H39" i="403"/>
  <c r="H40" i="403"/>
  <c r="I38" i="403"/>
  <c r="F41" i="403"/>
  <c r="D41" i="403"/>
  <c r="F40" i="403"/>
  <c r="D40" i="403"/>
  <c r="F39" i="403"/>
  <c r="D39" i="403"/>
  <c r="H38" i="403"/>
  <c r="F38" i="403"/>
  <c r="H37" i="403"/>
  <c r="F37" i="403"/>
  <c r="D37" i="403"/>
  <c r="H36" i="403"/>
  <c r="F36" i="403"/>
  <c r="D36" i="403"/>
  <c r="H30" i="403"/>
  <c r="F30" i="403"/>
  <c r="H29" i="403"/>
  <c r="F29" i="403"/>
  <c r="H28" i="403"/>
  <c r="F28" i="403"/>
  <c r="H27" i="403"/>
  <c r="F27" i="403"/>
  <c r="H26" i="403"/>
  <c r="F26" i="403"/>
  <c r="H25" i="403"/>
  <c r="F25" i="403"/>
  <c r="H19" i="403"/>
  <c r="F19" i="403"/>
  <c r="D19" i="403"/>
  <c r="H18" i="403"/>
  <c r="F18" i="403"/>
  <c r="D18" i="403"/>
  <c r="H17" i="403"/>
  <c r="F17" i="403"/>
  <c r="D17" i="403"/>
  <c r="H16" i="403"/>
  <c r="F16" i="403"/>
  <c r="D16" i="403"/>
  <c r="H15" i="403"/>
  <c r="F15" i="403"/>
  <c r="D15" i="403"/>
  <c r="H14" i="403"/>
  <c r="F14" i="403"/>
  <c r="D14" i="403"/>
  <c r="H13" i="403"/>
  <c r="F13" i="403"/>
  <c r="D13" i="403"/>
  <c r="H12" i="403"/>
  <c r="F12" i="403"/>
  <c r="D12" i="403"/>
  <c r="D11" i="403"/>
  <c r="D10" i="403"/>
  <c r="D9" i="403"/>
  <c r="D8" i="403"/>
  <c r="I6" i="403"/>
  <c r="C5" i="403"/>
  <c r="B5" i="403"/>
  <c r="F4" i="403"/>
  <c r="A3" i="403"/>
  <c r="I35" i="403"/>
  <c r="D56" i="524"/>
  <c r="H50" i="524"/>
  <c r="D50" i="524"/>
  <c r="H49" i="524"/>
  <c r="D49" i="524"/>
  <c r="H48" i="524"/>
  <c r="D48" i="524"/>
  <c r="H47" i="524"/>
  <c r="D47" i="524"/>
  <c r="H41" i="524"/>
  <c r="F41" i="524"/>
  <c r="D41" i="524"/>
  <c r="H40" i="524"/>
  <c r="F40" i="524"/>
  <c r="D40" i="524"/>
  <c r="H39" i="524"/>
  <c r="I38" i="524"/>
  <c r="F39" i="524"/>
  <c r="D39" i="524"/>
  <c r="H38" i="524"/>
  <c r="F38" i="524"/>
  <c r="H37" i="524"/>
  <c r="F37" i="524"/>
  <c r="D37" i="524"/>
  <c r="H36" i="524"/>
  <c r="F36" i="524"/>
  <c r="D36" i="524"/>
  <c r="H30" i="524"/>
  <c r="F30" i="524"/>
  <c r="H29" i="524"/>
  <c r="F29" i="524"/>
  <c r="H28" i="524"/>
  <c r="F28" i="524"/>
  <c r="H27" i="524"/>
  <c r="F27" i="524"/>
  <c r="H26" i="524"/>
  <c r="F26" i="524"/>
  <c r="H25" i="524"/>
  <c r="F25" i="524"/>
  <c r="H19" i="524"/>
  <c r="F19" i="524"/>
  <c r="D19" i="524"/>
  <c r="H18" i="524"/>
  <c r="F18" i="524"/>
  <c r="D18" i="524"/>
  <c r="H17" i="524"/>
  <c r="F17" i="524"/>
  <c r="D17" i="524"/>
  <c r="H16" i="524"/>
  <c r="F16" i="524"/>
  <c r="D16" i="524"/>
  <c r="H15" i="524"/>
  <c r="F15" i="524"/>
  <c r="D15" i="524"/>
  <c r="H14" i="524"/>
  <c r="F14" i="524"/>
  <c r="D14" i="524"/>
  <c r="H13" i="524"/>
  <c r="F13" i="524"/>
  <c r="D13" i="524"/>
  <c r="H12" i="524"/>
  <c r="F12" i="524"/>
  <c r="D12" i="524"/>
  <c r="H11" i="524"/>
  <c r="F11" i="524"/>
  <c r="D11" i="524"/>
  <c r="H10" i="524"/>
  <c r="F10" i="524"/>
  <c r="D10" i="524"/>
  <c r="D9" i="524"/>
  <c r="D8" i="524"/>
  <c r="I6" i="524"/>
  <c r="C5" i="524"/>
  <c r="B5" i="524"/>
  <c r="F4" i="524"/>
  <c r="A3" i="524"/>
  <c r="D56" i="523"/>
  <c r="H50" i="523"/>
  <c r="D50" i="523"/>
  <c r="H49" i="523"/>
  <c r="D49" i="523"/>
  <c r="H48" i="523"/>
  <c r="D48" i="523"/>
  <c r="H47" i="523"/>
  <c r="D47" i="523"/>
  <c r="H41" i="523"/>
  <c r="F41" i="523"/>
  <c r="D41" i="523"/>
  <c r="H40" i="523"/>
  <c r="F40" i="523"/>
  <c r="D40" i="523"/>
  <c r="H39" i="523"/>
  <c r="F39" i="523"/>
  <c r="D39" i="523"/>
  <c r="H38" i="523"/>
  <c r="F38" i="523"/>
  <c r="H37" i="523"/>
  <c r="F37" i="523"/>
  <c r="D37" i="523"/>
  <c r="H36" i="523"/>
  <c r="F36" i="523"/>
  <c r="D36" i="523"/>
  <c r="H30" i="523"/>
  <c r="F30" i="523"/>
  <c r="H29" i="523"/>
  <c r="F29" i="523"/>
  <c r="H28" i="523"/>
  <c r="F28" i="523"/>
  <c r="H27" i="523"/>
  <c r="F27" i="523"/>
  <c r="H26" i="523"/>
  <c r="F26" i="523"/>
  <c r="H25" i="523"/>
  <c r="F25" i="523"/>
  <c r="H19" i="523"/>
  <c r="F19" i="523"/>
  <c r="D19" i="523"/>
  <c r="H18" i="523"/>
  <c r="F18" i="523"/>
  <c r="D18" i="523"/>
  <c r="H17" i="523"/>
  <c r="F17" i="523"/>
  <c r="D17" i="523"/>
  <c r="H16" i="523"/>
  <c r="F16" i="523"/>
  <c r="D16" i="523"/>
  <c r="H15" i="523"/>
  <c r="F15" i="523"/>
  <c r="D15" i="523"/>
  <c r="H14" i="523"/>
  <c r="F14" i="523"/>
  <c r="D14" i="523"/>
  <c r="H13" i="523"/>
  <c r="F13" i="523"/>
  <c r="D13" i="523"/>
  <c r="H12" i="523"/>
  <c r="F12" i="523"/>
  <c r="D12" i="523"/>
  <c r="H11" i="523"/>
  <c r="F11" i="523"/>
  <c r="D11" i="523"/>
  <c r="D10" i="523"/>
  <c r="D9" i="523"/>
  <c r="D8" i="523"/>
  <c r="I6" i="523"/>
  <c r="C5" i="523"/>
  <c r="B5" i="523"/>
  <c r="F4" i="523"/>
  <c r="A3" i="523"/>
  <c r="D56" i="522"/>
  <c r="H50" i="522"/>
  <c r="D50" i="522"/>
  <c r="H49" i="522"/>
  <c r="D49" i="522"/>
  <c r="H48" i="522"/>
  <c r="D48" i="522"/>
  <c r="H47" i="522"/>
  <c r="D47" i="522"/>
  <c r="H41" i="522"/>
  <c r="F41" i="522"/>
  <c r="D41" i="522"/>
  <c r="H40" i="522"/>
  <c r="F40" i="522"/>
  <c r="D40" i="522"/>
  <c r="H39" i="522"/>
  <c r="I38" i="522"/>
  <c r="F39" i="522"/>
  <c r="D39" i="522"/>
  <c r="H38" i="522"/>
  <c r="F38" i="522"/>
  <c r="H37" i="522"/>
  <c r="F37" i="522"/>
  <c r="D37" i="522"/>
  <c r="H36" i="522"/>
  <c r="I35" i="522"/>
  <c r="I42" i="522"/>
  <c r="AB277" i="721"/>
  <c r="F36" i="522"/>
  <c r="D36" i="522"/>
  <c r="H30" i="522"/>
  <c r="F30" i="522"/>
  <c r="H29" i="522"/>
  <c r="F29" i="522"/>
  <c r="H28" i="522"/>
  <c r="F28" i="522"/>
  <c r="H27" i="522"/>
  <c r="F27" i="522"/>
  <c r="H26" i="522"/>
  <c r="F26" i="522"/>
  <c r="H25" i="522"/>
  <c r="F25" i="522"/>
  <c r="H19" i="522"/>
  <c r="F19" i="522"/>
  <c r="D19" i="522"/>
  <c r="H18" i="522"/>
  <c r="F18" i="522"/>
  <c r="D18" i="522"/>
  <c r="H17" i="522"/>
  <c r="F17" i="522"/>
  <c r="D17" i="522"/>
  <c r="H16" i="522"/>
  <c r="F16" i="522"/>
  <c r="D16" i="522"/>
  <c r="H15" i="522"/>
  <c r="F15" i="522"/>
  <c r="D15" i="522"/>
  <c r="H14" i="522"/>
  <c r="F14" i="522"/>
  <c r="D14" i="522"/>
  <c r="H13" i="522"/>
  <c r="F13" i="522"/>
  <c r="D13" i="522"/>
  <c r="H12" i="522"/>
  <c r="F12" i="522"/>
  <c r="D12" i="522"/>
  <c r="H11" i="522"/>
  <c r="F11" i="522"/>
  <c r="D11" i="522"/>
  <c r="H10" i="522"/>
  <c r="F10" i="522"/>
  <c r="D10" i="522"/>
  <c r="D9" i="522"/>
  <c r="D8" i="522"/>
  <c r="I6" i="522"/>
  <c r="C5" i="522"/>
  <c r="B5" i="522"/>
  <c r="F4" i="522"/>
  <c r="A3" i="522"/>
  <c r="D56" i="594"/>
  <c r="H50" i="594"/>
  <c r="D50" i="594"/>
  <c r="H49" i="594"/>
  <c r="D49" i="594"/>
  <c r="H48" i="594"/>
  <c r="D48" i="594"/>
  <c r="H47" i="594"/>
  <c r="D47" i="594"/>
  <c r="H41" i="594"/>
  <c r="F41" i="594"/>
  <c r="D41" i="594"/>
  <c r="H40" i="594"/>
  <c r="F40" i="594"/>
  <c r="D40" i="594"/>
  <c r="H39" i="594"/>
  <c r="F39" i="594"/>
  <c r="D39" i="594"/>
  <c r="H38" i="594"/>
  <c r="F38" i="594"/>
  <c r="H37" i="594"/>
  <c r="H36" i="594"/>
  <c r="I35" i="594"/>
  <c r="F37" i="594"/>
  <c r="D37" i="594"/>
  <c r="F36" i="594"/>
  <c r="D36" i="594"/>
  <c r="H30" i="594"/>
  <c r="F30" i="594"/>
  <c r="H29" i="594"/>
  <c r="F29" i="594"/>
  <c r="H28" i="594"/>
  <c r="F28" i="594"/>
  <c r="H27" i="594"/>
  <c r="F27" i="594"/>
  <c r="H26" i="594"/>
  <c r="F26" i="594"/>
  <c r="H25" i="594"/>
  <c r="F25" i="594"/>
  <c r="H19" i="594"/>
  <c r="F19" i="594"/>
  <c r="D19" i="594"/>
  <c r="H18" i="594"/>
  <c r="F18" i="594"/>
  <c r="D18" i="594"/>
  <c r="H17" i="594"/>
  <c r="F17" i="594"/>
  <c r="D17" i="594"/>
  <c r="H16" i="594"/>
  <c r="F16" i="594"/>
  <c r="D16" i="594"/>
  <c r="H15" i="594"/>
  <c r="F15" i="594"/>
  <c r="D15" i="594"/>
  <c r="H14" i="594"/>
  <c r="F14" i="594"/>
  <c r="D14" i="594"/>
  <c r="H13" i="594"/>
  <c r="F13" i="594"/>
  <c r="D13" i="594"/>
  <c r="H12" i="594"/>
  <c r="F12" i="594"/>
  <c r="D12" i="594"/>
  <c r="H11" i="594"/>
  <c r="F11" i="594"/>
  <c r="D11" i="594"/>
  <c r="D10" i="594"/>
  <c r="D9" i="594"/>
  <c r="D8" i="594"/>
  <c r="I6" i="594"/>
  <c r="C5" i="594"/>
  <c r="F4" i="594"/>
  <c r="A3" i="594"/>
  <c r="D56" i="597"/>
  <c r="H50" i="597"/>
  <c r="D50" i="597"/>
  <c r="H49" i="597"/>
  <c r="D49" i="597"/>
  <c r="H48" i="597"/>
  <c r="D48" i="597"/>
  <c r="H47" i="597"/>
  <c r="D47" i="597"/>
  <c r="H41" i="597"/>
  <c r="F41" i="597"/>
  <c r="D41" i="597"/>
  <c r="H40" i="597"/>
  <c r="H39" i="597"/>
  <c r="I38" i="597"/>
  <c r="F40" i="597"/>
  <c r="D40" i="597"/>
  <c r="F39" i="597"/>
  <c r="D39" i="597"/>
  <c r="H38" i="597"/>
  <c r="F38" i="597"/>
  <c r="H37" i="597"/>
  <c r="F37" i="597"/>
  <c r="D37" i="597"/>
  <c r="H36" i="597"/>
  <c r="F36" i="597"/>
  <c r="D36" i="597"/>
  <c r="H30" i="597"/>
  <c r="F30" i="597"/>
  <c r="H29" i="597"/>
  <c r="F29" i="597"/>
  <c r="H28" i="597"/>
  <c r="F28" i="597"/>
  <c r="H27" i="597"/>
  <c r="F27" i="597"/>
  <c r="H26" i="597"/>
  <c r="F26" i="597"/>
  <c r="H25" i="597"/>
  <c r="F25" i="597"/>
  <c r="H19" i="597"/>
  <c r="F19" i="597"/>
  <c r="D19" i="597"/>
  <c r="H18" i="597"/>
  <c r="F18" i="597"/>
  <c r="D18" i="597"/>
  <c r="H17" i="597"/>
  <c r="F17" i="597"/>
  <c r="D17" i="597"/>
  <c r="H16" i="597"/>
  <c r="F16" i="597"/>
  <c r="D16" i="597"/>
  <c r="H15" i="597"/>
  <c r="F15" i="597"/>
  <c r="D15" i="597"/>
  <c r="H14" i="597"/>
  <c r="F14" i="597"/>
  <c r="D14" i="597"/>
  <c r="H13" i="597"/>
  <c r="F13" i="597"/>
  <c r="D13" i="597"/>
  <c r="H12" i="597"/>
  <c r="F12" i="597"/>
  <c r="D12" i="597"/>
  <c r="H11" i="597"/>
  <c r="F11" i="597"/>
  <c r="D11" i="597"/>
  <c r="D10" i="597"/>
  <c r="D9" i="597"/>
  <c r="D8" i="597"/>
  <c r="I6" i="597"/>
  <c r="C5" i="597"/>
  <c r="B5" i="597"/>
  <c r="F4" i="597"/>
  <c r="A3" i="597"/>
  <c r="D56" i="596"/>
  <c r="H50" i="596"/>
  <c r="D50" i="596"/>
  <c r="H49" i="596"/>
  <c r="D49" i="596"/>
  <c r="H48" i="596"/>
  <c r="D48" i="596"/>
  <c r="H47" i="596"/>
  <c r="D47" i="596"/>
  <c r="H41" i="596"/>
  <c r="F41" i="596"/>
  <c r="D41" i="596"/>
  <c r="H40" i="596"/>
  <c r="F40" i="596"/>
  <c r="D40" i="596"/>
  <c r="H39" i="596"/>
  <c r="I38" i="596"/>
  <c r="F39" i="596"/>
  <c r="D39" i="596"/>
  <c r="H38" i="596"/>
  <c r="F38" i="596"/>
  <c r="H37" i="596"/>
  <c r="F37" i="596"/>
  <c r="D37" i="596"/>
  <c r="H36" i="596"/>
  <c r="F36" i="596"/>
  <c r="D36" i="596"/>
  <c r="H30" i="596"/>
  <c r="F30" i="596"/>
  <c r="H29" i="596"/>
  <c r="F29" i="596"/>
  <c r="H28" i="596"/>
  <c r="F28" i="596"/>
  <c r="H27" i="596"/>
  <c r="F27" i="596"/>
  <c r="H26" i="596"/>
  <c r="F26" i="596"/>
  <c r="H25" i="596"/>
  <c r="F25" i="596"/>
  <c r="H19" i="596"/>
  <c r="F19" i="596"/>
  <c r="D19" i="596"/>
  <c r="H18" i="596"/>
  <c r="F18" i="596"/>
  <c r="D18" i="596"/>
  <c r="H17" i="596"/>
  <c r="F17" i="596"/>
  <c r="D17" i="596"/>
  <c r="H16" i="596"/>
  <c r="F16" i="596"/>
  <c r="D16" i="596"/>
  <c r="H15" i="596"/>
  <c r="F15" i="596"/>
  <c r="D15" i="596"/>
  <c r="H14" i="596"/>
  <c r="F14" i="596"/>
  <c r="D14" i="596"/>
  <c r="H13" i="596"/>
  <c r="F13" i="596"/>
  <c r="D13" i="596"/>
  <c r="H12" i="596"/>
  <c r="F12" i="596"/>
  <c r="D12" i="596"/>
  <c r="H11" i="596"/>
  <c r="F11" i="596"/>
  <c r="D11" i="596"/>
  <c r="D10" i="596"/>
  <c r="D9" i="596"/>
  <c r="D8" i="596"/>
  <c r="I6" i="596"/>
  <c r="C5" i="596"/>
  <c r="B5" i="596"/>
  <c r="F4" i="596"/>
  <c r="A3" i="596"/>
  <c r="D56" i="595"/>
  <c r="H50" i="595"/>
  <c r="D50" i="595"/>
  <c r="H49" i="595"/>
  <c r="D49" i="595"/>
  <c r="H48" i="595"/>
  <c r="D48" i="595"/>
  <c r="H47" i="595"/>
  <c r="D47" i="595"/>
  <c r="H41" i="595"/>
  <c r="F41" i="595"/>
  <c r="D41" i="595"/>
  <c r="H40" i="595"/>
  <c r="F40" i="595"/>
  <c r="D40" i="595"/>
  <c r="H39" i="595"/>
  <c r="F39" i="595"/>
  <c r="D39" i="595"/>
  <c r="H38" i="595"/>
  <c r="F38" i="595"/>
  <c r="H37" i="595"/>
  <c r="F37" i="595"/>
  <c r="D37" i="595"/>
  <c r="H36" i="595"/>
  <c r="I35" i="595"/>
  <c r="I38" i="595"/>
  <c r="I42" i="595"/>
  <c r="F36" i="595"/>
  <c r="D36" i="595"/>
  <c r="H30" i="595"/>
  <c r="F30" i="595"/>
  <c r="H29" i="595"/>
  <c r="F29" i="595"/>
  <c r="H28" i="595"/>
  <c r="F28" i="595"/>
  <c r="H27" i="595"/>
  <c r="F27" i="595"/>
  <c r="H26" i="595"/>
  <c r="F26" i="595"/>
  <c r="H25" i="595"/>
  <c r="F25" i="595"/>
  <c r="H19" i="595"/>
  <c r="F19" i="595"/>
  <c r="D19" i="595"/>
  <c r="H18" i="595"/>
  <c r="F18" i="595"/>
  <c r="D18" i="595"/>
  <c r="H17" i="595"/>
  <c r="F17" i="595"/>
  <c r="D17" i="595"/>
  <c r="H16" i="595"/>
  <c r="F16" i="595"/>
  <c r="D16" i="595"/>
  <c r="H15" i="595"/>
  <c r="F15" i="595"/>
  <c r="D15" i="595"/>
  <c r="H14" i="595"/>
  <c r="F14" i="595"/>
  <c r="D14" i="595"/>
  <c r="H13" i="595"/>
  <c r="F13" i="595"/>
  <c r="D13" i="595"/>
  <c r="H12" i="595"/>
  <c r="F12" i="595"/>
  <c r="D12" i="595"/>
  <c r="H11" i="595"/>
  <c r="F11" i="595"/>
  <c r="D11" i="595"/>
  <c r="D10" i="595"/>
  <c r="D9" i="595"/>
  <c r="D8" i="595"/>
  <c r="I6" i="595"/>
  <c r="C5" i="595"/>
  <c r="B5" i="595"/>
  <c r="F4" i="595"/>
  <c r="A3" i="595"/>
  <c r="D56" i="593"/>
  <c r="H50" i="593"/>
  <c r="D50" i="593"/>
  <c r="H49" i="593"/>
  <c r="D49" i="593"/>
  <c r="H48" i="593"/>
  <c r="D48" i="593"/>
  <c r="H47" i="593"/>
  <c r="D47" i="593"/>
  <c r="H41" i="593"/>
  <c r="H39" i="593"/>
  <c r="H40" i="593"/>
  <c r="I38" i="593"/>
  <c r="F41" i="593"/>
  <c r="D41" i="593"/>
  <c r="F40" i="593"/>
  <c r="D40" i="593"/>
  <c r="F39" i="593"/>
  <c r="D39" i="593"/>
  <c r="H38" i="593"/>
  <c r="F38" i="593"/>
  <c r="H37" i="593"/>
  <c r="F37" i="593"/>
  <c r="D37" i="593"/>
  <c r="H36" i="593"/>
  <c r="F36" i="593"/>
  <c r="D36" i="593"/>
  <c r="H30" i="593"/>
  <c r="F30" i="593"/>
  <c r="H29" i="593"/>
  <c r="F29" i="593"/>
  <c r="H28" i="593"/>
  <c r="F28" i="593"/>
  <c r="H27" i="593"/>
  <c r="F27" i="593"/>
  <c r="H26" i="593"/>
  <c r="F26" i="593"/>
  <c r="H25" i="593"/>
  <c r="F25" i="593"/>
  <c r="H19" i="593"/>
  <c r="F19" i="593"/>
  <c r="D19" i="593"/>
  <c r="H18" i="593"/>
  <c r="F18" i="593"/>
  <c r="D18" i="593"/>
  <c r="H17" i="593"/>
  <c r="F17" i="593"/>
  <c r="D17" i="593"/>
  <c r="H16" i="593"/>
  <c r="F16" i="593"/>
  <c r="D16" i="593"/>
  <c r="H15" i="593"/>
  <c r="F15" i="593"/>
  <c r="D15" i="593"/>
  <c r="H14" i="593"/>
  <c r="F14" i="593"/>
  <c r="D14" i="593"/>
  <c r="H13" i="593"/>
  <c r="F13" i="593"/>
  <c r="D13" i="593"/>
  <c r="H12" i="593"/>
  <c r="F12" i="593"/>
  <c r="D12" i="593"/>
  <c r="H11" i="593"/>
  <c r="F11" i="593"/>
  <c r="D11" i="593"/>
  <c r="D10" i="593"/>
  <c r="D9" i="593"/>
  <c r="D8" i="593"/>
  <c r="I6" i="593"/>
  <c r="C5" i="593"/>
  <c r="B5" i="593"/>
  <c r="F4" i="593"/>
  <c r="A3" i="593"/>
  <c r="D56" i="592"/>
  <c r="H50" i="592"/>
  <c r="D50" i="592"/>
  <c r="H49" i="592"/>
  <c r="D49" i="592"/>
  <c r="H48" i="592"/>
  <c r="D48" i="592"/>
  <c r="H47" i="592"/>
  <c r="D47" i="592"/>
  <c r="H41" i="592"/>
  <c r="F41" i="592"/>
  <c r="D41" i="592"/>
  <c r="H40" i="592"/>
  <c r="H39" i="592"/>
  <c r="I38" i="592"/>
  <c r="F40" i="592"/>
  <c r="D40" i="592"/>
  <c r="F39" i="592"/>
  <c r="D39" i="592"/>
  <c r="H38" i="592"/>
  <c r="F38" i="592"/>
  <c r="H37" i="592"/>
  <c r="F37" i="592"/>
  <c r="D37" i="592"/>
  <c r="H36" i="592"/>
  <c r="F36" i="592"/>
  <c r="D36" i="592"/>
  <c r="H30" i="592"/>
  <c r="F30" i="592"/>
  <c r="H29" i="592"/>
  <c r="F29" i="592"/>
  <c r="H28" i="592"/>
  <c r="F28" i="592"/>
  <c r="H27" i="592"/>
  <c r="F27" i="592"/>
  <c r="H26" i="592"/>
  <c r="F26" i="592"/>
  <c r="H25" i="592"/>
  <c r="F25" i="592"/>
  <c r="H19" i="592"/>
  <c r="F19" i="592"/>
  <c r="D19" i="592"/>
  <c r="H18" i="592"/>
  <c r="F18" i="592"/>
  <c r="D18" i="592"/>
  <c r="H17" i="592"/>
  <c r="F17" i="592"/>
  <c r="D17" i="592"/>
  <c r="H16" i="592"/>
  <c r="F16" i="592"/>
  <c r="D16" i="592"/>
  <c r="H15" i="592"/>
  <c r="F15" i="592"/>
  <c r="D15" i="592"/>
  <c r="H14" i="592"/>
  <c r="F14" i="592"/>
  <c r="D14" i="592"/>
  <c r="H13" i="592"/>
  <c r="F13" i="592"/>
  <c r="D13" i="592"/>
  <c r="H12" i="592"/>
  <c r="F12" i="592"/>
  <c r="D12" i="592"/>
  <c r="H11" i="592"/>
  <c r="F11" i="592"/>
  <c r="D11" i="592"/>
  <c r="D10" i="592"/>
  <c r="D9" i="592"/>
  <c r="D8" i="592"/>
  <c r="I6" i="592"/>
  <c r="C5" i="592"/>
  <c r="B5" i="592"/>
  <c r="F4" i="592"/>
  <c r="A3" i="592"/>
  <c r="D56" i="591"/>
  <c r="H50" i="591"/>
  <c r="D50" i="591"/>
  <c r="H49" i="591"/>
  <c r="D49" i="591"/>
  <c r="H48" i="591"/>
  <c r="D48" i="591"/>
  <c r="H47" i="591"/>
  <c r="D47" i="591"/>
  <c r="H41" i="591"/>
  <c r="F41" i="591"/>
  <c r="D41" i="591"/>
  <c r="H40" i="591"/>
  <c r="F40" i="591"/>
  <c r="D40" i="591"/>
  <c r="H39" i="591"/>
  <c r="I38" i="591"/>
  <c r="F39" i="591"/>
  <c r="D39" i="591"/>
  <c r="H38" i="591"/>
  <c r="F38" i="591"/>
  <c r="H37" i="591"/>
  <c r="F37" i="591"/>
  <c r="D37" i="591"/>
  <c r="H36" i="591"/>
  <c r="I35" i="591"/>
  <c r="F36" i="591"/>
  <c r="D36" i="591"/>
  <c r="H30" i="591"/>
  <c r="F30" i="591"/>
  <c r="H29" i="591"/>
  <c r="F29" i="591"/>
  <c r="H28" i="591"/>
  <c r="F28" i="591"/>
  <c r="H27" i="591"/>
  <c r="F27" i="591"/>
  <c r="H26" i="591"/>
  <c r="F26" i="591"/>
  <c r="H25" i="591"/>
  <c r="F25" i="591"/>
  <c r="H19" i="591"/>
  <c r="F19" i="591"/>
  <c r="D19" i="591"/>
  <c r="H18" i="591"/>
  <c r="F18" i="591"/>
  <c r="D18" i="591"/>
  <c r="H17" i="591"/>
  <c r="F17" i="591"/>
  <c r="D17" i="591"/>
  <c r="H16" i="591"/>
  <c r="F16" i="591"/>
  <c r="D16" i="591"/>
  <c r="H15" i="591"/>
  <c r="F15" i="591"/>
  <c r="D15" i="591"/>
  <c r="H14" i="591"/>
  <c r="F14" i="591"/>
  <c r="D14" i="591"/>
  <c r="H13" i="591"/>
  <c r="F13" i="591"/>
  <c r="D13" i="591"/>
  <c r="H12" i="591"/>
  <c r="F12" i="591"/>
  <c r="D12" i="591"/>
  <c r="H11" i="591"/>
  <c r="F11" i="591"/>
  <c r="D11" i="591"/>
  <c r="D10" i="591"/>
  <c r="D9" i="591"/>
  <c r="D8" i="591"/>
  <c r="I6" i="591"/>
  <c r="C5" i="591"/>
  <c r="B5" i="591"/>
  <c r="F4" i="591"/>
  <c r="A3" i="591"/>
  <c r="I35" i="524"/>
  <c r="I42" i="524"/>
  <c r="I35" i="596"/>
  <c r="I42" i="596"/>
  <c r="I35" i="593"/>
  <c r="AB277" i="720"/>
  <c r="AB287" i="720"/>
  <c r="AB287" i="721"/>
  <c r="I42" i="591"/>
  <c r="AB258" i="720"/>
  <c r="AB256" i="721"/>
  <c r="AB281" i="720"/>
  <c r="AB256" i="720"/>
  <c r="AC256" i="720"/>
  <c r="AB281" i="721"/>
  <c r="AB274" i="720"/>
  <c r="AB274" i="721"/>
  <c r="AB275" i="720"/>
  <c r="AB275" i="721"/>
  <c r="AB276" i="720"/>
  <c r="AB276" i="721"/>
  <c r="AB258" i="721"/>
  <c r="AB264" i="720"/>
  <c r="AB264" i="721"/>
  <c r="D56" i="588"/>
  <c r="H50" i="588"/>
  <c r="D50" i="588"/>
  <c r="H49" i="588"/>
  <c r="D49" i="588"/>
  <c r="H48" i="588"/>
  <c r="D48" i="588"/>
  <c r="H47" i="588"/>
  <c r="D47" i="588"/>
  <c r="H41" i="588"/>
  <c r="F41" i="588"/>
  <c r="D41" i="588"/>
  <c r="H40" i="588"/>
  <c r="F40" i="588"/>
  <c r="D40" i="588"/>
  <c r="H39" i="588"/>
  <c r="I38" i="588"/>
  <c r="F39" i="588"/>
  <c r="D39" i="588"/>
  <c r="H38" i="588"/>
  <c r="F38" i="588"/>
  <c r="H37" i="588"/>
  <c r="F37" i="588"/>
  <c r="D37" i="588"/>
  <c r="H36" i="588"/>
  <c r="I35" i="588"/>
  <c r="I42" i="588"/>
  <c r="AB247" i="720"/>
  <c r="F36" i="588"/>
  <c r="D36" i="588"/>
  <c r="H30" i="588"/>
  <c r="F30" i="588"/>
  <c r="H29" i="588"/>
  <c r="F29" i="588"/>
  <c r="H28" i="588"/>
  <c r="F28" i="588"/>
  <c r="H27" i="588"/>
  <c r="F27" i="588"/>
  <c r="H26" i="588"/>
  <c r="F26" i="588"/>
  <c r="H25" i="588"/>
  <c r="F25" i="588"/>
  <c r="H19" i="588"/>
  <c r="F19" i="588"/>
  <c r="D19" i="588"/>
  <c r="H18" i="588"/>
  <c r="F18" i="588"/>
  <c r="D18" i="588"/>
  <c r="H17" i="588"/>
  <c r="F17" i="588"/>
  <c r="D17" i="588"/>
  <c r="H16" i="588"/>
  <c r="F16" i="588"/>
  <c r="D16" i="588"/>
  <c r="H15" i="588"/>
  <c r="F15" i="588"/>
  <c r="D15" i="588"/>
  <c r="H14" i="588"/>
  <c r="F14" i="588"/>
  <c r="D14" i="588"/>
  <c r="H13" i="588"/>
  <c r="F13" i="588"/>
  <c r="D13" i="588"/>
  <c r="H12" i="588"/>
  <c r="F12" i="588"/>
  <c r="D12" i="588"/>
  <c r="H11" i="588"/>
  <c r="F11" i="588"/>
  <c r="D11" i="588"/>
  <c r="D10" i="588"/>
  <c r="D9" i="588"/>
  <c r="D8" i="588"/>
  <c r="I6" i="588"/>
  <c r="C5" i="588"/>
  <c r="B5" i="588"/>
  <c r="F4" i="588"/>
  <c r="A3" i="588"/>
  <c r="D56" i="348"/>
  <c r="H50" i="348"/>
  <c r="D50" i="348"/>
  <c r="H49" i="348"/>
  <c r="D49" i="348"/>
  <c r="H48" i="348"/>
  <c r="D48" i="348"/>
  <c r="H47" i="348"/>
  <c r="D47" i="348"/>
  <c r="H41" i="348"/>
  <c r="H39" i="348"/>
  <c r="H40" i="348"/>
  <c r="I38" i="348"/>
  <c r="F41" i="348"/>
  <c r="D41" i="348"/>
  <c r="F40" i="348"/>
  <c r="D40" i="348"/>
  <c r="F39" i="348"/>
  <c r="D39" i="348"/>
  <c r="H38" i="348"/>
  <c r="F38" i="348"/>
  <c r="H37" i="348"/>
  <c r="H36" i="348"/>
  <c r="I35" i="348"/>
  <c r="F37" i="348"/>
  <c r="D37" i="348"/>
  <c r="F36" i="348"/>
  <c r="D36" i="348"/>
  <c r="H30" i="348"/>
  <c r="F30" i="348"/>
  <c r="H29" i="348"/>
  <c r="F29" i="348"/>
  <c r="H28" i="348"/>
  <c r="F28" i="348"/>
  <c r="H27" i="348"/>
  <c r="F27" i="348"/>
  <c r="H26" i="348"/>
  <c r="F26" i="348"/>
  <c r="H25" i="348"/>
  <c r="F25" i="348"/>
  <c r="H19" i="348"/>
  <c r="F19" i="348"/>
  <c r="D19" i="348"/>
  <c r="H18" i="348"/>
  <c r="F18" i="348"/>
  <c r="D18" i="348"/>
  <c r="H17" i="348"/>
  <c r="F17" i="348"/>
  <c r="D17" i="348"/>
  <c r="H16" i="348"/>
  <c r="F16" i="348"/>
  <c r="D16" i="348"/>
  <c r="H15" i="348"/>
  <c r="F15" i="348"/>
  <c r="D15" i="348"/>
  <c r="H14" i="348"/>
  <c r="F14" i="348"/>
  <c r="D14" i="348"/>
  <c r="H13" i="348"/>
  <c r="F13" i="348"/>
  <c r="D13" i="348"/>
  <c r="H12" i="348"/>
  <c r="F12" i="348"/>
  <c r="D12" i="348"/>
  <c r="D11" i="348"/>
  <c r="D10" i="348"/>
  <c r="D9" i="348"/>
  <c r="D8" i="348"/>
  <c r="I6" i="348"/>
  <c r="C5" i="348"/>
  <c r="B5" i="348"/>
  <c r="F4" i="348"/>
  <c r="A3" i="348"/>
  <c r="D55" i="472"/>
  <c r="H49" i="472"/>
  <c r="D49" i="472"/>
  <c r="H48" i="472"/>
  <c r="D48" i="472"/>
  <c r="H47" i="472"/>
  <c r="D47" i="472"/>
  <c r="H46" i="472"/>
  <c r="D46" i="472"/>
  <c r="H40" i="472"/>
  <c r="F40" i="472"/>
  <c r="D40" i="472"/>
  <c r="H39" i="472"/>
  <c r="F39" i="472"/>
  <c r="D39" i="472"/>
  <c r="H37" i="472"/>
  <c r="F37" i="472"/>
  <c r="D37" i="472"/>
  <c r="H36" i="472"/>
  <c r="H35" i="472"/>
  <c r="I34" i="472"/>
  <c r="I38" i="472"/>
  <c r="I41" i="472"/>
  <c r="AB233" i="720"/>
  <c r="F36" i="472"/>
  <c r="D36" i="472"/>
  <c r="F35" i="472"/>
  <c r="D35" i="472"/>
  <c r="H29" i="472"/>
  <c r="F29" i="472"/>
  <c r="H28" i="472"/>
  <c r="F28" i="472"/>
  <c r="H27" i="472"/>
  <c r="F27" i="472"/>
  <c r="H26" i="472"/>
  <c r="F26" i="472"/>
  <c r="H25" i="472"/>
  <c r="F25" i="472"/>
  <c r="H18" i="472"/>
  <c r="F18" i="472"/>
  <c r="D18" i="472"/>
  <c r="H17" i="472"/>
  <c r="F17" i="472"/>
  <c r="D17" i="472"/>
  <c r="H16" i="472"/>
  <c r="F16" i="472"/>
  <c r="D16" i="472"/>
  <c r="H15" i="472"/>
  <c r="F15" i="472"/>
  <c r="D15" i="472"/>
  <c r="H14" i="472"/>
  <c r="F14" i="472"/>
  <c r="D14" i="472"/>
  <c r="D13" i="472"/>
  <c r="D12" i="472"/>
  <c r="E11" i="472"/>
  <c r="D11" i="472"/>
  <c r="E10" i="472"/>
  <c r="D10" i="472"/>
  <c r="D9" i="472"/>
  <c r="D8" i="472"/>
  <c r="I6" i="472"/>
  <c r="C5" i="472"/>
  <c r="B5" i="472"/>
  <c r="F4" i="472"/>
  <c r="A3" i="472"/>
  <c r="D55" i="505"/>
  <c r="H49" i="505"/>
  <c r="D49" i="505"/>
  <c r="H48" i="505"/>
  <c r="D48" i="505"/>
  <c r="H47" i="505"/>
  <c r="D47" i="505"/>
  <c r="H46" i="505"/>
  <c r="D46" i="505"/>
  <c r="H40" i="505"/>
  <c r="F40" i="505"/>
  <c r="D40" i="505"/>
  <c r="H39" i="505"/>
  <c r="I38" i="505"/>
  <c r="F39" i="505"/>
  <c r="D39" i="505"/>
  <c r="H37" i="505"/>
  <c r="F37" i="505"/>
  <c r="D37" i="505"/>
  <c r="H36" i="505"/>
  <c r="F36" i="505"/>
  <c r="D36" i="505"/>
  <c r="H35" i="505"/>
  <c r="F35" i="505"/>
  <c r="D35" i="505"/>
  <c r="H29" i="505"/>
  <c r="F29" i="505"/>
  <c r="H28" i="505"/>
  <c r="F28" i="505"/>
  <c r="H27" i="505"/>
  <c r="F27" i="505"/>
  <c r="H26" i="505"/>
  <c r="F26" i="505"/>
  <c r="H25" i="505"/>
  <c r="F25" i="505"/>
  <c r="H24" i="505"/>
  <c r="AB255" i="720"/>
  <c r="AC255" i="720"/>
  <c r="AB255" i="721"/>
  <c r="I34" i="505"/>
  <c r="F24" i="505"/>
  <c r="H18" i="505"/>
  <c r="F18" i="505"/>
  <c r="D18" i="505"/>
  <c r="H17" i="505"/>
  <c r="F17" i="505"/>
  <c r="D17" i="505"/>
  <c r="H16" i="505"/>
  <c r="F16" i="505"/>
  <c r="D16" i="505"/>
  <c r="H15" i="505"/>
  <c r="F15" i="505"/>
  <c r="D15" i="505"/>
  <c r="H14" i="505"/>
  <c r="F14" i="505"/>
  <c r="D14" i="505"/>
  <c r="H13" i="505"/>
  <c r="AB254" i="721"/>
  <c r="AB253" i="720"/>
  <c r="AC253" i="720"/>
  <c r="AC252" i="720"/>
  <c r="AB254" i="720"/>
  <c r="AC254" i="720"/>
  <c r="AB253" i="721"/>
  <c r="AB251" i="720"/>
  <c r="AB251" i="721"/>
  <c r="F13" i="505"/>
  <c r="D13" i="505"/>
  <c r="D12" i="505"/>
  <c r="D11" i="505"/>
  <c r="AB247" i="721"/>
  <c r="AB233" i="721"/>
  <c r="AB250" i="720"/>
  <c r="AB250" i="721"/>
  <c r="D10" i="505"/>
  <c r="D9" i="505"/>
  <c r="D8" i="505"/>
  <c r="I6" i="505"/>
  <c r="C5" i="505"/>
  <c r="B5" i="505"/>
  <c r="F4" i="505"/>
  <c r="A3" i="505"/>
  <c r="D55" i="504"/>
  <c r="H49" i="504"/>
  <c r="D49" i="504"/>
  <c r="H48" i="504"/>
  <c r="D48" i="504"/>
  <c r="H47" i="504"/>
  <c r="D47" i="504"/>
  <c r="H46" i="504"/>
  <c r="D46" i="504"/>
  <c r="H40" i="504"/>
  <c r="H39" i="504"/>
  <c r="I38" i="504"/>
  <c r="F40" i="504"/>
  <c r="D40" i="504"/>
  <c r="F39" i="504"/>
  <c r="D39" i="504"/>
  <c r="H37" i="504"/>
  <c r="F37" i="504"/>
  <c r="D37" i="504"/>
  <c r="H36" i="504"/>
  <c r="F36" i="504"/>
  <c r="D36" i="504"/>
  <c r="H35" i="504"/>
  <c r="I34" i="504"/>
  <c r="F35" i="504"/>
  <c r="D35" i="504"/>
  <c r="H29" i="504"/>
  <c r="F29" i="504"/>
  <c r="H28" i="504"/>
  <c r="F28" i="504"/>
  <c r="H27" i="504"/>
  <c r="F27" i="504"/>
  <c r="H26" i="504"/>
  <c r="F26" i="504"/>
  <c r="H18" i="504"/>
  <c r="F18" i="504"/>
  <c r="D18" i="504"/>
  <c r="H17" i="504"/>
  <c r="F17" i="504"/>
  <c r="D17" i="504"/>
  <c r="H16" i="504"/>
  <c r="F16" i="504"/>
  <c r="D16" i="504"/>
  <c r="H15" i="504"/>
  <c r="F15" i="504"/>
  <c r="D15" i="504"/>
  <c r="H14" i="504"/>
  <c r="F14" i="504"/>
  <c r="D14" i="504"/>
  <c r="D13" i="504"/>
  <c r="D12" i="504"/>
  <c r="D11" i="504"/>
  <c r="D10" i="504"/>
  <c r="D9" i="504"/>
  <c r="D8" i="504"/>
  <c r="I6" i="504"/>
  <c r="C5" i="504"/>
  <c r="B5" i="504"/>
  <c r="F4" i="504"/>
  <c r="A3" i="504"/>
  <c r="D55" i="587"/>
  <c r="H49" i="587"/>
  <c r="D49" i="587"/>
  <c r="H48" i="587"/>
  <c r="D48" i="587"/>
  <c r="H47" i="587"/>
  <c r="D47" i="587"/>
  <c r="H46" i="587"/>
  <c r="D46" i="587"/>
  <c r="H40" i="587"/>
  <c r="H39" i="587"/>
  <c r="I38" i="587"/>
  <c r="F40" i="587"/>
  <c r="D40" i="587"/>
  <c r="F39" i="587"/>
  <c r="D39" i="587"/>
  <c r="H37" i="587"/>
  <c r="F37" i="587"/>
  <c r="D37" i="587"/>
  <c r="H36" i="587"/>
  <c r="F36" i="587"/>
  <c r="D36" i="587"/>
  <c r="H35" i="587"/>
  <c r="I34" i="587"/>
  <c r="F35" i="587"/>
  <c r="D35" i="587"/>
  <c r="H29" i="587"/>
  <c r="F29" i="587"/>
  <c r="H28" i="587"/>
  <c r="F28" i="587"/>
  <c r="H27" i="587"/>
  <c r="F27" i="587"/>
  <c r="H26" i="587"/>
  <c r="F26" i="587"/>
  <c r="H25" i="587"/>
  <c r="F25" i="587"/>
  <c r="H18" i="587"/>
  <c r="F18" i="587"/>
  <c r="D18" i="587"/>
  <c r="H17" i="587"/>
  <c r="F17" i="587"/>
  <c r="D17" i="587"/>
  <c r="H16" i="587"/>
  <c r="F16" i="587"/>
  <c r="D16" i="587"/>
  <c r="H15" i="587"/>
  <c r="F15" i="587"/>
  <c r="D15" i="587"/>
  <c r="H14" i="587"/>
  <c r="F14" i="587"/>
  <c r="D14" i="587"/>
  <c r="H13" i="587"/>
  <c r="F13" i="587"/>
  <c r="D13" i="587"/>
  <c r="D12" i="587"/>
  <c r="D11" i="587"/>
  <c r="D10" i="587"/>
  <c r="D9" i="587"/>
  <c r="D8" i="587"/>
  <c r="I6" i="587"/>
  <c r="C5" i="587"/>
  <c r="B5" i="587"/>
  <c r="F4" i="587"/>
  <c r="A3" i="587"/>
  <c r="D55" i="649"/>
  <c r="H49" i="649"/>
  <c r="D49" i="649"/>
  <c r="H48" i="649"/>
  <c r="D48" i="649"/>
  <c r="H47" i="649"/>
  <c r="D47" i="649"/>
  <c r="H46" i="649"/>
  <c r="D46" i="649"/>
  <c r="H40" i="649"/>
  <c r="F40" i="649"/>
  <c r="D40" i="649"/>
  <c r="H39" i="649"/>
  <c r="I38" i="649"/>
  <c r="F39" i="649"/>
  <c r="D39" i="649"/>
  <c r="H37" i="649"/>
  <c r="H35" i="649"/>
  <c r="H36" i="649"/>
  <c r="I34" i="649"/>
  <c r="F37" i="649"/>
  <c r="D37" i="649"/>
  <c r="F36" i="649"/>
  <c r="D36" i="649"/>
  <c r="F35" i="649"/>
  <c r="D35" i="649"/>
  <c r="H29" i="649"/>
  <c r="F29" i="649"/>
  <c r="H28" i="649"/>
  <c r="F28" i="649"/>
  <c r="H27" i="649"/>
  <c r="F27" i="649"/>
  <c r="H26" i="649"/>
  <c r="F26" i="649"/>
  <c r="H25" i="649"/>
  <c r="F25" i="649"/>
  <c r="H18" i="649"/>
  <c r="F18" i="649"/>
  <c r="D18" i="649"/>
  <c r="H17" i="649"/>
  <c r="F17" i="649"/>
  <c r="D17" i="649"/>
  <c r="H16" i="649"/>
  <c r="F16" i="649"/>
  <c r="D16" i="649"/>
  <c r="H15" i="649"/>
  <c r="F15" i="649"/>
  <c r="D15" i="649"/>
  <c r="H14" i="649"/>
  <c r="F14" i="649"/>
  <c r="D14" i="649"/>
  <c r="D13" i="649"/>
  <c r="D12" i="649"/>
  <c r="D11" i="649"/>
  <c r="D10" i="649"/>
  <c r="D9" i="649"/>
  <c r="D8" i="649"/>
  <c r="I6" i="649"/>
  <c r="C5" i="649"/>
  <c r="B5" i="649"/>
  <c r="F4" i="649"/>
  <c r="A3" i="649"/>
  <c r="D55" i="503"/>
  <c r="H49" i="503"/>
  <c r="D49" i="503"/>
  <c r="H48" i="503"/>
  <c r="D48" i="503"/>
  <c r="H47" i="503"/>
  <c r="D47" i="503"/>
  <c r="H46" i="503"/>
  <c r="D46" i="503"/>
  <c r="H40" i="503"/>
  <c r="F40" i="503"/>
  <c r="D40" i="503"/>
  <c r="H39" i="503"/>
  <c r="I38" i="503"/>
  <c r="F39" i="503"/>
  <c r="D39" i="503"/>
  <c r="H37" i="503"/>
  <c r="F37" i="503"/>
  <c r="D37" i="503"/>
  <c r="H36" i="503"/>
  <c r="F36" i="503"/>
  <c r="D36" i="503"/>
  <c r="H35" i="503"/>
  <c r="F35" i="503"/>
  <c r="D35" i="503"/>
  <c r="H29" i="503"/>
  <c r="F29" i="503"/>
  <c r="H28" i="503"/>
  <c r="F28" i="503"/>
  <c r="H27" i="503"/>
  <c r="F27" i="503"/>
  <c r="H26" i="503"/>
  <c r="F26" i="503"/>
  <c r="H25" i="503"/>
  <c r="F25" i="503"/>
  <c r="H18" i="503"/>
  <c r="F18" i="503"/>
  <c r="D18" i="503"/>
  <c r="H17" i="503"/>
  <c r="F17" i="503"/>
  <c r="D17" i="503"/>
  <c r="H16" i="503"/>
  <c r="F16" i="503"/>
  <c r="D16" i="503"/>
  <c r="H15" i="503"/>
  <c r="F15" i="503"/>
  <c r="D15" i="503"/>
  <c r="H14" i="503"/>
  <c r="F14" i="503"/>
  <c r="D14" i="503"/>
  <c r="H13" i="503"/>
  <c r="F13" i="503"/>
  <c r="D13" i="503"/>
  <c r="D12" i="503"/>
  <c r="D11" i="503"/>
  <c r="D10" i="503"/>
  <c r="D9" i="503"/>
  <c r="D8" i="503"/>
  <c r="I6" i="503"/>
  <c r="C5" i="503"/>
  <c r="B5" i="503"/>
  <c r="F4" i="503"/>
  <c r="A3" i="503"/>
  <c r="D55" i="494"/>
  <c r="H49" i="494"/>
  <c r="D49" i="494"/>
  <c r="H48" i="494"/>
  <c r="D48" i="494"/>
  <c r="H47" i="494"/>
  <c r="D47" i="494"/>
  <c r="H46" i="494"/>
  <c r="D46" i="494"/>
  <c r="H40" i="494"/>
  <c r="F40" i="494"/>
  <c r="D40" i="494"/>
  <c r="H39" i="494"/>
  <c r="F39" i="494"/>
  <c r="D39" i="494"/>
  <c r="H37" i="494"/>
  <c r="H35" i="494"/>
  <c r="H36" i="494"/>
  <c r="I34" i="494"/>
  <c r="F37" i="494"/>
  <c r="D37" i="494"/>
  <c r="F36" i="494"/>
  <c r="D36" i="494"/>
  <c r="F35" i="494"/>
  <c r="D35" i="494"/>
  <c r="H29" i="494"/>
  <c r="F29" i="494"/>
  <c r="H28" i="494"/>
  <c r="F28" i="494"/>
  <c r="H27" i="494"/>
  <c r="F27" i="494"/>
  <c r="H26" i="494"/>
  <c r="F26" i="494"/>
  <c r="H25" i="494"/>
  <c r="F25" i="494"/>
  <c r="H18" i="494"/>
  <c r="F18" i="494"/>
  <c r="D18" i="494"/>
  <c r="H17" i="494"/>
  <c r="F17" i="494"/>
  <c r="D17" i="494"/>
  <c r="H16" i="494"/>
  <c r="F16" i="494"/>
  <c r="D16" i="494"/>
  <c r="H15" i="494"/>
  <c r="F15" i="494"/>
  <c r="D15" i="494"/>
  <c r="D14" i="494"/>
  <c r="I38" i="494"/>
  <c r="D13" i="494"/>
  <c r="D12" i="494"/>
  <c r="D11" i="494"/>
  <c r="D10" i="494"/>
  <c r="D9" i="494"/>
  <c r="D8" i="494"/>
  <c r="I6" i="494"/>
  <c r="C5" i="494"/>
  <c r="B5" i="494"/>
  <c r="F4" i="494"/>
  <c r="A3" i="494"/>
  <c r="D55" i="446"/>
  <c r="H49" i="446"/>
  <c r="D49" i="446"/>
  <c r="H48" i="446"/>
  <c r="D48" i="446"/>
  <c r="H47" i="446"/>
  <c r="D47" i="446"/>
  <c r="H46" i="446"/>
  <c r="D46" i="446"/>
  <c r="H40" i="446"/>
  <c r="F40" i="446"/>
  <c r="D40" i="446"/>
  <c r="H39" i="446"/>
  <c r="I38" i="446"/>
  <c r="F39" i="446"/>
  <c r="D39" i="446"/>
  <c r="H37" i="446"/>
  <c r="F37" i="446"/>
  <c r="D37" i="446"/>
  <c r="H36" i="446"/>
  <c r="F36" i="446"/>
  <c r="D36" i="446"/>
  <c r="H35" i="446"/>
  <c r="I34" i="446"/>
  <c r="I41" i="446"/>
  <c r="F35" i="446"/>
  <c r="D35" i="446"/>
  <c r="H29" i="446"/>
  <c r="F29" i="446"/>
  <c r="H28" i="446"/>
  <c r="F28" i="446"/>
  <c r="H27" i="446"/>
  <c r="F27" i="446"/>
  <c r="H18" i="446"/>
  <c r="F18" i="446"/>
  <c r="D18" i="446"/>
  <c r="H17" i="446"/>
  <c r="F17" i="446"/>
  <c r="D17" i="446"/>
  <c r="H16" i="446"/>
  <c r="F16" i="446"/>
  <c r="D16" i="446"/>
  <c r="H15" i="446"/>
  <c r="F15" i="446"/>
  <c r="D15" i="446"/>
  <c r="H14" i="446"/>
  <c r="F14" i="446"/>
  <c r="D14" i="446"/>
  <c r="D13" i="446"/>
  <c r="E12" i="446"/>
  <c r="D12" i="446"/>
  <c r="D11" i="446"/>
  <c r="D10" i="446"/>
  <c r="D9" i="446"/>
  <c r="D8" i="446"/>
  <c r="I6" i="446"/>
  <c r="C5" i="446"/>
  <c r="B5" i="446"/>
  <c r="F4" i="446"/>
  <c r="A3" i="446"/>
  <c r="D55" i="586"/>
  <c r="H49" i="586"/>
  <c r="D49" i="586"/>
  <c r="H48" i="586"/>
  <c r="D48" i="586"/>
  <c r="H47" i="586"/>
  <c r="D47" i="586"/>
  <c r="H46" i="586"/>
  <c r="D46" i="586"/>
  <c r="H40" i="586"/>
  <c r="F40" i="586"/>
  <c r="D40" i="586"/>
  <c r="H39" i="586"/>
  <c r="I38" i="586"/>
  <c r="F39" i="586"/>
  <c r="H37" i="586"/>
  <c r="F37" i="586"/>
  <c r="D37" i="586"/>
  <c r="H36" i="586"/>
  <c r="F36" i="586"/>
  <c r="D36" i="586"/>
  <c r="H35" i="586"/>
  <c r="I34" i="586"/>
  <c r="F35" i="586"/>
  <c r="D35" i="586"/>
  <c r="H29" i="586"/>
  <c r="F29" i="586"/>
  <c r="H28" i="586"/>
  <c r="F28" i="586"/>
  <c r="H27" i="586"/>
  <c r="F27" i="586"/>
  <c r="H26" i="586"/>
  <c r="F26" i="586"/>
  <c r="H25" i="586"/>
  <c r="F25" i="586"/>
  <c r="H18" i="586"/>
  <c r="F18" i="586"/>
  <c r="D18" i="586"/>
  <c r="H17" i="586"/>
  <c r="F17" i="586"/>
  <c r="D17" i="586"/>
  <c r="H16" i="586"/>
  <c r="F16" i="586"/>
  <c r="D16" i="586"/>
  <c r="H15" i="586"/>
  <c r="F15" i="586"/>
  <c r="D15" i="586"/>
  <c r="H14" i="586"/>
  <c r="F14" i="586"/>
  <c r="D14" i="586"/>
  <c r="D13" i="586"/>
  <c r="D12" i="586"/>
  <c r="E11" i="586"/>
  <c r="D11" i="586"/>
  <c r="E10" i="586"/>
  <c r="D10" i="586"/>
  <c r="D9" i="586"/>
  <c r="D8" i="586"/>
  <c r="I6" i="586"/>
  <c r="C5" i="586"/>
  <c r="B5" i="586"/>
  <c r="F4" i="586"/>
  <c r="A3" i="586"/>
  <c r="D55" i="244"/>
  <c r="H49" i="244"/>
  <c r="D49" i="244"/>
  <c r="H48" i="244"/>
  <c r="D48" i="244"/>
  <c r="H47" i="244"/>
  <c r="D47" i="244"/>
  <c r="H46" i="244"/>
  <c r="D46" i="244"/>
  <c r="H40" i="244"/>
  <c r="F40" i="244"/>
  <c r="D40" i="244"/>
  <c r="H39" i="244"/>
  <c r="I38" i="244"/>
  <c r="F39" i="244"/>
  <c r="D39" i="244"/>
  <c r="H37" i="244"/>
  <c r="F37" i="244"/>
  <c r="D37" i="244"/>
  <c r="H36" i="244"/>
  <c r="F36" i="244"/>
  <c r="D36" i="244"/>
  <c r="H35" i="244"/>
  <c r="F35" i="244"/>
  <c r="D35" i="244"/>
  <c r="H29" i="244"/>
  <c r="F29" i="244"/>
  <c r="H28" i="244"/>
  <c r="F28" i="244"/>
  <c r="H27" i="244"/>
  <c r="F27" i="244"/>
  <c r="H26" i="244"/>
  <c r="F26" i="244"/>
  <c r="H25" i="244"/>
  <c r="F25" i="244"/>
  <c r="H18" i="244"/>
  <c r="F18" i="244"/>
  <c r="D18" i="244"/>
  <c r="H17" i="244"/>
  <c r="F17" i="244"/>
  <c r="D17" i="244"/>
  <c r="H16" i="244"/>
  <c r="F16" i="244"/>
  <c r="D16" i="244"/>
  <c r="H15" i="244"/>
  <c r="F15" i="244"/>
  <c r="D15" i="244"/>
  <c r="H14" i="244"/>
  <c r="F14" i="244"/>
  <c r="D14" i="244"/>
  <c r="D13" i="244"/>
  <c r="D12" i="244"/>
  <c r="D11" i="244"/>
  <c r="D10" i="244"/>
  <c r="D9" i="244"/>
  <c r="D8" i="244"/>
  <c r="I6" i="244"/>
  <c r="C5" i="244"/>
  <c r="B5" i="244"/>
  <c r="F4" i="244"/>
  <c r="A3" i="244"/>
  <c r="D55" i="243"/>
  <c r="H49" i="243"/>
  <c r="D49" i="243"/>
  <c r="H48" i="243"/>
  <c r="D48" i="243"/>
  <c r="H47" i="243"/>
  <c r="D47" i="243"/>
  <c r="H46" i="243"/>
  <c r="D46" i="243"/>
  <c r="H40" i="243"/>
  <c r="F40" i="243"/>
  <c r="D40" i="243"/>
  <c r="F39" i="243"/>
  <c r="H37" i="243"/>
  <c r="D39" i="243"/>
  <c r="H39" i="243"/>
  <c r="I38" i="243"/>
  <c r="F37" i="243"/>
  <c r="D37" i="243"/>
  <c r="H36" i="243"/>
  <c r="H35" i="243"/>
  <c r="I34" i="243"/>
  <c r="F36" i="243"/>
  <c r="D36" i="243"/>
  <c r="F35" i="243"/>
  <c r="D35" i="243"/>
  <c r="H29" i="243"/>
  <c r="F29" i="243"/>
  <c r="H28" i="243"/>
  <c r="F28" i="243"/>
  <c r="H27" i="243"/>
  <c r="F27" i="243"/>
  <c r="H26" i="243"/>
  <c r="F26" i="243"/>
  <c r="H25" i="243"/>
  <c r="F25" i="243"/>
  <c r="H18" i="243"/>
  <c r="F18" i="243"/>
  <c r="D18" i="243"/>
  <c r="H17" i="243"/>
  <c r="F17" i="243"/>
  <c r="D17" i="243"/>
  <c r="H16" i="243"/>
  <c r="F16" i="243"/>
  <c r="D16" i="243"/>
  <c r="H15" i="243"/>
  <c r="F15" i="243"/>
  <c r="D15" i="243"/>
  <c r="H14" i="243"/>
  <c r="F14" i="243"/>
  <c r="D14" i="243"/>
  <c r="D13" i="243"/>
  <c r="D12" i="243"/>
  <c r="E11" i="243"/>
  <c r="D11" i="243"/>
  <c r="E10" i="243"/>
  <c r="D10" i="243"/>
  <c r="D9" i="243"/>
  <c r="D8" i="243"/>
  <c r="I6" i="243"/>
  <c r="C5" i="243"/>
  <c r="B5" i="243"/>
  <c r="F4" i="243"/>
  <c r="A3" i="243"/>
  <c r="D55" i="585"/>
  <c r="H49" i="585"/>
  <c r="D49" i="585"/>
  <c r="H48" i="585"/>
  <c r="D48" i="585"/>
  <c r="H47" i="585"/>
  <c r="D47" i="585"/>
  <c r="H46" i="585"/>
  <c r="D46" i="585"/>
  <c r="H40" i="585"/>
  <c r="F40" i="585"/>
  <c r="D40" i="585"/>
  <c r="H39" i="585"/>
  <c r="I38" i="585"/>
  <c r="F39" i="585"/>
  <c r="D39" i="585"/>
  <c r="H37" i="585"/>
  <c r="F37" i="585"/>
  <c r="D37" i="585"/>
  <c r="H36" i="585"/>
  <c r="F36" i="585"/>
  <c r="D36" i="585"/>
  <c r="H35" i="585"/>
  <c r="F35" i="585"/>
  <c r="D35" i="585"/>
  <c r="H29" i="585"/>
  <c r="F29" i="585"/>
  <c r="H28" i="585"/>
  <c r="F28" i="585"/>
  <c r="H27" i="585"/>
  <c r="F27" i="585"/>
  <c r="H26" i="585"/>
  <c r="F26" i="585"/>
  <c r="H25" i="585"/>
  <c r="F25" i="585"/>
  <c r="H24" i="585"/>
  <c r="F24" i="585"/>
  <c r="H18" i="585"/>
  <c r="F18" i="585"/>
  <c r="D18" i="585"/>
  <c r="H17" i="585"/>
  <c r="F17" i="585"/>
  <c r="D17" i="585"/>
  <c r="H16" i="585"/>
  <c r="F16" i="585"/>
  <c r="D16" i="585"/>
  <c r="H15" i="585"/>
  <c r="F15" i="585"/>
  <c r="D15" i="585"/>
  <c r="H14" i="585"/>
  <c r="F14" i="585"/>
  <c r="D14" i="585"/>
  <c r="H13" i="585"/>
  <c r="F13" i="585"/>
  <c r="D13" i="585"/>
  <c r="H12" i="585"/>
  <c r="F12" i="585"/>
  <c r="D12" i="585"/>
  <c r="H11" i="585"/>
  <c r="F11" i="585"/>
  <c r="D11" i="585"/>
  <c r="H10" i="585"/>
  <c r="F10" i="585"/>
  <c r="D10" i="585"/>
  <c r="D9" i="585"/>
  <c r="D8" i="585"/>
  <c r="I6" i="585"/>
  <c r="C5" i="585"/>
  <c r="B5" i="585"/>
  <c r="F4" i="585"/>
  <c r="A3" i="585"/>
  <c r="D55" i="583"/>
  <c r="H49" i="583"/>
  <c r="D49" i="583"/>
  <c r="H48" i="583"/>
  <c r="D48" i="583"/>
  <c r="H47" i="583"/>
  <c r="D47" i="583"/>
  <c r="H46" i="583"/>
  <c r="D46" i="583"/>
  <c r="H40" i="583"/>
  <c r="F40" i="583"/>
  <c r="D40" i="583"/>
  <c r="H39" i="583"/>
  <c r="F39" i="583"/>
  <c r="D39" i="583"/>
  <c r="H37" i="583"/>
  <c r="F37" i="583"/>
  <c r="D37" i="583"/>
  <c r="H36" i="583"/>
  <c r="H35" i="583"/>
  <c r="I34" i="583"/>
  <c r="I38" i="583"/>
  <c r="I41" i="583"/>
  <c r="F36" i="583"/>
  <c r="D36" i="583"/>
  <c r="F35" i="583"/>
  <c r="D35" i="583"/>
  <c r="H29" i="583"/>
  <c r="F29" i="583"/>
  <c r="H28" i="583"/>
  <c r="F28" i="583"/>
  <c r="H27" i="583"/>
  <c r="F27" i="583"/>
  <c r="H26" i="583"/>
  <c r="F26" i="583"/>
  <c r="H25" i="583"/>
  <c r="F25" i="583"/>
  <c r="H24" i="583"/>
  <c r="F24" i="583"/>
  <c r="H18" i="583"/>
  <c r="F18" i="583"/>
  <c r="D18" i="583"/>
  <c r="H17" i="583"/>
  <c r="F17" i="583"/>
  <c r="D17" i="583"/>
  <c r="H16" i="583"/>
  <c r="F16" i="583"/>
  <c r="D16" i="583"/>
  <c r="H15" i="583"/>
  <c r="F15" i="583"/>
  <c r="D15" i="583"/>
  <c r="H14" i="583"/>
  <c r="F14" i="583"/>
  <c r="D14" i="583"/>
  <c r="H13" i="583"/>
  <c r="F13" i="583"/>
  <c r="D13" i="583"/>
  <c r="H12" i="583"/>
  <c r="F12" i="583"/>
  <c r="D12" i="583"/>
  <c r="H11" i="583"/>
  <c r="F11" i="583"/>
  <c r="D11" i="583"/>
  <c r="H10" i="583"/>
  <c r="F10" i="583"/>
  <c r="D10" i="583"/>
  <c r="D9" i="583"/>
  <c r="D8" i="583"/>
  <c r="I6" i="583"/>
  <c r="C5" i="583"/>
  <c r="B5" i="583"/>
  <c r="F4" i="583"/>
  <c r="A3" i="583"/>
  <c r="AB215" i="721"/>
  <c r="AB215" i="720"/>
  <c r="I34" i="585"/>
  <c r="I34" i="244"/>
  <c r="I41" i="244"/>
  <c r="AB208" i="721"/>
  <c r="I41" i="585"/>
  <c r="AB203" i="721"/>
  <c r="D55" i="481"/>
  <c r="H49" i="481"/>
  <c r="D49" i="481"/>
  <c r="H48" i="481"/>
  <c r="D48" i="481"/>
  <c r="H47" i="481"/>
  <c r="D47" i="481"/>
  <c r="H46" i="481"/>
  <c r="D46" i="481"/>
  <c r="H40" i="481"/>
  <c r="F40" i="481"/>
  <c r="D40" i="481"/>
  <c r="H39" i="481"/>
  <c r="F39" i="481"/>
  <c r="D39" i="481"/>
  <c r="H37" i="481"/>
  <c r="F37" i="481"/>
  <c r="D37" i="481"/>
  <c r="H36" i="481"/>
  <c r="H35" i="481"/>
  <c r="I34" i="481"/>
  <c r="I38" i="481"/>
  <c r="I41" i="481"/>
  <c r="F36" i="481"/>
  <c r="D36" i="481"/>
  <c r="F35" i="481"/>
  <c r="D35" i="481"/>
  <c r="H29" i="481"/>
  <c r="F29" i="481"/>
  <c r="H28" i="481"/>
  <c r="F28" i="481"/>
  <c r="H27" i="481"/>
  <c r="F27" i="481"/>
  <c r="H26" i="481"/>
  <c r="F26" i="481"/>
  <c r="H25" i="481"/>
  <c r="F25" i="481"/>
  <c r="H18" i="481"/>
  <c r="F18" i="481"/>
  <c r="D18" i="481"/>
  <c r="H17" i="481"/>
  <c r="F17" i="481"/>
  <c r="D17" i="481"/>
  <c r="H16" i="481"/>
  <c r="F16" i="481"/>
  <c r="D16" i="481"/>
  <c r="H15" i="481"/>
  <c r="F15" i="481"/>
  <c r="D15" i="481"/>
  <c r="H14" i="481"/>
  <c r="F14" i="481"/>
  <c r="D14" i="481"/>
  <c r="H13" i="481"/>
  <c r="F13" i="481"/>
  <c r="D13" i="481"/>
  <c r="H12" i="481"/>
  <c r="F12" i="481"/>
  <c r="D12" i="481"/>
  <c r="H11" i="481"/>
  <c r="F11" i="481"/>
  <c r="D11" i="481"/>
  <c r="H10" i="481"/>
  <c r="F10" i="481"/>
  <c r="D10" i="481"/>
  <c r="D9" i="481"/>
  <c r="D8" i="481"/>
  <c r="I6" i="481"/>
  <c r="C5" i="481"/>
  <c r="B5" i="481"/>
  <c r="F4" i="481"/>
  <c r="A3" i="481"/>
  <c r="D55" i="271"/>
  <c r="H49" i="271"/>
  <c r="D49" i="271"/>
  <c r="H48" i="271"/>
  <c r="D48" i="271"/>
  <c r="H47" i="271"/>
  <c r="D47" i="271"/>
  <c r="H46" i="271"/>
  <c r="D46" i="271"/>
  <c r="H40" i="271"/>
  <c r="F40" i="271"/>
  <c r="D40" i="271"/>
  <c r="H39" i="271"/>
  <c r="I38" i="271"/>
  <c r="H35" i="271"/>
  <c r="H36" i="271"/>
  <c r="H37" i="271"/>
  <c r="I34" i="271"/>
  <c r="I41" i="271"/>
  <c r="F39" i="271"/>
  <c r="D39" i="271"/>
  <c r="F37" i="271"/>
  <c r="D37" i="271"/>
  <c r="F36" i="271"/>
  <c r="D36" i="271"/>
  <c r="F35" i="271"/>
  <c r="D35" i="271"/>
  <c r="H29" i="271"/>
  <c r="F29" i="271"/>
  <c r="H28" i="271"/>
  <c r="F28" i="271"/>
  <c r="H27" i="271"/>
  <c r="F27" i="271"/>
  <c r="H26" i="271"/>
  <c r="F26" i="271"/>
  <c r="H25" i="271"/>
  <c r="F25" i="271"/>
  <c r="H24" i="271"/>
  <c r="F24" i="271"/>
  <c r="H18" i="271"/>
  <c r="F18" i="271"/>
  <c r="D18" i="271"/>
  <c r="H17" i="271"/>
  <c r="F17" i="271"/>
  <c r="D17" i="271"/>
  <c r="H16" i="271"/>
  <c r="F16" i="271"/>
  <c r="D16" i="271"/>
  <c r="H15" i="271"/>
  <c r="F15" i="271"/>
  <c r="D15" i="271"/>
  <c r="H14" i="271"/>
  <c r="F14" i="271"/>
  <c r="D14" i="271"/>
  <c r="H13" i="271"/>
  <c r="F13" i="271"/>
  <c r="D13" i="271"/>
  <c r="H12" i="271"/>
  <c r="F12" i="271"/>
  <c r="D12" i="271"/>
  <c r="H11" i="271"/>
  <c r="F11" i="271"/>
  <c r="D11" i="271"/>
  <c r="D10" i="271"/>
  <c r="AB199" i="721"/>
  <c r="AB208" i="720"/>
  <c r="AB199" i="720"/>
  <c r="AC199" i="720"/>
  <c r="AB201" i="720"/>
  <c r="AB201" i="721"/>
  <c r="D9" i="271"/>
  <c r="D8" i="271"/>
  <c r="I6" i="271"/>
  <c r="C5" i="271"/>
  <c r="B5" i="271"/>
  <c r="F4" i="271"/>
  <c r="A3" i="271"/>
  <c r="D55" i="582"/>
  <c r="H49" i="582"/>
  <c r="D49" i="582"/>
  <c r="H48" i="582"/>
  <c r="D48" i="582"/>
  <c r="H47" i="582"/>
  <c r="D47" i="582"/>
  <c r="H46" i="582"/>
  <c r="D46" i="582"/>
  <c r="H40" i="582"/>
  <c r="F40" i="582"/>
  <c r="D40" i="582"/>
  <c r="H39" i="582"/>
  <c r="F39" i="582"/>
  <c r="D39" i="582"/>
  <c r="H37" i="582"/>
  <c r="F37" i="582"/>
  <c r="D37" i="582"/>
  <c r="H36" i="582"/>
  <c r="H35" i="582"/>
  <c r="I34" i="582"/>
  <c r="F36" i="582"/>
  <c r="D36" i="582"/>
  <c r="F35" i="582"/>
  <c r="D35" i="582"/>
  <c r="H29" i="582"/>
  <c r="F29" i="582"/>
  <c r="H28" i="582"/>
  <c r="F28" i="582"/>
  <c r="H27" i="582"/>
  <c r="F27" i="582"/>
  <c r="H26" i="582"/>
  <c r="F26" i="582"/>
  <c r="H25" i="582"/>
  <c r="F25" i="582"/>
  <c r="H18" i="582"/>
  <c r="F18" i="582"/>
  <c r="D18" i="582"/>
  <c r="H17" i="582"/>
  <c r="F17" i="582"/>
  <c r="D17" i="582"/>
  <c r="H16" i="582"/>
  <c r="F16" i="582"/>
  <c r="D16" i="582"/>
  <c r="H15" i="582"/>
  <c r="F15" i="582"/>
  <c r="D15" i="582"/>
  <c r="H14" i="582"/>
  <c r="F14" i="582"/>
  <c r="D14" i="582"/>
  <c r="H13" i="582"/>
  <c r="F13" i="582"/>
  <c r="D13" i="582"/>
  <c r="H12" i="582"/>
  <c r="F12" i="582"/>
  <c r="D12" i="582"/>
  <c r="H11" i="582"/>
  <c r="F11" i="582"/>
  <c r="D11" i="582"/>
  <c r="H10" i="582"/>
  <c r="F10" i="582"/>
  <c r="D10" i="582"/>
  <c r="D9" i="582"/>
  <c r="D8" i="582"/>
  <c r="I6" i="582"/>
  <c r="C5" i="582"/>
  <c r="B5" i="582"/>
  <c r="F4" i="582"/>
  <c r="A3" i="582"/>
  <c r="D55" i="581"/>
  <c r="H49" i="581"/>
  <c r="D49" i="581"/>
  <c r="H48" i="581"/>
  <c r="D48" i="581"/>
  <c r="H47" i="581"/>
  <c r="D47" i="581"/>
  <c r="H46" i="581"/>
  <c r="D46" i="581"/>
  <c r="H40" i="581"/>
  <c r="F40" i="581"/>
  <c r="D40" i="581"/>
  <c r="H39" i="581"/>
  <c r="F39" i="581"/>
  <c r="D39" i="581"/>
  <c r="H37" i="581"/>
  <c r="F37" i="581"/>
  <c r="D37" i="581"/>
  <c r="H36" i="581"/>
  <c r="F36" i="581"/>
  <c r="D36" i="581"/>
  <c r="H35" i="581"/>
  <c r="F35" i="581"/>
  <c r="D35" i="581"/>
  <c r="H29" i="581"/>
  <c r="F29" i="581"/>
  <c r="H28" i="581"/>
  <c r="F28" i="581"/>
  <c r="H27" i="581"/>
  <c r="F27" i="581"/>
  <c r="H26" i="581"/>
  <c r="F26" i="581"/>
  <c r="H25" i="581"/>
  <c r="F25" i="581"/>
  <c r="H18" i="581"/>
  <c r="F18" i="581"/>
  <c r="D18" i="581"/>
  <c r="H17" i="581"/>
  <c r="F17" i="581"/>
  <c r="D17" i="581"/>
  <c r="H16" i="581"/>
  <c r="F16" i="581"/>
  <c r="D16" i="581"/>
  <c r="H15" i="581"/>
  <c r="F15" i="581"/>
  <c r="D15" i="581"/>
  <c r="H14" i="581"/>
  <c r="F14" i="581"/>
  <c r="D14" i="581"/>
  <c r="H13" i="581"/>
  <c r="F13" i="581"/>
  <c r="D13" i="581"/>
  <c r="H12" i="581"/>
  <c r="F12" i="581"/>
  <c r="D12" i="581"/>
  <c r="H11" i="581"/>
  <c r="F11" i="581"/>
  <c r="D11" i="581"/>
  <c r="H10" i="581"/>
  <c r="F10" i="581"/>
  <c r="D10" i="581"/>
  <c r="D9" i="581"/>
  <c r="D8" i="581"/>
  <c r="I6" i="581"/>
  <c r="C5" i="581"/>
  <c r="B5" i="581"/>
  <c r="F4" i="581"/>
  <c r="A3" i="581"/>
  <c r="D55" i="580"/>
  <c r="H49" i="580"/>
  <c r="D49" i="580"/>
  <c r="H48" i="580"/>
  <c r="D48" i="580"/>
  <c r="H47" i="580"/>
  <c r="D47" i="580"/>
  <c r="H46" i="580"/>
  <c r="D46" i="580"/>
  <c r="H40" i="580"/>
  <c r="F40" i="580"/>
  <c r="D40" i="580"/>
  <c r="H39" i="580"/>
  <c r="F39" i="580"/>
  <c r="D39" i="580"/>
  <c r="H37" i="580"/>
  <c r="F37" i="580"/>
  <c r="D37" i="580"/>
  <c r="H36" i="580"/>
  <c r="H35" i="580"/>
  <c r="I34" i="580"/>
  <c r="F36" i="580"/>
  <c r="D36" i="580"/>
  <c r="F35" i="580"/>
  <c r="D35" i="580"/>
  <c r="H29" i="580"/>
  <c r="F29" i="580"/>
  <c r="H28" i="580"/>
  <c r="F28" i="580"/>
  <c r="H27" i="580"/>
  <c r="F27" i="580"/>
  <c r="H26" i="580"/>
  <c r="F26" i="580"/>
  <c r="H25" i="580"/>
  <c r="F25" i="580"/>
  <c r="H18" i="580"/>
  <c r="F18" i="580"/>
  <c r="D18" i="580"/>
  <c r="H17" i="580"/>
  <c r="F17" i="580"/>
  <c r="D17" i="580"/>
  <c r="H16" i="580"/>
  <c r="F16" i="580"/>
  <c r="D16" i="580"/>
  <c r="H15" i="580"/>
  <c r="F15" i="580"/>
  <c r="D15" i="580"/>
  <c r="H14" i="580"/>
  <c r="F14" i="580"/>
  <c r="D14" i="580"/>
  <c r="H13" i="580"/>
  <c r="F13" i="580"/>
  <c r="D13" i="580"/>
  <c r="H12" i="580"/>
  <c r="F12" i="580"/>
  <c r="D12" i="580"/>
  <c r="H11" i="580"/>
  <c r="F11" i="580"/>
  <c r="D11" i="580"/>
  <c r="D10" i="580"/>
  <c r="D9" i="580"/>
  <c r="D8" i="580"/>
  <c r="I6" i="580"/>
  <c r="C5" i="580"/>
  <c r="B5" i="580"/>
  <c r="F4" i="580"/>
  <c r="A3" i="580"/>
  <c r="D55" i="579"/>
  <c r="H49" i="579"/>
  <c r="D49" i="579"/>
  <c r="H48" i="579"/>
  <c r="D48" i="579"/>
  <c r="H47" i="579"/>
  <c r="D47" i="579"/>
  <c r="H46" i="579"/>
  <c r="D46" i="579"/>
  <c r="H40" i="579"/>
  <c r="F40" i="579"/>
  <c r="D40" i="579"/>
  <c r="H39" i="579"/>
  <c r="I38" i="579"/>
  <c r="F39" i="579"/>
  <c r="D39" i="579"/>
  <c r="H37" i="579"/>
  <c r="F37" i="579"/>
  <c r="D37" i="579"/>
  <c r="H36" i="579"/>
  <c r="F36" i="579"/>
  <c r="D36" i="579"/>
  <c r="H35" i="579"/>
  <c r="I34" i="579"/>
  <c r="F35" i="579"/>
  <c r="D35" i="579"/>
  <c r="H29" i="579"/>
  <c r="F29" i="579"/>
  <c r="H28" i="579"/>
  <c r="F28" i="579"/>
  <c r="H27" i="579"/>
  <c r="F27" i="579"/>
  <c r="H26" i="579"/>
  <c r="F26" i="579"/>
  <c r="H25" i="579"/>
  <c r="F25" i="579"/>
  <c r="H24" i="579"/>
  <c r="F24" i="579"/>
  <c r="H18" i="579"/>
  <c r="F18" i="579"/>
  <c r="D18" i="579"/>
  <c r="H17" i="579"/>
  <c r="F17" i="579"/>
  <c r="D17" i="579"/>
  <c r="H16" i="579"/>
  <c r="F16" i="579"/>
  <c r="D16" i="579"/>
  <c r="H15" i="579"/>
  <c r="F15" i="579"/>
  <c r="D15" i="579"/>
  <c r="H14" i="579"/>
  <c r="F14" i="579"/>
  <c r="D14" i="579"/>
  <c r="H13" i="579"/>
  <c r="F13" i="579"/>
  <c r="D13" i="579"/>
  <c r="H12" i="579"/>
  <c r="F12" i="579"/>
  <c r="D12" i="579"/>
  <c r="H11" i="579"/>
  <c r="F11" i="579"/>
  <c r="D11" i="579"/>
  <c r="H10" i="579"/>
  <c r="F10" i="579"/>
  <c r="D10" i="579"/>
  <c r="D9" i="579"/>
  <c r="D8" i="579"/>
  <c r="I6" i="579"/>
  <c r="C5" i="579"/>
  <c r="B5" i="579"/>
  <c r="F4" i="579"/>
  <c r="A3" i="579"/>
  <c r="AB198" i="720"/>
  <c r="AC198" i="720"/>
  <c r="AC197" i="720"/>
  <c r="AB198" i="721"/>
  <c r="I38" i="581"/>
  <c r="I38" i="580"/>
  <c r="I38" i="582"/>
  <c r="AB185" i="720"/>
  <c r="AB185" i="721"/>
  <c r="D55" i="242"/>
  <c r="H49" i="242"/>
  <c r="D49" i="242"/>
  <c r="H48" i="242"/>
  <c r="D48" i="242"/>
  <c r="H47" i="242"/>
  <c r="D47" i="242"/>
  <c r="H46" i="242"/>
  <c r="D46" i="242"/>
  <c r="H40" i="242"/>
  <c r="F40" i="242"/>
  <c r="D40" i="242"/>
  <c r="H39" i="242"/>
  <c r="I38" i="242"/>
  <c r="F39" i="242"/>
  <c r="D39" i="242"/>
  <c r="H37" i="242"/>
  <c r="F37" i="242"/>
  <c r="D37" i="242"/>
  <c r="H36" i="242"/>
  <c r="F36" i="242"/>
  <c r="D36" i="242"/>
  <c r="H35" i="242"/>
  <c r="F35" i="242"/>
  <c r="D35" i="242"/>
  <c r="H29" i="242"/>
  <c r="F29" i="242"/>
  <c r="H28" i="242"/>
  <c r="F28" i="242"/>
  <c r="H27" i="242"/>
  <c r="F27" i="242"/>
  <c r="H26" i="242"/>
  <c r="F26" i="242"/>
  <c r="H25" i="242"/>
  <c r="F25" i="242"/>
  <c r="H24" i="242"/>
  <c r="F24" i="242"/>
  <c r="H18" i="242"/>
  <c r="F18" i="242"/>
  <c r="D18" i="242"/>
  <c r="H17" i="242"/>
  <c r="F17" i="242"/>
  <c r="D17" i="242"/>
  <c r="H16" i="242"/>
  <c r="F16" i="242"/>
  <c r="D16" i="242"/>
  <c r="H15" i="242"/>
  <c r="F15" i="242"/>
  <c r="D15" i="242"/>
  <c r="H14" i="242"/>
  <c r="F14" i="242"/>
  <c r="D14" i="242"/>
  <c r="H13" i="242"/>
  <c r="F13" i="242"/>
  <c r="D13" i="242"/>
  <c r="H12" i="242"/>
  <c r="F12" i="242"/>
  <c r="D12" i="242"/>
  <c r="H11" i="242"/>
  <c r="F11" i="242"/>
  <c r="D11" i="242"/>
  <c r="H10" i="242"/>
  <c r="F10" i="242"/>
  <c r="D10" i="242"/>
  <c r="D9" i="242"/>
  <c r="D8" i="242"/>
  <c r="I6" i="242"/>
  <c r="C5" i="242"/>
  <c r="B5" i="242"/>
  <c r="F4" i="242"/>
  <c r="A3" i="242"/>
  <c r="D55" i="237"/>
  <c r="H49" i="237"/>
  <c r="D49" i="237"/>
  <c r="H48" i="237"/>
  <c r="D48" i="237"/>
  <c r="H47" i="237"/>
  <c r="D47" i="237"/>
  <c r="H46" i="237"/>
  <c r="D46" i="237"/>
  <c r="H40" i="237"/>
  <c r="F40" i="237"/>
  <c r="D40" i="237"/>
  <c r="H39" i="237"/>
  <c r="F39" i="237"/>
  <c r="D39" i="237"/>
  <c r="H37" i="237"/>
  <c r="F37" i="237"/>
  <c r="D37" i="237"/>
  <c r="H36" i="237"/>
  <c r="F36" i="237"/>
  <c r="D36" i="237"/>
  <c r="H35" i="237"/>
  <c r="F35" i="237"/>
  <c r="D35" i="237"/>
  <c r="H29" i="237"/>
  <c r="F29" i="237"/>
  <c r="H28" i="237"/>
  <c r="F28" i="237"/>
  <c r="H27" i="237"/>
  <c r="F27" i="237"/>
  <c r="H26" i="237"/>
  <c r="F26" i="237"/>
  <c r="H25" i="237"/>
  <c r="F25" i="237"/>
  <c r="H24" i="237"/>
  <c r="F24" i="237"/>
  <c r="H18" i="237"/>
  <c r="F18" i="237"/>
  <c r="D18" i="237"/>
  <c r="H17" i="237"/>
  <c r="F17" i="237"/>
  <c r="D17" i="237"/>
  <c r="H16" i="237"/>
  <c r="F16" i="237"/>
  <c r="D16" i="237"/>
  <c r="H15" i="237"/>
  <c r="F15" i="237"/>
  <c r="D15" i="237"/>
  <c r="H14" i="237"/>
  <c r="F14" i="237"/>
  <c r="D14" i="237"/>
  <c r="H13" i="237"/>
  <c r="F13" i="237"/>
  <c r="D13" i="237"/>
  <c r="H12" i="237"/>
  <c r="F12" i="237"/>
  <c r="D12" i="237"/>
  <c r="H11" i="237"/>
  <c r="F11" i="237"/>
  <c r="D11" i="237"/>
  <c r="H10" i="237"/>
  <c r="F10" i="237"/>
  <c r="D10" i="237"/>
  <c r="D9" i="237"/>
  <c r="D8" i="237"/>
  <c r="I6" i="237"/>
  <c r="C5" i="237"/>
  <c r="B5" i="237"/>
  <c r="F4" i="237"/>
  <c r="A3" i="237"/>
  <c r="D55" i="484"/>
  <c r="H49" i="484"/>
  <c r="D49" i="484"/>
  <c r="H48" i="484"/>
  <c r="D48" i="484"/>
  <c r="H47" i="484"/>
  <c r="D47" i="484"/>
  <c r="H46" i="484"/>
  <c r="D46" i="484"/>
  <c r="H40" i="484"/>
  <c r="F40" i="484"/>
  <c r="D40" i="484"/>
  <c r="H39" i="484"/>
  <c r="I38" i="484"/>
  <c r="F39" i="484"/>
  <c r="D39" i="484"/>
  <c r="H37" i="484"/>
  <c r="F37" i="484"/>
  <c r="D37" i="484"/>
  <c r="H36" i="484"/>
  <c r="F36" i="484"/>
  <c r="D36" i="484"/>
  <c r="H35" i="484"/>
  <c r="F35" i="484"/>
  <c r="D35" i="484"/>
  <c r="H29" i="484"/>
  <c r="F29" i="484"/>
  <c r="H28" i="484"/>
  <c r="F28" i="484"/>
  <c r="H27" i="484"/>
  <c r="F27" i="484"/>
  <c r="H26" i="484"/>
  <c r="F26" i="484"/>
  <c r="H25" i="484"/>
  <c r="F25" i="484"/>
  <c r="H24" i="484"/>
  <c r="F24" i="484"/>
  <c r="H18" i="484"/>
  <c r="F18" i="484"/>
  <c r="D18" i="484"/>
  <c r="H17" i="484"/>
  <c r="F17" i="484"/>
  <c r="D17" i="484"/>
  <c r="H16" i="484"/>
  <c r="F16" i="484"/>
  <c r="D16" i="484"/>
  <c r="H15" i="484"/>
  <c r="F15" i="484"/>
  <c r="D15" i="484"/>
  <c r="H14" i="484"/>
  <c r="F14" i="484"/>
  <c r="D14" i="484"/>
  <c r="H13" i="484"/>
  <c r="F13" i="484"/>
  <c r="D13" i="484"/>
  <c r="H12" i="484"/>
  <c r="F12" i="484"/>
  <c r="D12" i="484"/>
  <c r="H11" i="484"/>
  <c r="F11" i="484"/>
  <c r="D11" i="484"/>
  <c r="H10" i="484"/>
  <c r="F10" i="484"/>
  <c r="D10" i="484"/>
  <c r="D9" i="484"/>
  <c r="I38" i="237"/>
  <c r="I34" i="484"/>
  <c r="I34" i="237"/>
  <c r="I41" i="237"/>
  <c r="I34" i="242"/>
  <c r="I41" i="242"/>
  <c r="AB183" i="721"/>
  <c r="I41" i="484"/>
  <c r="AB183" i="720"/>
  <c r="AB182" i="720"/>
  <c r="AB182" i="721"/>
  <c r="D8" i="484"/>
  <c r="I6" i="484"/>
  <c r="C5" i="484"/>
  <c r="B5" i="484"/>
  <c r="F4" i="484"/>
  <c r="A3" i="484"/>
  <c r="D55" i="473"/>
  <c r="H49" i="473"/>
  <c r="D49" i="473"/>
  <c r="H48" i="473"/>
  <c r="D48" i="473"/>
  <c r="H47" i="473"/>
  <c r="D47" i="473"/>
  <c r="H46" i="473"/>
  <c r="D46" i="473"/>
  <c r="H40" i="473"/>
  <c r="F40" i="473"/>
  <c r="D40" i="473"/>
  <c r="H39" i="473"/>
  <c r="I38" i="473"/>
  <c r="F39" i="473"/>
  <c r="D39" i="473"/>
  <c r="H37" i="473"/>
  <c r="F37" i="473"/>
  <c r="D37" i="473"/>
  <c r="H36" i="473"/>
  <c r="F36" i="473"/>
  <c r="D36" i="473"/>
  <c r="H35" i="473"/>
  <c r="F35" i="473"/>
  <c r="D35" i="473"/>
  <c r="H29" i="473"/>
  <c r="F29" i="473"/>
  <c r="H28" i="473"/>
  <c r="F28" i="473"/>
  <c r="H27" i="473"/>
  <c r="F27" i="473"/>
  <c r="H26" i="473"/>
  <c r="F26" i="473"/>
  <c r="H25" i="473"/>
  <c r="F25" i="473"/>
  <c r="H24" i="473"/>
  <c r="F24" i="473"/>
  <c r="H18" i="473"/>
  <c r="F18" i="473"/>
  <c r="D18" i="473"/>
  <c r="H17" i="473"/>
  <c r="F17" i="473"/>
  <c r="D17" i="473"/>
  <c r="H16" i="473"/>
  <c r="F16" i="473"/>
  <c r="D16" i="473"/>
  <c r="H15" i="473"/>
  <c r="F15" i="473"/>
  <c r="D15" i="473"/>
  <c r="H14" i="473"/>
  <c r="F14" i="473"/>
  <c r="D14" i="473"/>
  <c r="H13" i="473"/>
  <c r="F13" i="473"/>
  <c r="D13" i="473"/>
  <c r="H12" i="473"/>
  <c r="F12" i="473"/>
  <c r="D12" i="473"/>
  <c r="H11" i="473"/>
  <c r="F11" i="473"/>
  <c r="D11" i="473"/>
  <c r="H10" i="473"/>
  <c r="F10" i="473"/>
  <c r="D10" i="473"/>
  <c r="D9" i="473"/>
  <c r="D8" i="473"/>
  <c r="I6" i="473"/>
  <c r="C5" i="473"/>
  <c r="B5" i="473"/>
  <c r="F4" i="473"/>
  <c r="A3" i="473"/>
  <c r="D55" i="648"/>
  <c r="H49" i="648"/>
  <c r="D49" i="648"/>
  <c r="H48" i="648"/>
  <c r="D48" i="648"/>
  <c r="H47" i="648"/>
  <c r="D47" i="648"/>
  <c r="H46" i="648"/>
  <c r="D46" i="648"/>
  <c r="H40" i="648"/>
  <c r="F40" i="648"/>
  <c r="D40" i="648"/>
  <c r="H39" i="648"/>
  <c r="F39" i="648"/>
  <c r="D39" i="648"/>
  <c r="H37" i="648"/>
  <c r="H35" i="648"/>
  <c r="H36" i="648"/>
  <c r="I34" i="648"/>
  <c r="F37" i="648"/>
  <c r="D37" i="648"/>
  <c r="F36" i="648"/>
  <c r="D36" i="648"/>
  <c r="F35" i="648"/>
  <c r="D35" i="648"/>
  <c r="H29" i="648"/>
  <c r="F29" i="648"/>
  <c r="H28" i="648"/>
  <c r="F28" i="648"/>
  <c r="H27" i="648"/>
  <c r="F27" i="648"/>
  <c r="H26" i="648"/>
  <c r="F26" i="648"/>
  <c r="H25" i="648"/>
  <c r="F25" i="648"/>
  <c r="H24" i="648"/>
  <c r="F24" i="648"/>
  <c r="H18" i="648"/>
  <c r="F18" i="648"/>
  <c r="D18" i="648"/>
  <c r="H17" i="648"/>
  <c r="F17" i="648"/>
  <c r="D17" i="648"/>
  <c r="H16" i="648"/>
  <c r="F16" i="648"/>
  <c r="D16" i="648"/>
  <c r="H15" i="648"/>
  <c r="F15" i="648"/>
  <c r="D15" i="648"/>
  <c r="H14" i="648"/>
  <c r="F14" i="648"/>
  <c r="D14" i="648"/>
  <c r="H13" i="648"/>
  <c r="F13" i="648"/>
  <c r="D13" i="648"/>
  <c r="H12" i="648"/>
  <c r="F12" i="648"/>
  <c r="D12" i="648"/>
  <c r="H11" i="648"/>
  <c r="F11" i="648"/>
  <c r="D11" i="648"/>
  <c r="H10" i="648"/>
  <c r="F10" i="648"/>
  <c r="D10" i="648"/>
  <c r="D9" i="648"/>
  <c r="D8" i="648"/>
  <c r="I6" i="648"/>
  <c r="C5" i="648"/>
  <c r="B5" i="648"/>
  <c r="F4" i="648"/>
  <c r="A3" i="648"/>
  <c r="I38" i="648"/>
  <c r="I34" i="473"/>
  <c r="D54" i="623"/>
  <c r="H48" i="623"/>
  <c r="D48" i="623"/>
  <c r="H47" i="623"/>
  <c r="D47" i="623"/>
  <c r="H46" i="623"/>
  <c r="D46" i="623"/>
  <c r="H45" i="623"/>
  <c r="D45" i="623"/>
  <c r="H39" i="623"/>
  <c r="F39" i="623"/>
  <c r="D39" i="623"/>
  <c r="H38" i="623"/>
  <c r="I37" i="623"/>
  <c r="F38" i="623"/>
  <c r="D38" i="623"/>
  <c r="H36" i="623"/>
  <c r="F36" i="623"/>
  <c r="H35" i="623"/>
  <c r="F35" i="623"/>
  <c r="H34" i="623"/>
  <c r="I33" i="623"/>
  <c r="F34" i="623"/>
  <c r="D34" i="623"/>
  <c r="H28" i="623"/>
  <c r="F28" i="623"/>
  <c r="H27" i="623"/>
  <c r="F27" i="623"/>
  <c r="I41" i="648"/>
  <c r="H17" i="623"/>
  <c r="F17" i="623"/>
  <c r="D17" i="623"/>
  <c r="H16" i="623"/>
  <c r="F16" i="623"/>
  <c r="D16" i="623"/>
  <c r="H15" i="623"/>
  <c r="F15" i="623"/>
  <c r="D15" i="623"/>
  <c r="D14" i="623"/>
  <c r="D13" i="623"/>
  <c r="D12" i="623"/>
  <c r="D11" i="623"/>
  <c r="D10" i="623"/>
  <c r="D9" i="623"/>
  <c r="D8" i="623"/>
  <c r="I6" i="623"/>
  <c r="C5" i="623"/>
  <c r="B5" i="623"/>
  <c r="F4" i="623"/>
  <c r="A3" i="623"/>
  <c r="D54" i="236"/>
  <c r="D12" i="236"/>
  <c r="D11" i="236"/>
  <c r="D10" i="236"/>
  <c r="D9" i="236"/>
  <c r="D8" i="236"/>
  <c r="F4" i="236"/>
  <c r="A3" i="236"/>
  <c r="D55" i="235"/>
  <c r="D9" i="235"/>
  <c r="D8" i="235"/>
  <c r="I6" i="235"/>
  <c r="C5" i="235"/>
  <c r="B5" i="235"/>
  <c r="F4" i="235"/>
  <c r="A3" i="235"/>
  <c r="D55" i="479"/>
  <c r="H49" i="479"/>
  <c r="D49" i="479"/>
  <c r="H48" i="479"/>
  <c r="D48" i="479"/>
  <c r="H47" i="479"/>
  <c r="D47" i="479"/>
  <c r="H46" i="479"/>
  <c r="D46" i="479"/>
  <c r="H40" i="479"/>
  <c r="F40" i="479"/>
  <c r="D40" i="479"/>
  <c r="H39" i="479"/>
  <c r="I38" i="479"/>
  <c r="F39" i="479"/>
  <c r="D39" i="479"/>
  <c r="H37" i="479"/>
  <c r="F37" i="479"/>
  <c r="D37" i="479"/>
  <c r="H36" i="479"/>
  <c r="F36" i="479"/>
  <c r="D36" i="479"/>
  <c r="H35" i="479"/>
  <c r="I34" i="479"/>
  <c r="F35" i="479"/>
  <c r="D35" i="479"/>
  <c r="H29" i="479"/>
  <c r="F29" i="479"/>
  <c r="H28" i="479"/>
  <c r="F28" i="479"/>
  <c r="H27" i="479"/>
  <c r="F27" i="479"/>
  <c r="H26" i="479"/>
  <c r="F26" i="479"/>
  <c r="H25" i="479"/>
  <c r="F25" i="479"/>
  <c r="H24" i="479"/>
  <c r="F24" i="479"/>
  <c r="H18" i="479"/>
  <c r="F18" i="479"/>
  <c r="D18" i="479"/>
  <c r="H17" i="479"/>
  <c r="F17" i="479"/>
  <c r="D17" i="479"/>
  <c r="H16" i="479"/>
  <c r="F16" i="479"/>
  <c r="D16" i="479"/>
  <c r="H15" i="479"/>
  <c r="F15" i="479"/>
  <c r="D15" i="479"/>
  <c r="H14" i="479"/>
  <c r="F14" i="479"/>
  <c r="D14" i="479"/>
  <c r="H13" i="479"/>
  <c r="F13" i="479"/>
  <c r="D13" i="479"/>
  <c r="H12" i="479"/>
  <c r="F12" i="479"/>
  <c r="D12" i="479"/>
  <c r="H11" i="479"/>
  <c r="F11" i="479"/>
  <c r="D11" i="479"/>
  <c r="H10" i="479"/>
  <c r="F10" i="479"/>
  <c r="D10" i="479"/>
  <c r="AB163" i="720"/>
  <c r="AB163" i="721"/>
  <c r="D9" i="479"/>
  <c r="D8" i="479"/>
  <c r="I6" i="479"/>
  <c r="C5" i="479"/>
  <c r="B5" i="479"/>
  <c r="F4" i="479"/>
  <c r="A3" i="479"/>
  <c r="D55" i="347"/>
  <c r="H49" i="347"/>
  <c r="D49" i="347"/>
  <c r="H48" i="347"/>
  <c r="D48" i="347"/>
  <c r="H40" i="347"/>
  <c r="F40" i="347"/>
  <c r="D40" i="347"/>
  <c r="H39" i="347"/>
  <c r="F39" i="347"/>
  <c r="D39" i="347"/>
  <c r="H37" i="347"/>
  <c r="F37" i="347"/>
  <c r="H36" i="347"/>
  <c r="F36" i="347"/>
  <c r="D36" i="347"/>
  <c r="H35" i="347"/>
  <c r="F35" i="347"/>
  <c r="D35" i="347"/>
  <c r="H29" i="347"/>
  <c r="F29" i="347"/>
  <c r="H28" i="347"/>
  <c r="F28" i="347"/>
  <c r="H18" i="347"/>
  <c r="F18" i="347"/>
  <c r="D18" i="347"/>
  <c r="H17" i="347"/>
  <c r="F17" i="347"/>
  <c r="D17" i="347"/>
  <c r="H16" i="347"/>
  <c r="F16" i="347"/>
  <c r="D16" i="347"/>
  <c r="H15" i="347"/>
  <c r="F15" i="347"/>
  <c r="D15" i="347"/>
  <c r="H14" i="347"/>
  <c r="F14" i="347"/>
  <c r="D14" i="347"/>
  <c r="H13" i="347"/>
  <c r="F13" i="347"/>
  <c r="D13" i="347"/>
  <c r="D12" i="347"/>
  <c r="D11" i="347"/>
  <c r="D10" i="347"/>
  <c r="D9" i="347"/>
  <c r="D8" i="347"/>
  <c r="I6" i="347"/>
  <c r="C5" i="347"/>
  <c r="B5" i="347"/>
  <c r="F4" i="347"/>
  <c r="A3" i="347"/>
  <c r="D55" i="646"/>
  <c r="H49" i="646"/>
  <c r="D49" i="646"/>
  <c r="H48" i="646"/>
  <c r="D48" i="646"/>
  <c r="H40" i="646"/>
  <c r="F40" i="646"/>
  <c r="D40" i="646"/>
  <c r="H39" i="646"/>
  <c r="I38" i="646"/>
  <c r="F39" i="646"/>
  <c r="D39" i="646"/>
  <c r="H37" i="646"/>
  <c r="F37" i="646"/>
  <c r="H36" i="646"/>
  <c r="F36" i="646"/>
  <c r="D36" i="646"/>
  <c r="H35" i="646"/>
  <c r="I34" i="646"/>
  <c r="F35" i="646"/>
  <c r="D35" i="646"/>
  <c r="H29" i="646"/>
  <c r="F29" i="646"/>
  <c r="H28" i="646"/>
  <c r="F28" i="646"/>
  <c r="H18" i="646"/>
  <c r="F18" i="646"/>
  <c r="D18" i="646"/>
  <c r="H17" i="646"/>
  <c r="F17" i="646"/>
  <c r="D17" i="646"/>
  <c r="H16" i="646"/>
  <c r="F16" i="646"/>
  <c r="D16" i="646"/>
  <c r="H15" i="646"/>
  <c r="F15" i="646"/>
  <c r="D15" i="646"/>
  <c r="H14" i="646"/>
  <c r="F14" i="646"/>
  <c r="D14" i="646"/>
  <c r="H13" i="646"/>
  <c r="F13" i="646"/>
  <c r="D13" i="646"/>
  <c r="D12" i="646"/>
  <c r="I38" i="347"/>
  <c r="I34" i="347"/>
  <c r="I41" i="347"/>
  <c r="D11" i="646"/>
  <c r="D10" i="646"/>
  <c r="AB149" i="721"/>
  <c r="AB149" i="720"/>
  <c r="I41" i="646"/>
  <c r="AB150" i="720"/>
  <c r="AC150" i="720"/>
  <c r="AB150" i="721"/>
  <c r="D9" i="646"/>
  <c r="D8" i="646"/>
  <c r="I6" i="646"/>
  <c r="C5" i="646"/>
  <c r="B5" i="646"/>
  <c r="F4" i="646"/>
  <c r="A3" i="646"/>
  <c r="D55" i="364"/>
  <c r="H49" i="364"/>
  <c r="D49" i="364"/>
  <c r="H48" i="364"/>
  <c r="D48" i="364"/>
  <c r="H47" i="364"/>
  <c r="D47" i="364"/>
  <c r="H46" i="364"/>
  <c r="D46" i="364"/>
  <c r="H40" i="364"/>
  <c r="F40" i="364"/>
  <c r="D40" i="364"/>
  <c r="H39" i="364"/>
  <c r="I38" i="364"/>
  <c r="H35" i="364"/>
  <c r="H36" i="364"/>
  <c r="H37" i="364"/>
  <c r="I34" i="364"/>
  <c r="I41" i="364"/>
  <c r="AB144" i="720"/>
  <c r="AC144" i="720"/>
  <c r="F39" i="364"/>
  <c r="D39" i="364"/>
  <c r="F37" i="364"/>
  <c r="D37" i="364"/>
  <c r="F36" i="364"/>
  <c r="D36" i="364"/>
  <c r="F35" i="364"/>
  <c r="D35" i="364"/>
  <c r="H29" i="364"/>
  <c r="F29" i="364"/>
  <c r="H28" i="364"/>
  <c r="F28" i="364"/>
  <c r="H27" i="364"/>
  <c r="F27" i="364"/>
  <c r="F26" i="364"/>
  <c r="F25" i="364"/>
  <c r="H18" i="364"/>
  <c r="F18" i="364"/>
  <c r="D18" i="364"/>
  <c r="H17" i="364"/>
  <c r="F17" i="364"/>
  <c r="D17" i="364"/>
  <c r="H16" i="364"/>
  <c r="F16" i="364"/>
  <c r="D16" i="364"/>
  <c r="H15" i="364"/>
  <c r="F15" i="364"/>
  <c r="D15" i="364"/>
  <c r="H14" i="364"/>
  <c r="F14" i="364"/>
  <c r="D14" i="364"/>
  <c r="D13" i="364"/>
  <c r="E12" i="364"/>
  <c r="D12" i="364"/>
  <c r="D11" i="364"/>
  <c r="D10" i="364"/>
  <c r="D9" i="364"/>
  <c r="D8" i="364"/>
  <c r="I6" i="364"/>
  <c r="C5" i="364"/>
  <c r="B5" i="364"/>
  <c r="F4" i="364"/>
  <c r="A3" i="364"/>
  <c r="D55" i="641"/>
  <c r="H49" i="641"/>
  <c r="D49" i="641"/>
  <c r="H48" i="641"/>
  <c r="D48" i="641"/>
  <c r="H47" i="641"/>
  <c r="D47" i="641"/>
  <c r="H46" i="641"/>
  <c r="D46" i="641"/>
  <c r="H40" i="641"/>
  <c r="H39" i="641"/>
  <c r="I38" i="641"/>
  <c r="F40" i="641"/>
  <c r="D40" i="641"/>
  <c r="F39" i="641"/>
  <c r="D39" i="641"/>
  <c r="H37" i="641"/>
  <c r="F37" i="641"/>
  <c r="H36" i="641"/>
  <c r="F36" i="641"/>
  <c r="D36" i="641"/>
  <c r="H35" i="641"/>
  <c r="F35" i="641"/>
  <c r="D35" i="641"/>
  <c r="H29" i="641"/>
  <c r="F29" i="641"/>
  <c r="H28" i="641"/>
  <c r="F28" i="641"/>
  <c r="H18" i="641"/>
  <c r="F18" i="641"/>
  <c r="D18" i="641"/>
  <c r="H17" i="641"/>
  <c r="F17" i="641"/>
  <c r="D17" i="641"/>
  <c r="H16" i="641"/>
  <c r="F16" i="641"/>
  <c r="D16" i="641"/>
  <c r="H15" i="641"/>
  <c r="F15" i="641"/>
  <c r="D15" i="641"/>
  <c r="H14" i="641"/>
  <c r="F14" i="641"/>
  <c r="D14" i="641"/>
  <c r="H13" i="641"/>
  <c r="F13" i="641"/>
  <c r="D13" i="641"/>
  <c r="H12" i="641"/>
  <c r="F12" i="641"/>
  <c r="D12" i="641"/>
  <c r="H11" i="641"/>
  <c r="F11" i="641"/>
  <c r="D11" i="641"/>
  <c r="D10" i="641"/>
  <c r="D9" i="641"/>
  <c r="D8" i="641"/>
  <c r="I6" i="641"/>
  <c r="C5" i="641"/>
  <c r="B5" i="641"/>
  <c r="F4" i="641"/>
  <c r="A3" i="641"/>
  <c r="D55" i="356"/>
  <c r="H18" i="356"/>
  <c r="F18" i="356"/>
  <c r="D18" i="356"/>
  <c r="H17" i="356"/>
  <c r="F17" i="356"/>
  <c r="D17" i="356"/>
  <c r="H16" i="356"/>
  <c r="F16" i="356"/>
  <c r="D16" i="356"/>
  <c r="H15" i="356"/>
  <c r="F15" i="356"/>
  <c r="D15" i="356"/>
  <c r="H14" i="356"/>
  <c r="F14" i="356"/>
  <c r="D14" i="356"/>
  <c r="H13" i="356"/>
  <c r="F13" i="356"/>
  <c r="D13" i="356"/>
  <c r="H12" i="356"/>
  <c r="F12" i="356"/>
  <c r="D12" i="356"/>
  <c r="D11" i="356"/>
  <c r="D10" i="356"/>
  <c r="D9" i="356"/>
  <c r="D8" i="356"/>
  <c r="F4" i="356"/>
  <c r="A3" i="356"/>
  <c r="D55" i="241"/>
  <c r="H49" i="241"/>
  <c r="D49" i="241"/>
  <c r="H48" i="241"/>
  <c r="D48" i="241"/>
  <c r="H47" i="241"/>
  <c r="D47" i="241"/>
  <c r="H46" i="241"/>
  <c r="D46" i="241"/>
  <c r="H40" i="241"/>
  <c r="H39" i="241"/>
  <c r="I38" i="241"/>
  <c r="F40" i="241"/>
  <c r="D40" i="241"/>
  <c r="F39" i="241"/>
  <c r="D39" i="241"/>
  <c r="H37" i="241"/>
  <c r="F37" i="241"/>
  <c r="H36" i="241"/>
  <c r="H35" i="241"/>
  <c r="I34" i="241"/>
  <c r="I41" i="241"/>
  <c r="F36" i="241"/>
  <c r="D36" i="241"/>
  <c r="F35" i="241"/>
  <c r="D35" i="241"/>
  <c r="H29" i="241"/>
  <c r="F29" i="241"/>
  <c r="H28" i="241"/>
  <c r="F28" i="241"/>
  <c r="H18" i="241"/>
  <c r="F18" i="241"/>
  <c r="D18" i="241"/>
  <c r="H17" i="241"/>
  <c r="F17" i="241"/>
  <c r="D17" i="241"/>
  <c r="H16" i="241"/>
  <c r="F16" i="241"/>
  <c r="D16" i="241"/>
  <c r="H15" i="241"/>
  <c r="F15" i="241"/>
  <c r="D15" i="241"/>
  <c r="H14" i="241"/>
  <c r="F14" i="241"/>
  <c r="D14" i="241"/>
  <c r="H13" i="241"/>
  <c r="F13" i="241"/>
  <c r="D13" i="241"/>
  <c r="H12" i="241"/>
  <c r="F12" i="241"/>
  <c r="D12" i="241"/>
  <c r="H11" i="241"/>
  <c r="F11" i="241"/>
  <c r="D11" i="241"/>
  <c r="I34" i="641"/>
  <c r="D10" i="241"/>
  <c r="D9" i="241"/>
  <c r="D8" i="241"/>
  <c r="I6" i="241"/>
  <c r="C5" i="241"/>
  <c r="B5" i="241"/>
  <c r="F4" i="241"/>
  <c r="A3" i="241"/>
  <c r="D55" i="427"/>
  <c r="H49" i="427"/>
  <c r="D49" i="427"/>
  <c r="H48" i="427"/>
  <c r="D48" i="427"/>
  <c r="H47" i="427"/>
  <c r="D47" i="427"/>
  <c r="H46" i="427"/>
  <c r="D46" i="427"/>
  <c r="H40" i="427"/>
  <c r="F40" i="427"/>
  <c r="D40" i="427"/>
  <c r="H39" i="427"/>
  <c r="F39" i="427"/>
  <c r="D39" i="427"/>
  <c r="H37" i="427"/>
  <c r="F37" i="427"/>
  <c r="H36" i="427"/>
  <c r="H35" i="427"/>
  <c r="I34" i="427"/>
  <c r="F36" i="427"/>
  <c r="D36" i="427"/>
  <c r="F35" i="427"/>
  <c r="D35" i="427"/>
  <c r="H29" i="427"/>
  <c r="F29" i="427"/>
  <c r="H28" i="427"/>
  <c r="F28" i="427"/>
  <c r="H18" i="427"/>
  <c r="F18" i="427"/>
  <c r="D18" i="427"/>
  <c r="H17" i="427"/>
  <c r="F17" i="427"/>
  <c r="D17" i="427"/>
  <c r="H16" i="427"/>
  <c r="F16" i="427"/>
  <c r="D16" i="427"/>
  <c r="H15" i="427"/>
  <c r="F15" i="427"/>
  <c r="D15" i="427"/>
  <c r="H14" i="427"/>
  <c r="F14" i="427"/>
  <c r="D14" i="427"/>
  <c r="H13" i="427"/>
  <c r="F13" i="427"/>
  <c r="D13" i="427"/>
  <c r="H12" i="427"/>
  <c r="F12" i="427"/>
  <c r="D12" i="427"/>
  <c r="H11" i="427"/>
  <c r="F11" i="427"/>
  <c r="D11" i="427"/>
  <c r="D10" i="427"/>
  <c r="D9" i="427"/>
  <c r="D8" i="427"/>
  <c r="I6" i="427"/>
  <c r="C5" i="427"/>
  <c r="B5" i="427"/>
  <c r="F4" i="427"/>
  <c r="A3" i="427"/>
  <c r="D52" i="445"/>
  <c r="H46" i="445"/>
  <c r="D46" i="445"/>
  <c r="H45" i="445"/>
  <c r="D45" i="445"/>
  <c r="H44" i="445"/>
  <c r="D44" i="445"/>
  <c r="H43" i="445"/>
  <c r="D43" i="445"/>
  <c r="H37" i="445"/>
  <c r="F37" i="445"/>
  <c r="D37" i="445"/>
  <c r="H36" i="445"/>
  <c r="F36" i="445"/>
  <c r="H34" i="445"/>
  <c r="F34" i="445"/>
  <c r="H33" i="445"/>
  <c r="F33" i="445"/>
  <c r="D33" i="445"/>
  <c r="H32" i="445"/>
  <c r="F32" i="445"/>
  <c r="D32" i="445"/>
  <c r="H26" i="445"/>
  <c r="F26" i="445"/>
  <c r="H18" i="445"/>
  <c r="F18" i="445"/>
  <c r="D18" i="445"/>
  <c r="H17" i="445"/>
  <c r="F17" i="445"/>
  <c r="D17" i="445"/>
  <c r="H16" i="445"/>
  <c r="F16" i="445"/>
  <c r="D16" i="445"/>
  <c r="H15" i="445"/>
  <c r="F15" i="445"/>
  <c r="D15" i="445"/>
  <c r="H14" i="445"/>
  <c r="F14" i="445"/>
  <c r="D14" i="445"/>
  <c r="H13" i="445"/>
  <c r="F13" i="445"/>
  <c r="D13" i="445"/>
  <c r="D12" i="445"/>
  <c r="D11" i="445"/>
  <c r="D10" i="445"/>
  <c r="D9" i="445"/>
  <c r="D8" i="445"/>
  <c r="F4" i="445"/>
  <c r="A3" i="445"/>
  <c r="D53" i="444"/>
  <c r="H47" i="444"/>
  <c r="D47" i="444"/>
  <c r="H46" i="444"/>
  <c r="D46" i="444"/>
  <c r="H45" i="444"/>
  <c r="D45" i="444"/>
  <c r="H44" i="444"/>
  <c r="D44" i="444"/>
  <c r="H38" i="444"/>
  <c r="F38" i="444"/>
  <c r="D38" i="444"/>
  <c r="H37" i="444"/>
  <c r="F37" i="444"/>
  <c r="H35" i="444"/>
  <c r="F35" i="444"/>
  <c r="H34" i="444"/>
  <c r="H33" i="444"/>
  <c r="I32" i="444"/>
  <c r="I36" i="444"/>
  <c r="I39" i="444"/>
  <c r="AB135" i="720"/>
  <c r="F34" i="444"/>
  <c r="D34" i="444"/>
  <c r="F33" i="444"/>
  <c r="D33" i="444"/>
  <c r="H27" i="444"/>
  <c r="F27" i="444"/>
  <c r="H17" i="444"/>
  <c r="F17" i="444"/>
  <c r="D17" i="444"/>
  <c r="H16" i="444"/>
  <c r="F16" i="444"/>
  <c r="D16" i="444"/>
  <c r="H15" i="444"/>
  <c r="F15" i="444"/>
  <c r="D15" i="444"/>
  <c r="H14" i="444"/>
  <c r="F14" i="444"/>
  <c r="D14" i="444"/>
  <c r="H13" i="444"/>
  <c r="F13" i="444"/>
  <c r="D13" i="444"/>
  <c r="D12" i="444"/>
  <c r="D11" i="444"/>
  <c r="D10" i="444"/>
  <c r="D9" i="444"/>
  <c r="D8" i="444"/>
  <c r="I6" i="444"/>
  <c r="C5" i="444"/>
  <c r="B5" i="444"/>
  <c r="F4" i="444"/>
  <c r="A3" i="444"/>
  <c r="D53" i="355"/>
  <c r="D11" i="355"/>
  <c r="D10" i="355"/>
  <c r="D9" i="355"/>
  <c r="D8" i="355"/>
  <c r="F4" i="355"/>
  <c r="A3" i="355"/>
  <c r="I38" i="427"/>
  <c r="D54" i="577"/>
  <c r="H48" i="577"/>
  <c r="D48" i="577"/>
  <c r="H47" i="577"/>
  <c r="D47" i="577"/>
  <c r="H46" i="577"/>
  <c r="D46" i="577"/>
  <c r="H45" i="577"/>
  <c r="D45" i="577"/>
  <c r="H39" i="577"/>
  <c r="F39" i="577"/>
  <c r="D39" i="577"/>
  <c r="H38" i="577"/>
  <c r="F38" i="577"/>
  <c r="D38" i="577"/>
  <c r="H36" i="577"/>
  <c r="F36" i="577"/>
  <c r="D36" i="577"/>
  <c r="H35" i="577"/>
  <c r="H34" i="577"/>
  <c r="I33" i="577"/>
  <c r="I37" i="577"/>
  <c r="I40" i="577"/>
  <c r="AB131" i="721"/>
  <c r="F35" i="577"/>
  <c r="D35" i="577"/>
  <c r="F34" i="577"/>
  <c r="D34" i="577"/>
  <c r="H28" i="577"/>
  <c r="F28" i="577"/>
  <c r="H27" i="577"/>
  <c r="F27" i="577"/>
  <c r="H26" i="577"/>
  <c r="F26" i="577"/>
  <c r="AB140" i="720"/>
  <c r="AB140" i="721"/>
  <c r="AB133" i="721"/>
  <c r="AB144" i="721"/>
  <c r="AB143" i="720"/>
  <c r="AC143" i="720"/>
  <c r="AC142" i="720"/>
  <c r="AB143" i="721"/>
  <c r="F25" i="577"/>
  <c r="H24" i="577"/>
  <c r="F24" i="577"/>
  <c r="H17" i="577"/>
  <c r="F17" i="577"/>
  <c r="D17" i="577"/>
  <c r="H16" i="577"/>
  <c r="F16" i="577"/>
  <c r="D16" i="577"/>
  <c r="H15" i="577"/>
  <c r="F15" i="577"/>
  <c r="D15" i="577"/>
  <c r="H14" i="577"/>
  <c r="F14" i="577"/>
  <c r="D14" i="577"/>
  <c r="H12" i="577"/>
  <c r="F12" i="577"/>
  <c r="D12" i="577"/>
  <c r="D11" i="577"/>
  <c r="D10" i="577"/>
  <c r="D9" i="577"/>
  <c r="D8" i="577"/>
  <c r="I6" i="577"/>
  <c r="C5" i="577"/>
  <c r="B5" i="577"/>
  <c r="F4" i="577"/>
  <c r="A3" i="577"/>
  <c r="D55" i="442"/>
  <c r="H49" i="442"/>
  <c r="D49" i="442"/>
  <c r="H48" i="442"/>
  <c r="D48" i="442"/>
  <c r="H47" i="442"/>
  <c r="D47" i="442"/>
  <c r="H46" i="442"/>
  <c r="D46" i="442"/>
  <c r="H40" i="442"/>
  <c r="F40" i="442"/>
  <c r="D40" i="442"/>
  <c r="H39" i="442"/>
  <c r="F39" i="442"/>
  <c r="D39" i="442"/>
  <c r="H37" i="442"/>
  <c r="H35" i="442"/>
  <c r="H36" i="442"/>
  <c r="I34" i="442"/>
  <c r="F37" i="442"/>
  <c r="D37" i="442"/>
  <c r="F36" i="442"/>
  <c r="D36" i="442"/>
  <c r="F35" i="442"/>
  <c r="D35" i="442"/>
  <c r="H29" i="442"/>
  <c r="F29" i="442"/>
  <c r="H28" i="442"/>
  <c r="F28" i="442"/>
  <c r="H27" i="442"/>
  <c r="F27" i="442"/>
  <c r="H26" i="442"/>
  <c r="F26" i="442"/>
  <c r="H18" i="442"/>
  <c r="F18" i="442"/>
  <c r="D18" i="442"/>
  <c r="H17" i="442"/>
  <c r="F17" i="442"/>
  <c r="D17" i="442"/>
  <c r="H16" i="442"/>
  <c r="F16" i="442"/>
  <c r="D16" i="442"/>
  <c r="H15" i="442"/>
  <c r="F15" i="442"/>
  <c r="D15" i="442"/>
  <c r="D14" i="442"/>
  <c r="D13" i="442"/>
  <c r="E12" i="442"/>
  <c r="D12" i="442"/>
  <c r="D11" i="442"/>
  <c r="D10" i="442"/>
  <c r="D9" i="442"/>
  <c r="D8" i="442"/>
  <c r="I6" i="442"/>
  <c r="C5" i="442"/>
  <c r="B5" i="442"/>
  <c r="F4" i="442"/>
  <c r="A3" i="442"/>
  <c r="D55" i="575"/>
  <c r="H49" i="575"/>
  <c r="D49" i="575"/>
  <c r="H48" i="575"/>
  <c r="D48" i="575"/>
  <c r="H47" i="575"/>
  <c r="D47" i="575"/>
  <c r="H46" i="575"/>
  <c r="D46" i="575"/>
  <c r="H40" i="575"/>
  <c r="F40" i="575"/>
  <c r="D40" i="575"/>
  <c r="H39" i="575"/>
  <c r="F39" i="575"/>
  <c r="D39" i="575"/>
  <c r="H37" i="575"/>
  <c r="F37" i="575"/>
  <c r="D37" i="575"/>
  <c r="H36" i="575"/>
  <c r="F36" i="575"/>
  <c r="D36" i="575"/>
  <c r="H35" i="575"/>
  <c r="F35" i="575"/>
  <c r="D35" i="575"/>
  <c r="H29" i="575"/>
  <c r="F29" i="575"/>
  <c r="H28" i="575"/>
  <c r="F28" i="575"/>
  <c r="H18" i="575"/>
  <c r="F18" i="575"/>
  <c r="D18" i="575"/>
  <c r="H17" i="575"/>
  <c r="F17" i="575"/>
  <c r="D17" i="575"/>
  <c r="H16" i="575"/>
  <c r="F16" i="575"/>
  <c r="D16" i="575"/>
  <c r="H15" i="575"/>
  <c r="F15" i="575"/>
  <c r="D15" i="575"/>
  <c r="H14" i="575"/>
  <c r="F14" i="575"/>
  <c r="D14" i="575"/>
  <c r="D13" i="575"/>
  <c r="E12" i="575"/>
  <c r="D12" i="575"/>
  <c r="D11" i="575"/>
  <c r="D10" i="575"/>
  <c r="D9" i="575"/>
  <c r="D8" i="575"/>
  <c r="I6" i="575"/>
  <c r="C5" i="575"/>
  <c r="B5" i="575"/>
  <c r="F4" i="575"/>
  <c r="A3" i="575"/>
  <c r="D55" i="231"/>
  <c r="H49" i="231"/>
  <c r="D49" i="231"/>
  <c r="H48" i="231"/>
  <c r="D48" i="231"/>
  <c r="H47" i="231"/>
  <c r="D47" i="231"/>
  <c r="H46" i="231"/>
  <c r="D46" i="231"/>
  <c r="H40" i="231"/>
  <c r="F40" i="231"/>
  <c r="D40" i="231"/>
  <c r="H39" i="231"/>
  <c r="I38" i="231"/>
  <c r="F39" i="231"/>
  <c r="D39" i="231"/>
  <c r="H37" i="231"/>
  <c r="F37" i="231"/>
  <c r="D37" i="231"/>
  <c r="H36" i="231"/>
  <c r="H35" i="231"/>
  <c r="I34" i="231"/>
  <c r="I41" i="231"/>
  <c r="F36" i="231"/>
  <c r="D36" i="231"/>
  <c r="F35" i="231"/>
  <c r="D35" i="231"/>
  <c r="H29" i="231"/>
  <c r="F29" i="231"/>
  <c r="H28" i="231"/>
  <c r="F28" i="231"/>
  <c r="H27" i="231"/>
  <c r="F27" i="231"/>
  <c r="H26" i="231"/>
  <c r="F26" i="231"/>
  <c r="H25" i="231"/>
  <c r="F25" i="231"/>
  <c r="H24" i="231"/>
  <c r="F24" i="231"/>
  <c r="H18" i="231"/>
  <c r="F18" i="231"/>
  <c r="D18" i="231"/>
  <c r="H17" i="231"/>
  <c r="F17" i="231"/>
  <c r="D17" i="231"/>
  <c r="H16" i="231"/>
  <c r="F16" i="231"/>
  <c r="D16" i="231"/>
  <c r="H15" i="231"/>
  <c r="F15" i="231"/>
  <c r="D15" i="231"/>
  <c r="D14" i="231"/>
  <c r="D13" i="231"/>
  <c r="D12" i="231"/>
  <c r="D11" i="231"/>
  <c r="D10" i="231"/>
  <c r="D9" i="231"/>
  <c r="AB133" i="720"/>
  <c r="AB135" i="721"/>
  <c r="AB134" i="720"/>
  <c r="AB134" i="721"/>
  <c r="AB136" i="721"/>
  <c r="AB136" i="720"/>
  <c r="I38" i="575"/>
  <c r="I38" i="442"/>
  <c r="I34" i="575"/>
  <c r="D8" i="231"/>
  <c r="I6" i="231"/>
  <c r="C5" i="231"/>
  <c r="B5" i="231"/>
  <c r="F4" i="231"/>
  <c r="A3" i="231"/>
  <c r="D55" i="708"/>
  <c r="AB131" i="720"/>
  <c r="AC131" i="720"/>
  <c r="H49" i="708"/>
  <c r="D49" i="708"/>
  <c r="H48" i="708"/>
  <c r="D48" i="708"/>
  <c r="H40" i="708"/>
  <c r="F40" i="708"/>
  <c r="D40" i="708"/>
  <c r="H39" i="708"/>
  <c r="I38" i="708"/>
  <c r="F39" i="708"/>
  <c r="D39" i="708"/>
  <c r="H37" i="708"/>
  <c r="F37" i="708"/>
  <c r="H36" i="708"/>
  <c r="H35" i="708"/>
  <c r="I34" i="708"/>
  <c r="F36" i="708"/>
  <c r="D36" i="708"/>
  <c r="F35" i="708"/>
  <c r="D35" i="708"/>
  <c r="H29" i="708"/>
  <c r="F29" i="708"/>
  <c r="H28" i="708"/>
  <c r="F28" i="708"/>
  <c r="H18" i="708"/>
  <c r="F18" i="708"/>
  <c r="D18" i="708"/>
  <c r="H17" i="708"/>
  <c r="F17" i="708"/>
  <c r="D17" i="708"/>
  <c r="H16" i="708"/>
  <c r="F16" i="708"/>
  <c r="D16" i="708"/>
  <c r="D15" i="708"/>
  <c r="D14" i="708"/>
  <c r="D13" i="708"/>
  <c r="D12" i="708"/>
  <c r="D11" i="708"/>
  <c r="D10" i="708"/>
  <c r="D9" i="708"/>
  <c r="D8" i="708"/>
  <c r="I6" i="708"/>
  <c r="C5" i="708"/>
  <c r="B5" i="708"/>
  <c r="F4" i="708"/>
  <c r="A3" i="708"/>
  <c r="D55" i="574"/>
  <c r="H49" i="574"/>
  <c r="D49" i="574"/>
  <c r="H48" i="574"/>
  <c r="D48" i="574"/>
  <c r="H47" i="574"/>
  <c r="D47" i="574"/>
  <c r="H46" i="574"/>
  <c r="D46" i="574"/>
  <c r="H40" i="574"/>
  <c r="F40" i="574"/>
  <c r="D40" i="574"/>
  <c r="H39" i="574"/>
  <c r="I38" i="574"/>
  <c r="F39" i="574"/>
  <c r="D39" i="574"/>
  <c r="H37" i="574"/>
  <c r="F37" i="574"/>
  <c r="D37" i="574"/>
  <c r="H36" i="574"/>
  <c r="F36" i="574"/>
  <c r="D36" i="574"/>
  <c r="F35" i="574"/>
  <c r="D35" i="574"/>
  <c r="H29" i="574"/>
  <c r="F29" i="574"/>
  <c r="H28" i="574"/>
  <c r="F28" i="574"/>
  <c r="H27" i="574"/>
  <c r="F27" i="574"/>
  <c r="H26" i="574"/>
  <c r="F26" i="574"/>
  <c r="H25" i="574"/>
  <c r="F25" i="574"/>
  <c r="H24" i="574"/>
  <c r="F24" i="574"/>
  <c r="H18" i="574"/>
  <c r="F18" i="574"/>
  <c r="D18" i="574"/>
  <c r="H17" i="574"/>
  <c r="F17" i="574"/>
  <c r="D17" i="574"/>
  <c r="H16" i="574"/>
  <c r="F16" i="574"/>
  <c r="D16" i="574"/>
  <c r="H15" i="574"/>
  <c r="F15" i="574"/>
  <c r="D15" i="574"/>
  <c r="H14" i="574"/>
  <c r="F14" i="574"/>
  <c r="D14" i="574"/>
  <c r="H13" i="574"/>
  <c r="F13" i="574"/>
  <c r="D13" i="574"/>
  <c r="H12" i="574"/>
  <c r="F12" i="574"/>
  <c r="D12" i="574"/>
  <c r="H11" i="574"/>
  <c r="F11" i="574"/>
  <c r="D11" i="574"/>
  <c r="H10" i="574"/>
  <c r="F10" i="574"/>
  <c r="D10" i="574"/>
  <c r="H9" i="574"/>
  <c r="F9" i="574"/>
  <c r="D9" i="574"/>
  <c r="H8" i="574"/>
  <c r="F8" i="574"/>
  <c r="D8" i="574"/>
  <c r="I6" i="574"/>
  <c r="C5" i="574"/>
  <c r="B5" i="574"/>
  <c r="F4" i="574"/>
  <c r="A3" i="574"/>
  <c r="D55" i="270"/>
  <c r="H49" i="270"/>
  <c r="D49" i="270"/>
  <c r="H48" i="270"/>
  <c r="D48" i="270"/>
  <c r="H47" i="270"/>
  <c r="D47" i="270"/>
  <c r="H46" i="270"/>
  <c r="D46" i="270"/>
  <c r="H40" i="270"/>
  <c r="F40" i="270"/>
  <c r="D40" i="270"/>
  <c r="H39" i="270"/>
  <c r="I38" i="270"/>
  <c r="F39" i="270"/>
  <c r="D39" i="270"/>
  <c r="H37" i="270"/>
  <c r="F37" i="270"/>
  <c r="D37" i="270"/>
  <c r="H36" i="270"/>
  <c r="F36" i="270"/>
  <c r="D36" i="270"/>
  <c r="H35" i="270"/>
  <c r="F35" i="270"/>
  <c r="D35" i="270"/>
  <c r="H29" i="270"/>
  <c r="F29" i="270"/>
  <c r="H28" i="270"/>
  <c r="F28" i="270"/>
  <c r="H27" i="270"/>
  <c r="F27" i="270"/>
  <c r="H26" i="270"/>
  <c r="F26" i="270"/>
  <c r="H25" i="270"/>
  <c r="F25" i="270"/>
  <c r="H18" i="270"/>
  <c r="F18" i="270"/>
  <c r="D18" i="270"/>
  <c r="H17" i="270"/>
  <c r="F17" i="270"/>
  <c r="D17" i="270"/>
  <c r="H16" i="270"/>
  <c r="F16" i="270"/>
  <c r="D16" i="270"/>
  <c r="H15" i="270"/>
  <c r="F15" i="270"/>
  <c r="D15" i="270"/>
  <c r="H14" i="270"/>
  <c r="F14" i="270"/>
  <c r="D14" i="270"/>
  <c r="H13" i="270"/>
  <c r="F13" i="270"/>
  <c r="D13" i="270"/>
  <c r="H12" i="270"/>
  <c r="F12" i="270"/>
  <c r="D12" i="270"/>
  <c r="H11" i="270"/>
  <c r="F11" i="270"/>
  <c r="D11" i="270"/>
  <c r="H10" i="270"/>
  <c r="F10" i="270"/>
  <c r="D10" i="270"/>
  <c r="H9" i="270"/>
  <c r="F9" i="270"/>
  <c r="D9" i="270"/>
  <c r="H8" i="270"/>
  <c r="F8" i="270"/>
  <c r="D8" i="270"/>
  <c r="I6" i="270"/>
  <c r="C5" i="270"/>
  <c r="B5" i="270"/>
  <c r="F4" i="270"/>
  <c r="A3" i="270"/>
  <c r="D55" i="573"/>
  <c r="H49" i="573"/>
  <c r="D49" i="573"/>
  <c r="H48" i="573"/>
  <c r="D48" i="573"/>
  <c r="H47" i="573"/>
  <c r="D47" i="573"/>
  <c r="H46" i="573"/>
  <c r="D46" i="573"/>
  <c r="H40" i="573"/>
  <c r="F40" i="573"/>
  <c r="D40" i="573"/>
  <c r="H39" i="573"/>
  <c r="I38" i="573"/>
  <c r="F39" i="573"/>
  <c r="D39" i="573"/>
  <c r="H38" i="573"/>
  <c r="F38" i="573"/>
  <c r="D38" i="573"/>
  <c r="H37" i="573"/>
  <c r="F37" i="573"/>
  <c r="D37" i="573"/>
  <c r="H36" i="573"/>
  <c r="F36" i="573"/>
  <c r="D36" i="573"/>
  <c r="H35" i="573"/>
  <c r="F35" i="573"/>
  <c r="D35" i="573"/>
  <c r="H34" i="573"/>
  <c r="D34" i="573"/>
  <c r="H29" i="573"/>
  <c r="F29" i="573"/>
  <c r="H28" i="573"/>
  <c r="F28" i="573"/>
  <c r="H27" i="573"/>
  <c r="F27" i="573"/>
  <c r="H26" i="573"/>
  <c r="F26" i="573"/>
  <c r="H25" i="573"/>
  <c r="F25" i="573"/>
  <c r="H18" i="573"/>
  <c r="F18" i="573"/>
  <c r="D18" i="573"/>
  <c r="H17" i="573"/>
  <c r="F17" i="573"/>
  <c r="D17" i="573"/>
  <c r="H16" i="573"/>
  <c r="F16" i="573"/>
  <c r="D16" i="573"/>
  <c r="H15" i="573"/>
  <c r="F15" i="573"/>
  <c r="D15" i="573"/>
  <c r="H14" i="573"/>
  <c r="F14" i="573"/>
  <c r="D14" i="573"/>
  <c r="H13" i="573"/>
  <c r="F13" i="573"/>
  <c r="D13" i="573"/>
  <c r="H12" i="573"/>
  <c r="F12" i="573"/>
  <c r="D12" i="573"/>
  <c r="H11" i="573"/>
  <c r="F11" i="573"/>
  <c r="D11" i="573"/>
  <c r="H10" i="573"/>
  <c r="F10" i="573"/>
  <c r="D10" i="573"/>
  <c r="H9" i="573"/>
  <c r="F9" i="573"/>
  <c r="D9" i="573"/>
  <c r="H8" i="573"/>
  <c r="F8" i="573"/>
  <c r="D8" i="573"/>
  <c r="I6" i="573"/>
  <c r="C5" i="573"/>
  <c r="B5" i="573"/>
  <c r="F4" i="573"/>
  <c r="A3" i="573"/>
  <c r="D55" i="572"/>
  <c r="H49" i="572"/>
  <c r="D49" i="572"/>
  <c r="H48" i="572"/>
  <c r="D48" i="572"/>
  <c r="H47" i="572"/>
  <c r="D47" i="572"/>
  <c r="H46" i="572"/>
  <c r="D46" i="572"/>
  <c r="H40" i="572"/>
  <c r="H39" i="572"/>
  <c r="I38" i="572"/>
  <c r="F40" i="572"/>
  <c r="D40" i="572"/>
  <c r="F39" i="572"/>
  <c r="D39" i="572"/>
  <c r="H37" i="572"/>
  <c r="F37" i="572"/>
  <c r="D37" i="572"/>
  <c r="H36" i="572"/>
  <c r="F36" i="572"/>
  <c r="D36" i="572"/>
  <c r="H35" i="572"/>
  <c r="F35" i="572"/>
  <c r="D35" i="572"/>
  <c r="H29" i="572"/>
  <c r="F29" i="572"/>
  <c r="H28" i="572"/>
  <c r="F28" i="572"/>
  <c r="H27" i="572"/>
  <c r="F27" i="572"/>
  <c r="H26" i="572"/>
  <c r="F26" i="572"/>
  <c r="H25" i="572"/>
  <c r="F25" i="572"/>
  <c r="H24" i="572"/>
  <c r="F24" i="572"/>
  <c r="H18" i="572"/>
  <c r="F18" i="572"/>
  <c r="D18" i="572"/>
  <c r="H17" i="572"/>
  <c r="F17" i="572"/>
  <c r="D17" i="572"/>
  <c r="H16" i="572"/>
  <c r="F16" i="572"/>
  <c r="D16" i="572"/>
  <c r="H15" i="572"/>
  <c r="F15" i="572"/>
  <c r="D15" i="572"/>
  <c r="H14" i="572"/>
  <c r="F14" i="572"/>
  <c r="D14" i="572"/>
  <c r="H13" i="572"/>
  <c r="F13" i="572"/>
  <c r="D13" i="572"/>
  <c r="H12" i="572"/>
  <c r="F12" i="572"/>
  <c r="D12" i="572"/>
  <c r="H11" i="572"/>
  <c r="F11" i="572"/>
  <c r="D11" i="572"/>
  <c r="H10" i="572"/>
  <c r="F10" i="572"/>
  <c r="D10" i="572"/>
  <c r="H9" i="572"/>
  <c r="F9" i="572"/>
  <c r="D9" i="572"/>
  <c r="H8" i="572"/>
  <c r="F8" i="572"/>
  <c r="D8" i="572"/>
  <c r="I6" i="572"/>
  <c r="C5" i="572"/>
  <c r="B5" i="572"/>
  <c r="F4" i="572"/>
  <c r="A3" i="572"/>
  <c r="D55" i="269"/>
  <c r="H49" i="269"/>
  <c r="D49" i="269"/>
  <c r="H48" i="269"/>
  <c r="D48" i="269"/>
  <c r="H47" i="269"/>
  <c r="D47" i="269"/>
  <c r="H46" i="269"/>
  <c r="D46" i="269"/>
  <c r="H40" i="269"/>
  <c r="F40" i="269"/>
  <c r="D40" i="269"/>
  <c r="H39" i="269"/>
  <c r="I38" i="269"/>
  <c r="F39" i="269"/>
  <c r="D39" i="269"/>
  <c r="H37" i="269"/>
  <c r="F37" i="269"/>
  <c r="D37" i="269"/>
  <c r="H36" i="269"/>
  <c r="F36" i="269"/>
  <c r="D36" i="269"/>
  <c r="F35" i="269"/>
  <c r="D35" i="269"/>
  <c r="H35" i="269"/>
  <c r="I34" i="269"/>
  <c r="H29" i="269"/>
  <c r="F29" i="269"/>
  <c r="H28" i="269"/>
  <c r="F28" i="269"/>
  <c r="H27" i="269"/>
  <c r="F27" i="269"/>
  <c r="H26" i="269"/>
  <c r="F26" i="269"/>
  <c r="H25" i="269"/>
  <c r="F25" i="269"/>
  <c r="H24" i="269"/>
  <c r="F24" i="269"/>
  <c r="H18" i="269"/>
  <c r="F18" i="269"/>
  <c r="D18" i="269"/>
  <c r="H17" i="269"/>
  <c r="F17" i="269"/>
  <c r="D17" i="269"/>
  <c r="H16" i="269"/>
  <c r="F16" i="269"/>
  <c r="D16" i="269"/>
  <c r="H15" i="269"/>
  <c r="F15" i="269"/>
  <c r="D15" i="269"/>
  <c r="H14" i="269"/>
  <c r="F14" i="269"/>
  <c r="D14" i="269"/>
  <c r="H13" i="269"/>
  <c r="F13" i="269"/>
  <c r="D13" i="269"/>
  <c r="H12" i="269"/>
  <c r="F12" i="269"/>
  <c r="D12" i="269"/>
  <c r="H11" i="269"/>
  <c r="F11" i="269"/>
  <c r="D11" i="269"/>
  <c r="H10" i="269"/>
  <c r="F10" i="269"/>
  <c r="D10" i="269"/>
  <c r="H9" i="269"/>
  <c r="F9" i="269"/>
  <c r="D9" i="269"/>
  <c r="H8" i="269"/>
  <c r="F8" i="269"/>
  <c r="D8" i="269"/>
  <c r="I6" i="269"/>
  <c r="C5" i="269"/>
  <c r="B5" i="269"/>
  <c r="F4" i="269"/>
  <c r="A3" i="269"/>
  <c r="D55" i="470"/>
  <c r="F55" i="470"/>
  <c r="H49" i="470"/>
  <c r="D49" i="470"/>
  <c r="H48" i="470"/>
  <c r="D48" i="470"/>
  <c r="H47" i="470"/>
  <c r="D47" i="470"/>
  <c r="H46" i="470"/>
  <c r="D46" i="470"/>
  <c r="H40" i="470"/>
  <c r="F40" i="470"/>
  <c r="D40" i="470"/>
  <c r="H39" i="470"/>
  <c r="F39" i="470"/>
  <c r="D39" i="470"/>
  <c r="H37" i="470"/>
  <c r="F37" i="470"/>
  <c r="H36" i="470"/>
  <c r="F36" i="470"/>
  <c r="D36" i="470"/>
  <c r="H29" i="470"/>
  <c r="F29" i="470"/>
  <c r="H28" i="470"/>
  <c r="F28" i="470"/>
  <c r="H18" i="470"/>
  <c r="F18" i="470"/>
  <c r="D18" i="470"/>
  <c r="H17" i="470"/>
  <c r="F17" i="470"/>
  <c r="D17" i="470"/>
  <c r="H16" i="470"/>
  <c r="F16" i="470"/>
  <c r="D16" i="470"/>
  <c r="H15" i="470"/>
  <c r="F15" i="470"/>
  <c r="D15" i="470"/>
  <c r="H14" i="470"/>
  <c r="F14" i="470"/>
  <c r="D14" i="470"/>
  <c r="D13" i="470"/>
  <c r="AB125" i="720"/>
  <c r="AC125" i="720"/>
  <c r="AB125" i="721"/>
  <c r="AB130" i="720"/>
  <c r="AC130" i="720"/>
  <c r="AB130" i="721"/>
  <c r="AB129" i="720"/>
  <c r="AC129" i="720"/>
  <c r="AB129" i="721"/>
  <c r="I34" i="270"/>
  <c r="I41" i="270"/>
  <c r="AB117" i="720"/>
  <c r="AC117" i="720"/>
  <c r="I38" i="470"/>
  <c r="I34" i="573"/>
  <c r="I41" i="573"/>
  <c r="AB116" i="721"/>
  <c r="I34" i="572"/>
  <c r="H56" i="470"/>
  <c r="H35" i="574"/>
  <c r="I34" i="574"/>
  <c r="D12" i="470"/>
  <c r="D11" i="470"/>
  <c r="D10" i="470"/>
  <c r="D9" i="470"/>
  <c r="D8" i="470"/>
  <c r="I6" i="470"/>
  <c r="C5" i="470"/>
  <c r="B5" i="470"/>
  <c r="F4" i="470"/>
  <c r="A3" i="470"/>
  <c r="D56" i="571"/>
  <c r="H50" i="571"/>
  <c r="D50" i="571"/>
  <c r="H49" i="571"/>
  <c r="D49" i="571"/>
  <c r="H48" i="571"/>
  <c r="D48" i="571"/>
  <c r="H47" i="571"/>
  <c r="D47" i="571"/>
  <c r="AC128" i="720"/>
  <c r="I41" i="269"/>
  <c r="AB114" i="720"/>
  <c r="AC114" i="720"/>
  <c r="H41" i="571"/>
  <c r="F41" i="571"/>
  <c r="D41" i="571"/>
  <c r="H40" i="571"/>
  <c r="I39" i="571"/>
  <c r="F40" i="571"/>
  <c r="D40" i="571"/>
  <c r="H38" i="571"/>
  <c r="F38" i="571"/>
  <c r="D38" i="571"/>
  <c r="H37" i="571"/>
  <c r="F37" i="571"/>
  <c r="D37" i="571"/>
  <c r="H36" i="571"/>
  <c r="F36" i="571"/>
  <c r="D36" i="571"/>
  <c r="H30" i="571"/>
  <c r="F30" i="571"/>
  <c r="H29" i="571"/>
  <c r="F29" i="571"/>
  <c r="H28" i="571"/>
  <c r="F28" i="571"/>
  <c r="H27" i="571"/>
  <c r="F27" i="571"/>
  <c r="H26" i="571"/>
  <c r="F26" i="571"/>
  <c r="H25" i="571"/>
  <c r="F25" i="571"/>
  <c r="H19" i="571"/>
  <c r="F19" i="571"/>
  <c r="D19" i="571"/>
  <c r="H18" i="571"/>
  <c r="F18" i="571"/>
  <c r="D18" i="571"/>
  <c r="H17" i="571"/>
  <c r="F17" i="571"/>
  <c r="D17" i="571"/>
  <c r="H16" i="571"/>
  <c r="F16" i="571"/>
  <c r="D16" i="571"/>
  <c r="H15" i="571"/>
  <c r="F15" i="571"/>
  <c r="D15" i="571"/>
  <c r="H14" i="571"/>
  <c r="F14" i="571"/>
  <c r="D13" i="571"/>
  <c r="D12" i="571"/>
  <c r="D11" i="571"/>
  <c r="D10" i="571"/>
  <c r="D9" i="571"/>
  <c r="D8" i="571"/>
  <c r="I6" i="571"/>
  <c r="C5" i="571"/>
  <c r="B5" i="571"/>
  <c r="F4" i="571"/>
  <c r="A3" i="571"/>
  <c r="D56" i="570"/>
  <c r="H50" i="570"/>
  <c r="D50" i="570"/>
  <c r="H49" i="570"/>
  <c r="D49" i="570"/>
  <c r="H48" i="570"/>
  <c r="D48" i="570"/>
  <c r="H47" i="570"/>
  <c r="D47" i="570"/>
  <c r="H41" i="570"/>
  <c r="F41" i="570"/>
  <c r="D41" i="570"/>
  <c r="H40" i="570"/>
  <c r="I39" i="570"/>
  <c r="F40" i="570"/>
  <c r="D40" i="570"/>
  <c r="H38" i="570"/>
  <c r="H36" i="570"/>
  <c r="H37" i="570"/>
  <c r="I35" i="570"/>
  <c r="F38" i="570"/>
  <c r="D38" i="570"/>
  <c r="F37" i="570"/>
  <c r="D37" i="570"/>
  <c r="F36" i="570"/>
  <c r="D36" i="570"/>
  <c r="H30" i="570"/>
  <c r="F30" i="570"/>
  <c r="H29" i="570"/>
  <c r="F29" i="570"/>
  <c r="H28" i="570"/>
  <c r="F28" i="570"/>
  <c r="H27" i="570"/>
  <c r="F27" i="570"/>
  <c r="H26" i="570"/>
  <c r="F26" i="570"/>
  <c r="H25" i="570"/>
  <c r="F25" i="570"/>
  <c r="H19" i="570"/>
  <c r="F19" i="570"/>
  <c r="D19" i="570"/>
  <c r="H18" i="570"/>
  <c r="F18" i="570"/>
  <c r="D18" i="570"/>
  <c r="H17" i="570"/>
  <c r="F17" i="570"/>
  <c r="D17" i="570"/>
  <c r="H16" i="570"/>
  <c r="F16" i="570"/>
  <c r="D16" i="570"/>
  <c r="D15" i="570"/>
  <c r="D13" i="570"/>
  <c r="D12" i="570"/>
  <c r="D11" i="570"/>
  <c r="D10" i="570"/>
  <c r="D9" i="570"/>
  <c r="D8" i="570"/>
  <c r="I6" i="570"/>
  <c r="C5" i="570"/>
  <c r="B5" i="570"/>
  <c r="F4" i="570"/>
  <c r="A3" i="570"/>
  <c r="D55" i="613"/>
  <c r="H49" i="613"/>
  <c r="D49" i="613"/>
  <c r="H48" i="613"/>
  <c r="D48" i="613"/>
  <c r="H47" i="613"/>
  <c r="D47" i="613"/>
  <c r="H40" i="613"/>
  <c r="F40" i="613"/>
  <c r="D40" i="613"/>
  <c r="H39" i="613"/>
  <c r="F39" i="613"/>
  <c r="D39" i="613"/>
  <c r="H37" i="613"/>
  <c r="F37" i="613"/>
  <c r="D37" i="613"/>
  <c r="H36" i="613"/>
  <c r="F36" i="613"/>
  <c r="D36" i="613"/>
  <c r="H35" i="613"/>
  <c r="F35" i="613"/>
  <c r="D35" i="613"/>
  <c r="H29" i="613"/>
  <c r="F29" i="613"/>
  <c r="H28" i="613"/>
  <c r="F28" i="613"/>
  <c r="H27" i="613"/>
  <c r="F27" i="613"/>
  <c r="H26" i="613"/>
  <c r="F26" i="613"/>
  <c r="H25" i="613"/>
  <c r="F25" i="613"/>
  <c r="H24" i="613"/>
  <c r="F24" i="613"/>
  <c r="H18" i="613"/>
  <c r="F18" i="613"/>
  <c r="D18" i="613"/>
  <c r="H17" i="613"/>
  <c r="F17" i="613"/>
  <c r="D17" i="613"/>
  <c r="H16" i="613"/>
  <c r="F16" i="613"/>
  <c r="D16" i="613"/>
  <c r="H15" i="613"/>
  <c r="F15" i="613"/>
  <c r="D15" i="613"/>
  <c r="D14" i="613"/>
  <c r="D13" i="613"/>
  <c r="D12" i="613"/>
  <c r="D11" i="613"/>
  <c r="D10" i="613"/>
  <c r="D9" i="613"/>
  <c r="D8" i="613"/>
  <c r="I6" i="613"/>
  <c r="C5" i="613"/>
  <c r="B5" i="613"/>
  <c r="F4" i="613"/>
  <c r="A3" i="613"/>
  <c r="D55" i="346"/>
  <c r="H49" i="346"/>
  <c r="D49" i="346"/>
  <c r="H48" i="346"/>
  <c r="D48" i="346"/>
  <c r="H47" i="346"/>
  <c r="D47" i="346"/>
  <c r="H46" i="346"/>
  <c r="D46" i="346"/>
  <c r="H40" i="346"/>
  <c r="H39" i="346"/>
  <c r="I38" i="346"/>
  <c r="F40" i="346"/>
  <c r="D40" i="346"/>
  <c r="F39" i="346"/>
  <c r="D39" i="346"/>
  <c r="H37" i="346"/>
  <c r="F37" i="346"/>
  <c r="D37" i="346"/>
  <c r="H36" i="346"/>
  <c r="F36" i="346"/>
  <c r="D36" i="346"/>
  <c r="H35" i="346"/>
  <c r="F35" i="346"/>
  <c r="D35" i="346"/>
  <c r="H29" i="346"/>
  <c r="F29" i="346"/>
  <c r="H28" i="346"/>
  <c r="F28" i="346"/>
  <c r="H27" i="346"/>
  <c r="F27" i="346"/>
  <c r="H26" i="346"/>
  <c r="F26" i="346"/>
  <c r="H25" i="346"/>
  <c r="F25" i="346"/>
  <c r="H24" i="346"/>
  <c r="F24" i="346"/>
  <c r="H18" i="346"/>
  <c r="F18" i="346"/>
  <c r="D18" i="346"/>
  <c r="H17" i="346"/>
  <c r="F17" i="346"/>
  <c r="D17" i="346"/>
  <c r="H16" i="346"/>
  <c r="F16" i="346"/>
  <c r="D16" i="346"/>
  <c r="H15" i="346"/>
  <c r="F15" i="346"/>
  <c r="D15" i="346"/>
  <c r="D14" i="346"/>
  <c r="D13" i="346"/>
  <c r="D12" i="346"/>
  <c r="D11" i="346"/>
  <c r="D10" i="346"/>
  <c r="D9" i="346"/>
  <c r="D8" i="346"/>
  <c r="I6" i="346"/>
  <c r="C5" i="346"/>
  <c r="B5" i="346"/>
  <c r="F4" i="346"/>
  <c r="A3" i="346"/>
  <c r="D55" i="345"/>
  <c r="H49" i="345"/>
  <c r="D49" i="345"/>
  <c r="H48" i="345"/>
  <c r="D48" i="345"/>
  <c r="H47" i="345"/>
  <c r="D47" i="345"/>
  <c r="H46" i="345"/>
  <c r="D46" i="345"/>
  <c r="H40" i="345"/>
  <c r="F40" i="345"/>
  <c r="D40" i="345"/>
  <c r="H39" i="345"/>
  <c r="F39" i="345"/>
  <c r="D39" i="345"/>
  <c r="H37" i="345"/>
  <c r="F37" i="345"/>
  <c r="D37" i="345"/>
  <c r="H36" i="345"/>
  <c r="H35" i="345"/>
  <c r="I34" i="345"/>
  <c r="I38" i="345"/>
  <c r="I41" i="345"/>
  <c r="F36" i="345"/>
  <c r="D36" i="345"/>
  <c r="F35" i="345"/>
  <c r="D35" i="345"/>
  <c r="H29" i="345"/>
  <c r="F29" i="345"/>
  <c r="H28" i="345"/>
  <c r="F28" i="345"/>
  <c r="H27" i="345"/>
  <c r="F27" i="345"/>
  <c r="H26" i="345"/>
  <c r="F26" i="345"/>
  <c r="H25" i="345"/>
  <c r="F25" i="345"/>
  <c r="H24" i="345"/>
  <c r="F24" i="345"/>
  <c r="H18" i="345"/>
  <c r="F18" i="345"/>
  <c r="D18" i="345"/>
  <c r="H17" i="345"/>
  <c r="F17" i="345"/>
  <c r="D17" i="345"/>
  <c r="H16" i="345"/>
  <c r="F16" i="345"/>
  <c r="D16" i="345"/>
  <c r="H15" i="345"/>
  <c r="F15" i="345"/>
  <c r="D15" i="345"/>
  <c r="D14" i="345"/>
  <c r="D13" i="345"/>
  <c r="D12" i="345"/>
  <c r="D11" i="345"/>
  <c r="D10" i="345"/>
  <c r="D9" i="345"/>
  <c r="D8" i="345"/>
  <c r="I6" i="345"/>
  <c r="C5" i="345"/>
  <c r="B5" i="345"/>
  <c r="F4" i="345"/>
  <c r="A3" i="345"/>
  <c r="D55" i="569"/>
  <c r="H49" i="569"/>
  <c r="D49" i="569"/>
  <c r="H48" i="569"/>
  <c r="D48" i="569"/>
  <c r="H40" i="569"/>
  <c r="H39" i="569"/>
  <c r="I38" i="569"/>
  <c r="F40" i="569"/>
  <c r="D40" i="569"/>
  <c r="F39" i="569"/>
  <c r="D39" i="569"/>
  <c r="H37" i="569"/>
  <c r="F37" i="569"/>
  <c r="D37" i="569"/>
  <c r="H36" i="569"/>
  <c r="F36" i="569"/>
  <c r="D36" i="569"/>
  <c r="H35" i="569"/>
  <c r="I34" i="569"/>
  <c r="F35" i="569"/>
  <c r="D35" i="569"/>
  <c r="H29" i="569"/>
  <c r="F29" i="569"/>
  <c r="H28" i="569"/>
  <c r="F28" i="569"/>
  <c r="H27" i="569"/>
  <c r="F27" i="569"/>
  <c r="H26" i="569"/>
  <c r="F26" i="569"/>
  <c r="H25" i="569"/>
  <c r="F25" i="569"/>
  <c r="H18" i="569"/>
  <c r="F18" i="569"/>
  <c r="D18" i="569"/>
  <c r="H17" i="569"/>
  <c r="F17" i="569"/>
  <c r="D17" i="569"/>
  <c r="H16" i="569"/>
  <c r="F16" i="569"/>
  <c r="D16" i="569"/>
  <c r="H15" i="569"/>
  <c r="F15" i="569"/>
  <c r="D15" i="569"/>
  <c r="D14" i="569"/>
  <c r="D13" i="569"/>
  <c r="D12" i="569"/>
  <c r="D11" i="569"/>
  <c r="D10" i="569"/>
  <c r="D9" i="569"/>
  <c r="D8" i="569"/>
  <c r="I6" i="569"/>
  <c r="C5" i="569"/>
  <c r="B5" i="569"/>
  <c r="F4" i="569"/>
  <c r="A3" i="569"/>
  <c r="D55" i="568"/>
  <c r="H49" i="568"/>
  <c r="D49" i="568"/>
  <c r="H48" i="568"/>
  <c r="D48" i="568"/>
  <c r="H40" i="568"/>
  <c r="F40" i="568"/>
  <c r="D40" i="568"/>
  <c r="H39" i="568"/>
  <c r="F39" i="568"/>
  <c r="D39" i="568"/>
  <c r="H37" i="568"/>
  <c r="H35" i="568"/>
  <c r="H36" i="568"/>
  <c r="I34" i="568"/>
  <c r="F37" i="568"/>
  <c r="D37" i="568"/>
  <c r="F36" i="568"/>
  <c r="D36" i="568"/>
  <c r="F35" i="568"/>
  <c r="D35" i="568"/>
  <c r="H29" i="568"/>
  <c r="F29" i="568"/>
  <c r="H28" i="568"/>
  <c r="F28" i="568"/>
  <c r="H27" i="568"/>
  <c r="F27" i="568"/>
  <c r="H26" i="568"/>
  <c r="F26" i="568"/>
  <c r="H25" i="568"/>
  <c r="F25" i="568"/>
  <c r="H18" i="568"/>
  <c r="F18" i="568"/>
  <c r="D18" i="568"/>
  <c r="H17" i="568"/>
  <c r="F17" i="568"/>
  <c r="D17" i="568"/>
  <c r="H16" i="568"/>
  <c r="F16" i="568"/>
  <c r="D16" i="568"/>
  <c r="F15" i="568"/>
  <c r="H14" i="568"/>
  <c r="F14" i="568"/>
  <c r="D14" i="568"/>
  <c r="D13" i="568"/>
  <c r="D12" i="568"/>
  <c r="D11" i="568"/>
  <c r="D10" i="568"/>
  <c r="D9" i="568"/>
  <c r="D8" i="568"/>
  <c r="I6" i="568"/>
  <c r="C5" i="568"/>
  <c r="B5" i="568"/>
  <c r="F4" i="568"/>
  <c r="A3" i="568"/>
  <c r="D55" i="567"/>
  <c r="H49" i="567"/>
  <c r="D49" i="567"/>
  <c r="H48" i="567"/>
  <c r="D48" i="567"/>
  <c r="H47" i="567"/>
  <c r="D47" i="567"/>
  <c r="H46" i="567"/>
  <c r="D46" i="567"/>
  <c r="H40" i="567"/>
  <c r="H39" i="567"/>
  <c r="I38" i="567"/>
  <c r="F40" i="567"/>
  <c r="D40" i="567"/>
  <c r="F39" i="567"/>
  <c r="D39" i="567"/>
  <c r="H37" i="567"/>
  <c r="F37" i="567"/>
  <c r="D37" i="567"/>
  <c r="H36" i="567"/>
  <c r="F36" i="567"/>
  <c r="D36" i="567"/>
  <c r="H35" i="567"/>
  <c r="F35" i="567"/>
  <c r="D35" i="567"/>
  <c r="H29" i="567"/>
  <c r="F29" i="567"/>
  <c r="H28" i="567"/>
  <c r="F28" i="567"/>
  <c r="H27" i="567"/>
  <c r="F27" i="567"/>
  <c r="H26" i="567"/>
  <c r="F26" i="567"/>
  <c r="H25" i="567"/>
  <c r="F25" i="567"/>
  <c r="H24" i="567"/>
  <c r="AB116" i="720"/>
  <c r="AC116" i="720"/>
  <c r="I38" i="568"/>
  <c r="I34" i="613"/>
  <c r="F24" i="567"/>
  <c r="H18" i="567"/>
  <c r="F18" i="567"/>
  <c r="D18" i="567"/>
  <c r="H17" i="567"/>
  <c r="F17" i="567"/>
  <c r="D17" i="567"/>
  <c r="H16" i="567"/>
  <c r="F16" i="567"/>
  <c r="D16" i="567"/>
  <c r="H15" i="567"/>
  <c r="F15" i="567"/>
  <c r="D15" i="567"/>
  <c r="F14" i="567"/>
  <c r="H13" i="567"/>
  <c r="F13" i="567"/>
  <c r="D13" i="567"/>
  <c r="H12" i="567"/>
  <c r="F12" i="567"/>
  <c r="D12" i="567"/>
  <c r="H11" i="567"/>
  <c r="F11" i="567"/>
  <c r="D11" i="567"/>
  <c r="D10" i="567"/>
  <c r="D9" i="567"/>
  <c r="D8" i="567"/>
  <c r="I6" i="567"/>
  <c r="C5" i="567"/>
  <c r="B5" i="567"/>
  <c r="F4" i="567"/>
  <c r="A3" i="567"/>
  <c r="D55" i="566"/>
  <c r="H49" i="566"/>
  <c r="D49" i="566"/>
  <c r="H48" i="566"/>
  <c r="D48" i="566"/>
  <c r="H40" i="566"/>
  <c r="F40" i="566"/>
  <c r="D40" i="566"/>
  <c r="H39" i="566"/>
  <c r="F39" i="566"/>
  <c r="D39" i="566"/>
  <c r="H37" i="566"/>
  <c r="H35" i="566"/>
  <c r="H36" i="566"/>
  <c r="I34" i="566"/>
  <c r="I38" i="566"/>
  <c r="I41" i="566"/>
  <c r="F37" i="566"/>
  <c r="D37" i="566"/>
  <c r="F36" i="566"/>
  <c r="D36" i="566"/>
  <c r="F35" i="566"/>
  <c r="D35" i="566"/>
  <c r="H29" i="566"/>
  <c r="F29" i="566"/>
  <c r="H28" i="566"/>
  <c r="F28" i="566"/>
  <c r="H27" i="566"/>
  <c r="F27" i="566"/>
  <c r="H26" i="566"/>
  <c r="F26" i="566"/>
  <c r="H25" i="566"/>
  <c r="F25" i="566"/>
  <c r="H18" i="566"/>
  <c r="F18" i="566"/>
  <c r="D18" i="566"/>
  <c r="H17" i="566"/>
  <c r="F17" i="566"/>
  <c r="D17" i="566"/>
  <c r="H16" i="566"/>
  <c r="F16" i="566"/>
  <c r="D16" i="566"/>
  <c r="H15" i="566"/>
  <c r="F15" i="566"/>
  <c r="D15" i="566"/>
  <c r="H14" i="566"/>
  <c r="F14" i="566"/>
  <c r="D14" i="566"/>
  <c r="D13" i="566"/>
  <c r="D12" i="566"/>
  <c r="D11" i="566"/>
  <c r="D10" i="566"/>
  <c r="D9" i="566"/>
  <c r="D8" i="566"/>
  <c r="I6" i="566"/>
  <c r="C5" i="566"/>
  <c r="B5" i="566"/>
  <c r="F4" i="566"/>
  <c r="A3" i="566"/>
  <c r="D55" i="565"/>
  <c r="H49" i="565"/>
  <c r="D49" i="565"/>
  <c r="H48" i="565"/>
  <c r="D48" i="565"/>
  <c r="H40" i="565"/>
  <c r="F40" i="565"/>
  <c r="D40" i="565"/>
  <c r="H39" i="565"/>
  <c r="F39" i="565"/>
  <c r="D39" i="565"/>
  <c r="H37" i="565"/>
  <c r="F37" i="565"/>
  <c r="D37" i="565"/>
  <c r="H36" i="565"/>
  <c r="H35" i="565"/>
  <c r="I34" i="565"/>
  <c r="F36" i="565"/>
  <c r="D36" i="565"/>
  <c r="F35" i="565"/>
  <c r="D35" i="565"/>
  <c r="H29" i="565"/>
  <c r="F29" i="565"/>
  <c r="H28" i="565"/>
  <c r="F28" i="565"/>
  <c r="H27" i="565"/>
  <c r="F27" i="565"/>
  <c r="H26" i="565"/>
  <c r="F26" i="565"/>
  <c r="H25" i="565"/>
  <c r="F25" i="565"/>
  <c r="H18" i="565"/>
  <c r="F18" i="565"/>
  <c r="D18" i="565"/>
  <c r="H17" i="565"/>
  <c r="F17" i="565"/>
  <c r="D17" i="565"/>
  <c r="H16" i="565"/>
  <c r="F16" i="565"/>
  <c r="D16" i="565"/>
  <c r="H15" i="565"/>
  <c r="F15" i="565"/>
  <c r="D15" i="565"/>
  <c r="H14" i="565"/>
  <c r="F14" i="565"/>
  <c r="D14" i="565"/>
  <c r="D13" i="565"/>
  <c r="D12" i="565"/>
  <c r="D11" i="565"/>
  <c r="D10" i="565"/>
  <c r="D9" i="565"/>
  <c r="D8" i="565"/>
  <c r="I6" i="565"/>
  <c r="C5" i="565"/>
  <c r="B5" i="565"/>
  <c r="F4" i="565"/>
  <c r="A3" i="565"/>
  <c r="D55" i="564"/>
  <c r="H49" i="564"/>
  <c r="D49" i="564"/>
  <c r="H48" i="564"/>
  <c r="D48" i="564"/>
  <c r="H47" i="564"/>
  <c r="D47" i="564"/>
  <c r="H46" i="564"/>
  <c r="D46" i="564"/>
  <c r="H40" i="564"/>
  <c r="F40" i="564"/>
  <c r="D40" i="564"/>
  <c r="H39" i="564"/>
  <c r="F39" i="564"/>
  <c r="D39" i="564"/>
  <c r="H37" i="564"/>
  <c r="F37" i="564"/>
  <c r="D37" i="564"/>
  <c r="H36" i="564"/>
  <c r="F36" i="564"/>
  <c r="D36" i="564"/>
  <c r="H35" i="564"/>
  <c r="F35" i="564"/>
  <c r="D35" i="564"/>
  <c r="H29" i="564"/>
  <c r="F29" i="564"/>
  <c r="H28" i="564"/>
  <c r="F28" i="564"/>
  <c r="H27" i="564"/>
  <c r="F27" i="564"/>
  <c r="H26" i="564"/>
  <c r="F26" i="564"/>
  <c r="H25" i="564"/>
  <c r="F25" i="564"/>
  <c r="H24" i="564"/>
  <c r="F24" i="564"/>
  <c r="H18" i="564"/>
  <c r="F18" i="564"/>
  <c r="D18" i="564"/>
  <c r="H17" i="564"/>
  <c r="F17" i="564"/>
  <c r="D17" i="564"/>
  <c r="H16" i="564"/>
  <c r="F16" i="564"/>
  <c r="D16" i="564"/>
  <c r="H15" i="564"/>
  <c r="F15" i="564"/>
  <c r="D15" i="564"/>
  <c r="H14" i="564"/>
  <c r="F14" i="564"/>
  <c r="D14" i="564"/>
  <c r="H13" i="564"/>
  <c r="F13" i="564"/>
  <c r="D13" i="564"/>
  <c r="H12" i="564"/>
  <c r="F12" i="564"/>
  <c r="D12" i="564"/>
  <c r="H11" i="564"/>
  <c r="F11" i="564"/>
  <c r="D11" i="564"/>
  <c r="H10" i="564"/>
  <c r="F10" i="564"/>
  <c r="D10" i="564"/>
  <c r="H9" i="564"/>
  <c r="F9" i="564"/>
  <c r="D9" i="564"/>
  <c r="D8" i="564"/>
  <c r="I6" i="564"/>
  <c r="C5" i="564"/>
  <c r="B5" i="564"/>
  <c r="F4" i="564"/>
  <c r="A3" i="564"/>
  <c r="D55" i="563"/>
  <c r="H49" i="563"/>
  <c r="D49" i="563"/>
  <c r="H48" i="563"/>
  <c r="D48" i="563"/>
  <c r="H40" i="563"/>
  <c r="F40" i="563"/>
  <c r="D40" i="563"/>
  <c r="H39" i="563"/>
  <c r="I38" i="563"/>
  <c r="F39" i="563"/>
  <c r="D39" i="563"/>
  <c r="H37" i="563"/>
  <c r="F37" i="563"/>
  <c r="D37" i="563"/>
  <c r="H36" i="563"/>
  <c r="F36" i="563"/>
  <c r="D36" i="563"/>
  <c r="H35" i="563"/>
  <c r="F35" i="563"/>
  <c r="D35" i="563"/>
  <c r="H29" i="563"/>
  <c r="F29" i="563"/>
  <c r="H28" i="563"/>
  <c r="F28" i="563"/>
  <c r="H27" i="563"/>
  <c r="F27" i="563"/>
  <c r="H26" i="563"/>
  <c r="F26" i="563"/>
  <c r="H25" i="563"/>
  <c r="F25" i="563"/>
  <c r="H18" i="563"/>
  <c r="F18" i="563"/>
  <c r="D18" i="563"/>
  <c r="H17" i="563"/>
  <c r="F17" i="563"/>
  <c r="D17" i="563"/>
  <c r="H16" i="563"/>
  <c r="F16" i="563"/>
  <c r="D16" i="563"/>
  <c r="H15" i="563"/>
  <c r="F15" i="563"/>
  <c r="D15" i="563"/>
  <c r="H14" i="563"/>
  <c r="F14" i="563"/>
  <c r="D14" i="563"/>
  <c r="H13" i="563"/>
  <c r="F13" i="563"/>
  <c r="D13" i="563"/>
  <c r="H12" i="563"/>
  <c r="F12" i="563"/>
  <c r="D12" i="563"/>
  <c r="H11" i="563"/>
  <c r="F11" i="563"/>
  <c r="D11" i="563"/>
  <c r="D10" i="563"/>
  <c r="D9" i="563"/>
  <c r="D8" i="563"/>
  <c r="I6" i="563"/>
  <c r="C5" i="563"/>
  <c r="B5" i="563"/>
  <c r="F4" i="563"/>
  <c r="A3" i="563"/>
  <c r="D55" i="562"/>
  <c r="H49" i="562"/>
  <c r="D49" i="562"/>
  <c r="H48" i="562"/>
  <c r="D48" i="562"/>
  <c r="H40" i="562"/>
  <c r="F40" i="562"/>
  <c r="D40" i="562"/>
  <c r="H39" i="562"/>
  <c r="I38" i="562"/>
  <c r="F39" i="562"/>
  <c r="D39" i="562"/>
  <c r="H37" i="562"/>
  <c r="F37" i="562"/>
  <c r="D37" i="562"/>
  <c r="H36" i="562"/>
  <c r="F36" i="562"/>
  <c r="D36" i="562"/>
  <c r="H35" i="562"/>
  <c r="I34" i="562"/>
  <c r="F35" i="562"/>
  <c r="D35" i="562"/>
  <c r="H29" i="562"/>
  <c r="F29" i="562"/>
  <c r="H28" i="562"/>
  <c r="F28" i="562"/>
  <c r="H27" i="562"/>
  <c r="F27" i="562"/>
  <c r="H26" i="562"/>
  <c r="F26" i="562"/>
  <c r="H25" i="562"/>
  <c r="F25" i="562"/>
  <c r="H18" i="562"/>
  <c r="F18" i="562"/>
  <c r="D18" i="562"/>
  <c r="H17" i="562"/>
  <c r="F17" i="562"/>
  <c r="D17" i="562"/>
  <c r="H16" i="562"/>
  <c r="F16" i="562"/>
  <c r="D16" i="562"/>
  <c r="H15" i="562"/>
  <c r="F15" i="562"/>
  <c r="D15" i="562"/>
  <c r="H14" i="562"/>
  <c r="F14" i="562"/>
  <c r="D14" i="562"/>
  <c r="H13" i="562"/>
  <c r="F13" i="562"/>
  <c r="D13" i="562"/>
  <c r="H12" i="562"/>
  <c r="F12" i="562"/>
  <c r="D12" i="562"/>
  <c r="H11" i="562"/>
  <c r="F11" i="562"/>
  <c r="D11" i="562"/>
  <c r="D10" i="562"/>
  <c r="D9" i="562"/>
  <c r="D8" i="562"/>
  <c r="I6" i="562"/>
  <c r="C5" i="562"/>
  <c r="B5" i="562"/>
  <c r="F4" i="562"/>
  <c r="A3" i="562"/>
  <c r="D55" i="561"/>
  <c r="H49" i="561"/>
  <c r="D49" i="561"/>
  <c r="H48" i="561"/>
  <c r="D48" i="561"/>
  <c r="H40" i="561"/>
  <c r="F40" i="561"/>
  <c r="D40" i="561"/>
  <c r="H39" i="561"/>
  <c r="F39" i="561"/>
  <c r="D39" i="561"/>
  <c r="H37" i="561"/>
  <c r="F37" i="561"/>
  <c r="D37" i="561"/>
  <c r="H36" i="561"/>
  <c r="F36" i="561"/>
  <c r="D36" i="561"/>
  <c r="H35" i="561"/>
  <c r="F35" i="561"/>
  <c r="D35" i="561"/>
  <c r="H29" i="561"/>
  <c r="F29" i="561"/>
  <c r="H28" i="561"/>
  <c r="F28" i="561"/>
  <c r="H27" i="561"/>
  <c r="F27" i="561"/>
  <c r="H26" i="561"/>
  <c r="F26" i="561"/>
  <c r="H25" i="561"/>
  <c r="F25" i="561"/>
  <c r="H18" i="561"/>
  <c r="F18" i="561"/>
  <c r="D18" i="561"/>
  <c r="H17" i="561"/>
  <c r="F17" i="561"/>
  <c r="D17" i="561"/>
  <c r="H16" i="561"/>
  <c r="F16" i="561"/>
  <c r="D16" i="561"/>
  <c r="H15" i="561"/>
  <c r="F15" i="561"/>
  <c r="D15" i="561"/>
  <c r="H14" i="561"/>
  <c r="F14" i="561"/>
  <c r="D14" i="561"/>
  <c r="H13" i="561"/>
  <c r="F13" i="561"/>
  <c r="D13" i="561"/>
  <c r="H12" i="561"/>
  <c r="F12" i="561"/>
  <c r="D12" i="561"/>
  <c r="H11" i="561"/>
  <c r="F11" i="561"/>
  <c r="D11" i="561"/>
  <c r="D10" i="561"/>
  <c r="D9" i="561"/>
  <c r="D8" i="561"/>
  <c r="I6" i="561"/>
  <c r="C5" i="561"/>
  <c r="B5" i="561"/>
  <c r="F4" i="561"/>
  <c r="A3" i="561"/>
  <c r="D55" i="558"/>
  <c r="H49" i="558"/>
  <c r="D49" i="558"/>
  <c r="H48" i="558"/>
  <c r="D48" i="558"/>
  <c r="H47" i="558"/>
  <c r="D47" i="558"/>
  <c r="H46" i="558"/>
  <c r="D46" i="558"/>
  <c r="H40" i="558"/>
  <c r="F40" i="558"/>
  <c r="D40" i="558"/>
  <c r="H39" i="558"/>
  <c r="F39" i="558"/>
  <c r="D39" i="558"/>
  <c r="H37" i="558"/>
  <c r="F37" i="558"/>
  <c r="D37" i="558"/>
  <c r="H36" i="558"/>
  <c r="F36" i="558"/>
  <c r="D36" i="558"/>
  <c r="H35" i="558"/>
  <c r="I34" i="558"/>
  <c r="F35" i="558"/>
  <c r="D35" i="558"/>
  <c r="H29" i="558"/>
  <c r="F29" i="558"/>
  <c r="H28" i="558"/>
  <c r="F28" i="558"/>
  <c r="H27" i="558"/>
  <c r="F27" i="558"/>
  <c r="H26" i="558"/>
  <c r="F26" i="558"/>
  <c r="H25" i="558"/>
  <c r="F25" i="558"/>
  <c r="H24" i="558"/>
  <c r="I38" i="561"/>
  <c r="I38" i="564"/>
  <c r="I38" i="565"/>
  <c r="I34" i="564"/>
  <c r="I41" i="564"/>
  <c r="F24" i="558"/>
  <c r="H18" i="558"/>
  <c r="F18" i="558"/>
  <c r="D18" i="558"/>
  <c r="H17" i="558"/>
  <c r="F17" i="558"/>
  <c r="D17" i="558"/>
  <c r="H16" i="558"/>
  <c r="F16" i="558"/>
  <c r="D16" i="558"/>
  <c r="H15" i="558"/>
  <c r="F15" i="558"/>
  <c r="D15" i="558"/>
  <c r="H14" i="558"/>
  <c r="F14" i="558"/>
  <c r="D14" i="558"/>
  <c r="H13" i="558"/>
  <c r="F13" i="558"/>
  <c r="D13" i="558"/>
  <c r="H12" i="558"/>
  <c r="F12" i="558"/>
  <c r="D12" i="558"/>
  <c r="H11" i="558"/>
  <c r="F11" i="558"/>
  <c r="D11" i="558"/>
  <c r="H10" i="558"/>
  <c r="F10" i="558"/>
  <c r="D10" i="558"/>
  <c r="H9" i="558"/>
  <c r="F9" i="558"/>
  <c r="D9" i="558"/>
  <c r="D8" i="558"/>
  <c r="I6" i="558"/>
  <c r="C5" i="558"/>
  <c r="B5" i="558"/>
  <c r="F4" i="558"/>
  <c r="A3" i="558"/>
  <c r="D55" i="557"/>
  <c r="H49" i="557"/>
  <c r="D49" i="557"/>
  <c r="H48" i="557"/>
  <c r="D48" i="557"/>
  <c r="H40" i="557"/>
  <c r="F40" i="557"/>
  <c r="D40" i="557"/>
  <c r="H39" i="557"/>
  <c r="I38" i="557"/>
  <c r="F39" i="557"/>
  <c r="D39" i="557"/>
  <c r="H37" i="557"/>
  <c r="F37" i="557"/>
  <c r="D37" i="557"/>
  <c r="H36" i="557"/>
  <c r="F36" i="557"/>
  <c r="D36" i="557"/>
  <c r="H35" i="557"/>
  <c r="F35" i="557"/>
  <c r="D35" i="557"/>
  <c r="H29" i="557"/>
  <c r="F29" i="557"/>
  <c r="H28" i="557"/>
  <c r="F28" i="557"/>
  <c r="H27" i="557"/>
  <c r="F27" i="557"/>
  <c r="H26" i="557"/>
  <c r="F26" i="557"/>
  <c r="H25" i="557"/>
  <c r="F25" i="557"/>
  <c r="H18" i="557"/>
  <c r="F18" i="557"/>
  <c r="D18" i="557"/>
  <c r="H17" i="557"/>
  <c r="F17" i="557"/>
  <c r="D17" i="557"/>
  <c r="H16" i="557"/>
  <c r="F16" i="557"/>
  <c r="D16" i="557"/>
  <c r="H15" i="557"/>
  <c r="F15" i="557"/>
  <c r="D15" i="557"/>
  <c r="H14" i="557"/>
  <c r="F14" i="557"/>
  <c r="D14" i="557"/>
  <c r="H13" i="557"/>
  <c r="F13" i="557"/>
  <c r="D13" i="557"/>
  <c r="H12" i="557"/>
  <c r="F12" i="557"/>
  <c r="D12" i="557"/>
  <c r="H11" i="557"/>
  <c r="F11" i="557"/>
  <c r="D11" i="557"/>
  <c r="D10" i="557"/>
  <c r="D9" i="557"/>
  <c r="D8" i="557"/>
  <c r="I6" i="557"/>
  <c r="C5" i="557"/>
  <c r="B5" i="557"/>
  <c r="F4" i="557"/>
  <c r="A3" i="557"/>
  <c r="D55" i="556"/>
  <c r="H49" i="556"/>
  <c r="D49" i="556"/>
  <c r="H48" i="556"/>
  <c r="D48" i="556"/>
  <c r="H40" i="556"/>
  <c r="F40" i="556"/>
  <c r="D40" i="556"/>
  <c r="H39" i="556"/>
  <c r="I38" i="556"/>
  <c r="H35" i="556"/>
  <c r="H36" i="556"/>
  <c r="H37" i="556"/>
  <c r="I34" i="556"/>
  <c r="I41" i="556"/>
  <c r="F39" i="556"/>
  <c r="D39" i="556"/>
  <c r="F37" i="556"/>
  <c r="D37" i="556"/>
  <c r="F36" i="556"/>
  <c r="D36" i="556"/>
  <c r="F35" i="556"/>
  <c r="D35" i="556"/>
  <c r="H29" i="556"/>
  <c r="F29" i="556"/>
  <c r="H28" i="556"/>
  <c r="F28" i="556"/>
  <c r="H27" i="556"/>
  <c r="F27" i="556"/>
  <c r="H26" i="556"/>
  <c r="F26" i="556"/>
  <c r="H25" i="556"/>
  <c r="F25" i="556"/>
  <c r="H18" i="556"/>
  <c r="F18" i="556"/>
  <c r="D18" i="556"/>
  <c r="H17" i="556"/>
  <c r="F17" i="556"/>
  <c r="D17" i="556"/>
  <c r="H16" i="556"/>
  <c r="F16" i="556"/>
  <c r="D16" i="556"/>
  <c r="H15" i="556"/>
  <c r="F15" i="556"/>
  <c r="D15" i="556"/>
  <c r="H14" i="556"/>
  <c r="F14" i="556"/>
  <c r="D14" i="556"/>
  <c r="H13" i="556"/>
  <c r="F13" i="556"/>
  <c r="D13" i="556"/>
  <c r="H12" i="556"/>
  <c r="F12" i="556"/>
  <c r="D12" i="556"/>
  <c r="H11" i="556"/>
  <c r="F11" i="556"/>
  <c r="D11" i="556"/>
  <c r="D10" i="556"/>
  <c r="D9" i="556"/>
  <c r="D8" i="556"/>
  <c r="I6" i="556"/>
  <c r="C5" i="556"/>
  <c r="B5" i="556"/>
  <c r="F4" i="556"/>
  <c r="A3" i="556"/>
  <c r="D55" i="555"/>
  <c r="H49" i="555"/>
  <c r="D49" i="555"/>
  <c r="H48" i="555"/>
  <c r="D48" i="555"/>
  <c r="H40" i="555"/>
  <c r="F40" i="555"/>
  <c r="D40" i="555"/>
  <c r="H39" i="555"/>
  <c r="F39" i="555"/>
  <c r="D39" i="555"/>
  <c r="H37" i="555"/>
  <c r="F37" i="555"/>
  <c r="D37" i="555"/>
  <c r="H36" i="555"/>
  <c r="H35" i="555"/>
  <c r="I34" i="555"/>
  <c r="I38" i="555"/>
  <c r="I41" i="555"/>
  <c r="F36" i="555"/>
  <c r="D36" i="555"/>
  <c r="F35" i="555"/>
  <c r="D35" i="555"/>
  <c r="H29" i="555"/>
  <c r="F29" i="555"/>
  <c r="H28" i="555"/>
  <c r="F28" i="555"/>
  <c r="H27" i="555"/>
  <c r="F27" i="555"/>
  <c r="H26" i="555"/>
  <c r="F26" i="555"/>
  <c r="H25" i="555"/>
  <c r="F25" i="555"/>
  <c r="H18" i="555"/>
  <c r="F18" i="555"/>
  <c r="D18" i="555"/>
  <c r="H17" i="555"/>
  <c r="F17" i="555"/>
  <c r="D17" i="555"/>
  <c r="H16" i="555"/>
  <c r="F16" i="555"/>
  <c r="D16" i="555"/>
  <c r="H15" i="555"/>
  <c r="F15" i="555"/>
  <c r="D15" i="555"/>
  <c r="H14" i="555"/>
  <c r="F14" i="555"/>
  <c r="D14" i="555"/>
  <c r="H13" i="555"/>
  <c r="F13" i="555"/>
  <c r="D13" i="555"/>
  <c r="H12" i="555"/>
  <c r="F12" i="555"/>
  <c r="D12" i="555"/>
  <c r="H11" i="555"/>
  <c r="F11" i="555"/>
  <c r="D11" i="555"/>
  <c r="D10" i="555"/>
  <c r="D9" i="555"/>
  <c r="D8" i="555"/>
  <c r="I6" i="555"/>
  <c r="C5" i="555"/>
  <c r="B5" i="555"/>
  <c r="F4" i="555"/>
  <c r="A3" i="555"/>
  <c r="D55" i="516"/>
  <c r="H49" i="516"/>
  <c r="D49" i="516"/>
  <c r="H48" i="516"/>
  <c r="D48" i="516"/>
  <c r="H40" i="516"/>
  <c r="F40" i="516"/>
  <c r="D40" i="516"/>
  <c r="H39" i="516"/>
  <c r="F39" i="516"/>
  <c r="D39" i="516"/>
  <c r="H37" i="516"/>
  <c r="F37" i="516"/>
  <c r="D37" i="516"/>
  <c r="H36" i="516"/>
  <c r="F36" i="516"/>
  <c r="D36" i="516"/>
  <c r="H35" i="516"/>
  <c r="F35" i="516"/>
  <c r="D35" i="516"/>
  <c r="H29" i="516"/>
  <c r="F29" i="516"/>
  <c r="H28" i="516"/>
  <c r="F28" i="516"/>
  <c r="H27" i="516"/>
  <c r="F27" i="516"/>
  <c r="H26" i="516"/>
  <c r="F26" i="516"/>
  <c r="H25" i="516"/>
  <c r="F25" i="516"/>
  <c r="H18" i="516"/>
  <c r="F18" i="516"/>
  <c r="D18" i="516"/>
  <c r="H17" i="516"/>
  <c r="F17" i="516"/>
  <c r="D17" i="516"/>
  <c r="H16" i="516"/>
  <c r="F16" i="516"/>
  <c r="D16" i="516"/>
  <c r="H15" i="516"/>
  <c r="F15" i="516"/>
  <c r="D15" i="516"/>
  <c r="H14" i="516"/>
  <c r="F14" i="516"/>
  <c r="D14" i="516"/>
  <c r="H13" i="516"/>
  <c r="F13" i="516"/>
  <c r="D13" i="516"/>
  <c r="H12" i="516"/>
  <c r="F12" i="516"/>
  <c r="D12" i="516"/>
  <c r="H11" i="516"/>
  <c r="F11" i="516"/>
  <c r="D11" i="516"/>
  <c r="D10" i="516"/>
  <c r="D9" i="516"/>
  <c r="D8" i="516"/>
  <c r="I6" i="516"/>
  <c r="C5" i="516"/>
  <c r="B5" i="516"/>
  <c r="F4" i="516"/>
  <c r="A3" i="516"/>
  <c r="D55" i="553"/>
  <c r="H49" i="553"/>
  <c r="D49" i="553"/>
  <c r="H48" i="553"/>
  <c r="D48" i="553"/>
  <c r="H47" i="553"/>
  <c r="D47" i="553"/>
  <c r="H46" i="553"/>
  <c r="D46" i="553"/>
  <c r="H40" i="553"/>
  <c r="F40" i="553"/>
  <c r="D40" i="553"/>
  <c r="H39" i="553"/>
  <c r="I38" i="553"/>
  <c r="F39" i="553"/>
  <c r="D39" i="553"/>
  <c r="H37" i="553"/>
  <c r="F37" i="553"/>
  <c r="D37" i="553"/>
  <c r="H36" i="553"/>
  <c r="H35" i="553"/>
  <c r="I34" i="553"/>
  <c r="I41" i="553"/>
  <c r="F36" i="553"/>
  <c r="D36" i="553"/>
  <c r="F35" i="553"/>
  <c r="D35" i="553"/>
  <c r="H29" i="553"/>
  <c r="F29" i="553"/>
  <c r="H28" i="553"/>
  <c r="F28" i="553"/>
  <c r="H27" i="553"/>
  <c r="F27" i="553"/>
  <c r="H26" i="553"/>
  <c r="F26" i="553"/>
  <c r="H25" i="553"/>
  <c r="F25" i="553"/>
  <c r="H24" i="553"/>
  <c r="F24" i="553"/>
  <c r="H18" i="553"/>
  <c r="F18" i="553"/>
  <c r="D18" i="553"/>
  <c r="H17" i="553"/>
  <c r="F17" i="553"/>
  <c r="D17" i="553"/>
  <c r="H16" i="553"/>
  <c r="F16" i="553"/>
  <c r="D16" i="553"/>
  <c r="H15" i="553"/>
  <c r="F15" i="553"/>
  <c r="D15" i="553"/>
  <c r="H14" i="553"/>
  <c r="F14" i="553"/>
  <c r="D14" i="553"/>
  <c r="H13" i="553"/>
  <c r="F13" i="553"/>
  <c r="D13" i="553"/>
  <c r="H12" i="553"/>
  <c r="F12" i="553"/>
  <c r="D12" i="553"/>
  <c r="H11" i="553"/>
  <c r="F11" i="553"/>
  <c r="D11" i="553"/>
  <c r="H10" i="553"/>
  <c r="F10" i="553"/>
  <c r="D10" i="553"/>
  <c r="D9" i="553"/>
  <c r="D8" i="553"/>
  <c r="I6" i="553"/>
  <c r="C5" i="553"/>
  <c r="B5" i="553"/>
  <c r="F4" i="553"/>
  <c r="A3" i="553"/>
  <c r="D52" i="552"/>
  <c r="H46" i="552"/>
  <c r="D46" i="552"/>
  <c r="H45" i="552"/>
  <c r="D45" i="552"/>
  <c r="H44" i="552"/>
  <c r="D44" i="552"/>
  <c r="H43" i="552"/>
  <c r="D43" i="552"/>
  <c r="H37" i="552"/>
  <c r="F37" i="552"/>
  <c r="D37" i="552"/>
  <c r="H36" i="552"/>
  <c r="I35" i="552"/>
  <c r="F36" i="552"/>
  <c r="D36" i="552"/>
  <c r="H34" i="552"/>
  <c r="F34" i="552"/>
  <c r="H33" i="552"/>
  <c r="F33" i="552"/>
  <c r="D33" i="552"/>
  <c r="H32" i="552"/>
  <c r="I31" i="552"/>
  <c r="F32" i="552"/>
  <c r="D32" i="552"/>
  <c r="H26" i="552"/>
  <c r="F26" i="552"/>
  <c r="H25" i="552"/>
  <c r="F25" i="552"/>
  <c r="H24" i="552"/>
  <c r="F24" i="552"/>
  <c r="H23" i="552"/>
  <c r="F23" i="552"/>
  <c r="H22" i="552"/>
  <c r="F22" i="552"/>
  <c r="H16" i="552"/>
  <c r="F16" i="552"/>
  <c r="D16" i="552"/>
  <c r="H15" i="552"/>
  <c r="F15" i="552"/>
  <c r="D15" i="552"/>
  <c r="H14" i="552"/>
  <c r="F14" i="552"/>
  <c r="D14" i="552"/>
  <c r="H13" i="552"/>
  <c r="F13" i="552"/>
  <c r="D13" i="552"/>
  <c r="H12" i="552"/>
  <c r="F12" i="552"/>
  <c r="D12" i="552"/>
  <c r="H10" i="552"/>
  <c r="F10" i="552"/>
  <c r="D10" i="552"/>
  <c r="H9" i="552"/>
  <c r="F9" i="552"/>
  <c r="D9" i="552"/>
  <c r="D8" i="552"/>
  <c r="I6" i="552"/>
  <c r="C5" i="552"/>
  <c r="B5" i="552"/>
  <c r="F4" i="552"/>
  <c r="A3" i="552"/>
  <c r="D52" i="551"/>
  <c r="H46" i="551"/>
  <c r="D46" i="551"/>
  <c r="H45" i="551"/>
  <c r="D45" i="551"/>
  <c r="H44" i="551"/>
  <c r="D44" i="551"/>
  <c r="H43" i="551"/>
  <c r="D43" i="551"/>
  <c r="H37" i="551"/>
  <c r="F37" i="551"/>
  <c r="D37" i="551"/>
  <c r="H36" i="551"/>
  <c r="I35" i="551"/>
  <c r="F36" i="551"/>
  <c r="D36" i="551"/>
  <c r="H34" i="551"/>
  <c r="F34" i="551"/>
  <c r="H33" i="551"/>
  <c r="F33" i="551"/>
  <c r="D33" i="551"/>
  <c r="H32" i="551"/>
  <c r="I31" i="551"/>
  <c r="I38" i="551"/>
  <c r="F32" i="551"/>
  <c r="D32" i="551"/>
  <c r="H26" i="551"/>
  <c r="F26" i="551"/>
  <c r="H25" i="551"/>
  <c r="F25" i="551"/>
  <c r="H24" i="551"/>
  <c r="F24" i="551"/>
  <c r="H23" i="551"/>
  <c r="F23" i="551"/>
  <c r="H22" i="551"/>
  <c r="I38" i="516"/>
  <c r="I34" i="516"/>
  <c r="I34" i="557"/>
  <c r="I41" i="557"/>
  <c r="AB87" i="721"/>
  <c r="F22" i="551"/>
  <c r="H16" i="551"/>
  <c r="F16" i="551"/>
  <c r="D16" i="551"/>
  <c r="H15" i="551"/>
  <c r="F15" i="551"/>
  <c r="D15" i="551"/>
  <c r="H14" i="551"/>
  <c r="F14" i="551"/>
  <c r="D14" i="551"/>
  <c r="H13" i="551"/>
  <c r="F13" i="551"/>
  <c r="D13" i="551"/>
  <c r="H12" i="551"/>
  <c r="F12" i="551"/>
  <c r="D12" i="551"/>
  <c r="H10" i="551"/>
  <c r="F10" i="551"/>
  <c r="D10" i="551"/>
  <c r="D9" i="551"/>
  <c r="D8" i="551"/>
  <c r="I6" i="551"/>
  <c r="C5" i="551"/>
  <c r="B5" i="551"/>
  <c r="F4" i="551"/>
  <c r="A3" i="551"/>
  <c r="D55" i="550"/>
  <c r="H49" i="550"/>
  <c r="D49" i="550"/>
  <c r="H48" i="550"/>
  <c r="D48" i="550"/>
  <c r="H47" i="550"/>
  <c r="D47" i="550"/>
  <c r="H46" i="550"/>
  <c r="D46" i="550"/>
  <c r="H40" i="550"/>
  <c r="F40" i="550"/>
  <c r="D40" i="550"/>
  <c r="H39" i="550"/>
  <c r="I38" i="550"/>
  <c r="F39" i="550"/>
  <c r="D39" i="550"/>
  <c r="H37" i="550"/>
  <c r="F37" i="550"/>
  <c r="D37" i="550"/>
  <c r="H36" i="550"/>
  <c r="H35" i="550"/>
  <c r="I34" i="550"/>
  <c r="I41" i="550"/>
  <c r="F36" i="550"/>
  <c r="D36" i="550"/>
  <c r="F35" i="550"/>
  <c r="D35" i="550"/>
  <c r="H29" i="550"/>
  <c r="F29" i="550"/>
  <c r="H28" i="550"/>
  <c r="F28" i="550"/>
  <c r="H27" i="550"/>
  <c r="F27" i="550"/>
  <c r="H26" i="550"/>
  <c r="F26" i="550"/>
  <c r="H25" i="550"/>
  <c r="F25" i="550"/>
  <c r="H24" i="550"/>
  <c r="AB91" i="720"/>
  <c r="AB91" i="721"/>
  <c r="F24" i="550"/>
  <c r="AB84" i="721"/>
  <c r="AB84" i="720"/>
  <c r="H18" i="550"/>
  <c r="F18" i="550"/>
  <c r="D18" i="550"/>
  <c r="H17" i="550"/>
  <c r="F17" i="550"/>
  <c r="D17" i="550"/>
  <c r="H16" i="550"/>
  <c r="F16" i="550"/>
  <c r="D16" i="550"/>
  <c r="H15" i="550"/>
  <c r="F15" i="550"/>
  <c r="D15" i="550"/>
  <c r="H14" i="550"/>
  <c r="F14" i="550"/>
  <c r="D14" i="550"/>
  <c r="H13" i="550"/>
  <c r="F13" i="550"/>
  <c r="D13" i="550"/>
  <c r="H12" i="550"/>
  <c r="F12" i="550"/>
  <c r="D12" i="550"/>
  <c r="H11" i="550"/>
  <c r="F11" i="550"/>
  <c r="D11" i="550"/>
  <c r="H10" i="550"/>
  <c r="F10" i="550"/>
  <c r="D10" i="550"/>
  <c r="D9" i="550"/>
  <c r="D8" i="550"/>
  <c r="I6" i="550"/>
  <c r="C5" i="550"/>
  <c r="B5" i="550"/>
  <c r="F4" i="550"/>
  <c r="A3" i="550"/>
  <c r="D55" i="478"/>
  <c r="H49" i="478"/>
  <c r="D49" i="478"/>
  <c r="H48" i="478"/>
  <c r="D48" i="478"/>
  <c r="H47" i="478"/>
  <c r="D47" i="478"/>
  <c r="H46" i="478"/>
  <c r="D46" i="478"/>
  <c r="H40" i="478"/>
  <c r="F40" i="478"/>
  <c r="D40" i="478"/>
  <c r="H39" i="478"/>
  <c r="F39" i="478"/>
  <c r="D39" i="478"/>
  <c r="H37" i="478"/>
  <c r="F37" i="478"/>
  <c r="D37" i="478"/>
  <c r="H36" i="478"/>
  <c r="H35" i="478"/>
  <c r="I34" i="478"/>
  <c r="F36" i="478"/>
  <c r="D36" i="478"/>
  <c r="F35" i="478"/>
  <c r="D35" i="478"/>
  <c r="H29" i="478"/>
  <c r="F29" i="478"/>
  <c r="H28" i="478"/>
  <c r="F28" i="478"/>
  <c r="H27" i="478"/>
  <c r="F27" i="478"/>
  <c r="H26" i="478"/>
  <c r="F26" i="478"/>
  <c r="H25" i="478"/>
  <c r="F25" i="478"/>
  <c r="H24" i="478"/>
  <c r="F24" i="478"/>
  <c r="H18" i="478"/>
  <c r="F18" i="478"/>
  <c r="D18" i="478"/>
  <c r="H17" i="478"/>
  <c r="F17" i="478"/>
  <c r="D17" i="478"/>
  <c r="H16" i="478"/>
  <c r="F16" i="478"/>
  <c r="D16" i="478"/>
  <c r="H15" i="478"/>
  <c r="F15" i="478"/>
  <c r="D15" i="478"/>
  <c r="H14" i="478"/>
  <c r="F14" i="478"/>
  <c r="D14" i="478"/>
  <c r="H13" i="478"/>
  <c r="F13" i="478"/>
  <c r="D13" i="478"/>
  <c r="H12" i="478"/>
  <c r="F12" i="478"/>
  <c r="D12" i="478"/>
  <c r="H11" i="478"/>
  <c r="F11" i="478"/>
  <c r="D11" i="478"/>
  <c r="H10" i="478"/>
  <c r="F10" i="478"/>
  <c r="D10" i="478"/>
  <c r="D9" i="478"/>
  <c r="I38" i="478"/>
  <c r="D8" i="478"/>
  <c r="I6" i="478"/>
  <c r="C5" i="478"/>
  <c r="B5" i="478"/>
  <c r="F4" i="478"/>
  <c r="A3" i="478"/>
  <c r="D55" i="228"/>
  <c r="H49" i="228"/>
  <c r="D49" i="228"/>
  <c r="H48" i="228"/>
  <c r="D48" i="228"/>
  <c r="H47" i="228"/>
  <c r="D47" i="228"/>
  <c r="H46" i="228"/>
  <c r="D46" i="228"/>
  <c r="H40" i="228"/>
  <c r="F40" i="228"/>
  <c r="D40" i="228"/>
  <c r="H39" i="228"/>
  <c r="F39" i="228"/>
  <c r="D39" i="228"/>
  <c r="H37" i="228"/>
  <c r="F37" i="228"/>
  <c r="D37" i="228"/>
  <c r="H36" i="228"/>
  <c r="H35" i="228"/>
  <c r="I34" i="228"/>
  <c r="I38" i="228"/>
  <c r="I41" i="228"/>
  <c r="F36" i="228"/>
  <c r="D36" i="228"/>
  <c r="F35" i="228"/>
  <c r="D35" i="228"/>
  <c r="H29" i="228"/>
  <c r="F29" i="228"/>
  <c r="H28" i="228"/>
  <c r="F28" i="228"/>
  <c r="H27" i="228"/>
  <c r="F27" i="228"/>
  <c r="H26" i="228"/>
  <c r="F26" i="228"/>
  <c r="H25" i="228"/>
  <c r="F25" i="228"/>
  <c r="H18" i="228"/>
  <c r="F18" i="228"/>
  <c r="D18" i="228"/>
  <c r="H17" i="228"/>
  <c r="F17" i="228"/>
  <c r="D17" i="228"/>
  <c r="H16" i="228"/>
  <c r="F16" i="228"/>
  <c r="D16" i="228"/>
  <c r="H15" i="228"/>
  <c r="F15" i="228"/>
  <c r="D15" i="228"/>
  <c r="H14" i="228"/>
  <c r="F14" i="228"/>
  <c r="D14" i="228"/>
  <c r="D13" i="228"/>
  <c r="D12" i="228"/>
  <c r="D11" i="228"/>
  <c r="D10" i="228"/>
  <c r="D9" i="228"/>
  <c r="D8" i="228"/>
  <c r="I6" i="228"/>
  <c r="C5" i="228"/>
  <c r="B5" i="228"/>
  <c r="F4" i="228"/>
  <c r="A3" i="228"/>
  <c r="D55" i="548"/>
  <c r="H49" i="548"/>
  <c r="D49" i="548"/>
  <c r="H48" i="548"/>
  <c r="D48" i="548"/>
  <c r="H47" i="548"/>
  <c r="D47" i="548"/>
  <c r="H46" i="548"/>
  <c r="D46" i="548"/>
  <c r="H40" i="548"/>
  <c r="F40" i="548"/>
  <c r="D40" i="548"/>
  <c r="H39" i="548"/>
  <c r="F39" i="548"/>
  <c r="D39" i="548"/>
  <c r="H37" i="548"/>
  <c r="F37" i="548"/>
  <c r="D37" i="548"/>
  <c r="H36" i="548"/>
  <c r="H35" i="548"/>
  <c r="I34" i="548"/>
  <c r="I38" i="548"/>
  <c r="I41" i="548"/>
  <c r="F36" i="548"/>
  <c r="D36" i="548"/>
  <c r="F35" i="548"/>
  <c r="D35" i="548"/>
  <c r="H29" i="548"/>
  <c r="F29" i="548"/>
  <c r="H28" i="548"/>
  <c r="F28" i="548"/>
  <c r="H27" i="548"/>
  <c r="F27" i="548"/>
  <c r="H26" i="548"/>
  <c r="F26" i="548"/>
  <c r="H25" i="548"/>
  <c r="F25" i="548"/>
  <c r="H18" i="548"/>
  <c r="F18" i="548"/>
  <c r="D18" i="548"/>
  <c r="H17" i="548"/>
  <c r="F17" i="548"/>
  <c r="D17" i="548"/>
  <c r="H16" i="548"/>
  <c r="F16" i="548"/>
  <c r="D16" i="548"/>
  <c r="H15" i="548"/>
  <c r="F15" i="548"/>
  <c r="D15" i="548"/>
  <c r="H14" i="548"/>
  <c r="F14" i="548"/>
  <c r="D14" i="548"/>
  <c r="D13" i="548"/>
  <c r="D12" i="548"/>
  <c r="D11" i="548"/>
  <c r="D10" i="548"/>
  <c r="D9" i="548"/>
  <c r="D8" i="548"/>
  <c r="I6" i="548"/>
  <c r="C5" i="548"/>
  <c r="B5" i="548"/>
  <c r="F4" i="548"/>
  <c r="A3" i="548"/>
  <c r="D55" i="227"/>
  <c r="H49" i="227"/>
  <c r="D49" i="227"/>
  <c r="H48" i="227"/>
  <c r="D48" i="227"/>
  <c r="H47" i="227"/>
  <c r="D47" i="227"/>
  <c r="H46" i="227"/>
  <c r="D46" i="227"/>
  <c r="H40" i="227"/>
  <c r="F40" i="227"/>
  <c r="D40" i="227"/>
  <c r="H39" i="227"/>
  <c r="F39" i="227"/>
  <c r="D39" i="227"/>
  <c r="H37" i="227"/>
  <c r="F37" i="227"/>
  <c r="D37" i="227"/>
  <c r="H36" i="227"/>
  <c r="F36" i="227"/>
  <c r="D36" i="227"/>
  <c r="H35" i="227"/>
  <c r="F35" i="227"/>
  <c r="D35" i="227"/>
  <c r="H29" i="227"/>
  <c r="F29" i="227"/>
  <c r="H28" i="227"/>
  <c r="F28" i="227"/>
  <c r="H27" i="227"/>
  <c r="F27" i="227"/>
  <c r="H26" i="227"/>
  <c r="F26" i="227"/>
  <c r="H25" i="227"/>
  <c r="F25" i="227"/>
  <c r="H18" i="227"/>
  <c r="F18" i="227"/>
  <c r="D18" i="227"/>
  <c r="H17" i="227"/>
  <c r="F17" i="227"/>
  <c r="D17" i="227"/>
  <c r="H16" i="227"/>
  <c r="F16" i="227"/>
  <c r="D16" i="227"/>
  <c r="H15" i="227"/>
  <c r="F15" i="227"/>
  <c r="D15" i="227"/>
  <c r="H14" i="227"/>
  <c r="F14" i="227"/>
  <c r="D14" i="227"/>
  <c r="D13" i="227"/>
  <c r="D12" i="227"/>
  <c r="D11" i="227"/>
  <c r="D10" i="227"/>
  <c r="D9" i="227"/>
  <c r="D8" i="227"/>
  <c r="I6" i="227"/>
  <c r="C5" i="227"/>
  <c r="B5" i="227"/>
  <c r="F4" i="227"/>
  <c r="A3" i="227"/>
  <c r="D52" i="549"/>
  <c r="H46" i="549"/>
  <c r="D46" i="549"/>
  <c r="H45" i="549"/>
  <c r="D45" i="549"/>
  <c r="H44" i="549"/>
  <c r="D44" i="549"/>
  <c r="H43" i="549"/>
  <c r="D43" i="549"/>
  <c r="H37" i="549"/>
  <c r="F37" i="549"/>
  <c r="D37" i="549"/>
  <c r="H36" i="549"/>
  <c r="F36" i="549"/>
  <c r="D36" i="549"/>
  <c r="H34" i="549"/>
  <c r="F34" i="549"/>
  <c r="H33" i="549"/>
  <c r="F33" i="549"/>
  <c r="D33" i="549"/>
  <c r="H32" i="549"/>
  <c r="F32" i="549"/>
  <c r="D32" i="549"/>
  <c r="H26" i="549"/>
  <c r="F26" i="549"/>
  <c r="H25" i="549"/>
  <c r="F25" i="549"/>
  <c r="H24" i="549"/>
  <c r="I35" i="549"/>
  <c r="I38" i="227"/>
  <c r="F24" i="549"/>
  <c r="H16" i="549"/>
  <c r="F16" i="549"/>
  <c r="D16" i="549"/>
  <c r="H15" i="549"/>
  <c r="F15" i="549"/>
  <c r="D15" i="549"/>
  <c r="H14" i="549"/>
  <c r="F14" i="549"/>
  <c r="D14" i="549"/>
  <c r="H13" i="549"/>
  <c r="F13" i="549"/>
  <c r="D13" i="549"/>
  <c r="D12" i="549"/>
  <c r="D11" i="549"/>
  <c r="D10" i="549"/>
  <c r="D9" i="549"/>
  <c r="D8" i="549"/>
  <c r="I6" i="549"/>
  <c r="C5" i="549"/>
  <c r="B5" i="549"/>
  <c r="F4" i="549"/>
  <c r="A3" i="549"/>
  <c r="D55" i="224"/>
  <c r="H49" i="224"/>
  <c r="D49" i="224"/>
  <c r="H48" i="224"/>
  <c r="D48" i="224"/>
  <c r="H47" i="224"/>
  <c r="D47" i="224"/>
  <c r="H46" i="224"/>
  <c r="D46" i="224"/>
  <c r="H40" i="224"/>
  <c r="F40" i="224"/>
  <c r="D40" i="224"/>
  <c r="H39" i="224"/>
  <c r="F39" i="224"/>
  <c r="D39" i="224"/>
  <c r="H37" i="224"/>
  <c r="F37" i="224"/>
  <c r="D37" i="224"/>
  <c r="H36" i="224"/>
  <c r="F36" i="224"/>
  <c r="D36" i="224"/>
  <c r="H35" i="224"/>
  <c r="I34" i="224"/>
  <c r="F35" i="224"/>
  <c r="D35" i="224"/>
  <c r="H29" i="224"/>
  <c r="F29" i="224"/>
  <c r="H28" i="224"/>
  <c r="F28" i="224"/>
  <c r="H27" i="224"/>
  <c r="F27" i="224"/>
  <c r="H26" i="224"/>
  <c r="F26" i="224"/>
  <c r="H25" i="224"/>
  <c r="F25" i="224"/>
  <c r="H18" i="224"/>
  <c r="F18" i="224"/>
  <c r="D18" i="224"/>
  <c r="H17" i="224"/>
  <c r="F17" i="224"/>
  <c r="D17" i="224"/>
  <c r="H16" i="224"/>
  <c r="F16" i="224"/>
  <c r="D16" i="224"/>
  <c r="H15" i="224"/>
  <c r="F15" i="224"/>
  <c r="D15" i="224"/>
  <c r="H14" i="224"/>
  <c r="F14" i="224"/>
  <c r="D14" i="224"/>
  <c r="D13" i="224"/>
  <c r="D12" i="224"/>
  <c r="D11" i="224"/>
  <c r="D10" i="224"/>
  <c r="D9" i="224"/>
  <c r="D8" i="224"/>
  <c r="I6" i="224"/>
  <c r="C5" i="224"/>
  <c r="B5" i="224"/>
  <c r="F4" i="224"/>
  <c r="A3" i="224"/>
  <c r="D55" i="464"/>
  <c r="H49" i="464"/>
  <c r="D49" i="464"/>
  <c r="H48" i="464"/>
  <c r="D48" i="464"/>
  <c r="H47" i="464"/>
  <c r="D47" i="464"/>
  <c r="H46" i="464"/>
  <c r="D46" i="464"/>
  <c r="H40" i="464"/>
  <c r="H39" i="464"/>
  <c r="I38" i="464"/>
  <c r="F40" i="464"/>
  <c r="D40" i="464"/>
  <c r="F39" i="464"/>
  <c r="D39" i="464"/>
  <c r="H37" i="464"/>
  <c r="F37" i="464"/>
  <c r="D37" i="464"/>
  <c r="H36" i="464"/>
  <c r="F36" i="464"/>
  <c r="G35" i="464"/>
  <c r="F35" i="464"/>
  <c r="D35" i="464"/>
  <c r="H35" i="464"/>
  <c r="I34" i="464"/>
  <c r="I41" i="464"/>
  <c r="H29" i="464"/>
  <c r="F29" i="464"/>
  <c r="H28" i="464"/>
  <c r="F28" i="464"/>
  <c r="H27" i="464"/>
  <c r="F27" i="464"/>
  <c r="H26" i="464"/>
  <c r="F26" i="464"/>
  <c r="H18" i="464"/>
  <c r="F18" i="464"/>
  <c r="D18" i="464"/>
  <c r="H17" i="464"/>
  <c r="F17" i="464"/>
  <c r="D17" i="464"/>
  <c r="H16" i="464"/>
  <c r="F16" i="464"/>
  <c r="D16" i="464"/>
  <c r="H15" i="464"/>
  <c r="F15" i="464"/>
  <c r="D15" i="464"/>
  <c r="H14" i="464"/>
  <c r="F14" i="464"/>
  <c r="D14" i="464"/>
  <c r="H13" i="464"/>
  <c r="F13" i="464"/>
  <c r="D13" i="464"/>
  <c r="H12" i="464"/>
  <c r="F12" i="464"/>
  <c r="D12" i="464"/>
  <c r="H11" i="464"/>
  <c r="F11" i="464"/>
  <c r="D11" i="464"/>
  <c r="H10" i="464"/>
  <c r="F10" i="464"/>
  <c r="D10" i="464"/>
  <c r="D9" i="464"/>
  <c r="D8" i="464"/>
  <c r="I6" i="464"/>
  <c r="C5" i="464"/>
  <c r="B5" i="464"/>
  <c r="F4" i="464"/>
  <c r="A3" i="464"/>
  <c r="D55" i="463"/>
  <c r="H49" i="463"/>
  <c r="D49" i="463"/>
  <c r="H48" i="463"/>
  <c r="D48" i="463"/>
  <c r="H47" i="463"/>
  <c r="D47" i="463"/>
  <c r="H46" i="463"/>
  <c r="D46" i="463"/>
  <c r="H40" i="463"/>
  <c r="F40" i="463"/>
  <c r="D40" i="463"/>
  <c r="H39" i="463"/>
  <c r="I38" i="463"/>
  <c r="F39" i="463"/>
  <c r="D39" i="463"/>
  <c r="H37" i="463"/>
  <c r="F37" i="463"/>
  <c r="D37" i="463"/>
  <c r="H36" i="463"/>
  <c r="F36" i="463"/>
  <c r="G35" i="463"/>
  <c r="F35" i="463"/>
  <c r="D35" i="463"/>
  <c r="H29" i="463"/>
  <c r="F29" i="463"/>
  <c r="H28" i="463"/>
  <c r="F28" i="463"/>
  <c r="H27" i="463"/>
  <c r="F27" i="463"/>
  <c r="H26" i="463"/>
  <c r="F26" i="463"/>
  <c r="H35" i="463"/>
  <c r="I34" i="463"/>
  <c r="I41" i="463"/>
  <c r="H18" i="463"/>
  <c r="F18" i="463"/>
  <c r="D18" i="463"/>
  <c r="H17" i="463"/>
  <c r="F17" i="463"/>
  <c r="D17" i="463"/>
  <c r="H16" i="463"/>
  <c r="F16" i="463"/>
  <c r="D16" i="463"/>
  <c r="H15" i="463"/>
  <c r="F15" i="463"/>
  <c r="D15" i="463"/>
  <c r="H14" i="463"/>
  <c r="F14" i="463"/>
  <c r="D14" i="463"/>
  <c r="H13" i="463"/>
  <c r="F13" i="463"/>
  <c r="D13" i="463"/>
  <c r="H12" i="463"/>
  <c r="F12" i="463"/>
  <c r="D12" i="463"/>
  <c r="H11" i="463"/>
  <c r="F11" i="463"/>
  <c r="D11" i="463"/>
  <c r="H10" i="463"/>
  <c r="F10" i="463"/>
  <c r="D10" i="463"/>
  <c r="E9" i="463"/>
  <c r="D9" i="463"/>
  <c r="D8" i="463"/>
  <c r="I6" i="463"/>
  <c r="C5" i="463"/>
  <c r="B5" i="463"/>
  <c r="F4" i="463"/>
  <c r="A3" i="463"/>
  <c r="D55" i="462"/>
  <c r="H49" i="462"/>
  <c r="D49" i="462"/>
  <c r="H48" i="462"/>
  <c r="D48" i="462"/>
  <c r="H47" i="462"/>
  <c r="D47" i="462"/>
  <c r="H46" i="462"/>
  <c r="D46" i="462"/>
  <c r="H40" i="462"/>
  <c r="F40" i="462"/>
  <c r="D40" i="462"/>
  <c r="H39" i="462"/>
  <c r="F39" i="462"/>
  <c r="D39" i="462"/>
  <c r="H37" i="462"/>
  <c r="F37" i="462"/>
  <c r="D37" i="462"/>
  <c r="H36" i="462"/>
  <c r="F36" i="462"/>
  <c r="G35" i="462"/>
  <c r="F35" i="462"/>
  <c r="D35" i="462"/>
  <c r="H35" i="462"/>
  <c r="I34" i="462"/>
  <c r="I38" i="462"/>
  <c r="I41" i="462"/>
  <c r="H29" i="462"/>
  <c r="F29" i="462"/>
  <c r="H28" i="462"/>
  <c r="F28" i="462"/>
  <c r="H27" i="462"/>
  <c r="F27" i="462"/>
  <c r="H26" i="462"/>
  <c r="F26" i="462"/>
  <c r="H18" i="462"/>
  <c r="F18" i="462"/>
  <c r="D18" i="462"/>
  <c r="H17" i="462"/>
  <c r="F17" i="462"/>
  <c r="D17" i="462"/>
  <c r="H16" i="462"/>
  <c r="F16" i="462"/>
  <c r="D16" i="462"/>
  <c r="H15" i="462"/>
  <c r="F15" i="462"/>
  <c r="D15" i="462"/>
  <c r="H14" i="462"/>
  <c r="F14" i="462"/>
  <c r="D14" i="462"/>
  <c r="H13" i="462"/>
  <c r="F13" i="462"/>
  <c r="D13" i="462"/>
  <c r="H12" i="462"/>
  <c r="F12" i="462"/>
  <c r="D12" i="462"/>
  <c r="H11" i="462"/>
  <c r="F11" i="462"/>
  <c r="D11" i="462"/>
  <c r="H10" i="462"/>
  <c r="F10" i="462"/>
  <c r="D10" i="462"/>
  <c r="E9" i="462"/>
  <c r="D9" i="462"/>
  <c r="D8" i="462"/>
  <c r="I6" i="462"/>
  <c r="C5" i="462"/>
  <c r="B5" i="462"/>
  <c r="F4" i="462"/>
  <c r="A3" i="462"/>
  <c r="D55" i="461"/>
  <c r="H49" i="461"/>
  <c r="D49" i="461"/>
  <c r="H48" i="461"/>
  <c r="D48" i="461"/>
  <c r="H47" i="461"/>
  <c r="D47" i="461"/>
  <c r="H46" i="461"/>
  <c r="D46" i="461"/>
  <c r="H40" i="461"/>
  <c r="F40" i="461"/>
  <c r="D40" i="461"/>
  <c r="H39" i="461"/>
  <c r="I38" i="461"/>
  <c r="F39" i="461"/>
  <c r="D39" i="461"/>
  <c r="H37" i="461"/>
  <c r="F37" i="461"/>
  <c r="D37" i="461"/>
  <c r="H36" i="461"/>
  <c r="F36" i="461"/>
  <c r="G35" i="461"/>
  <c r="F35" i="461"/>
  <c r="D35" i="461"/>
  <c r="H29" i="461"/>
  <c r="F29" i="461"/>
  <c r="H28" i="461"/>
  <c r="F28" i="461"/>
  <c r="H27" i="461"/>
  <c r="F27" i="461"/>
  <c r="H26" i="461"/>
  <c r="F26" i="461"/>
  <c r="H18" i="461"/>
  <c r="F18" i="461"/>
  <c r="D18" i="461"/>
  <c r="H17" i="461"/>
  <c r="F17" i="461"/>
  <c r="D17" i="461"/>
  <c r="H16" i="461"/>
  <c r="F16" i="461"/>
  <c r="D16" i="461"/>
  <c r="H15" i="461"/>
  <c r="F15" i="461"/>
  <c r="D15" i="461"/>
  <c r="H14" i="461"/>
  <c r="F14" i="461"/>
  <c r="D14" i="461"/>
  <c r="H13" i="461"/>
  <c r="F13" i="461"/>
  <c r="D13" i="461"/>
  <c r="H12" i="461"/>
  <c r="F12" i="461"/>
  <c r="D12" i="461"/>
  <c r="H11" i="461"/>
  <c r="F11" i="461"/>
  <c r="D11" i="461"/>
  <c r="H10" i="461"/>
  <c r="F10" i="461"/>
  <c r="D10" i="461"/>
  <c r="E9" i="461"/>
  <c r="D9" i="461"/>
  <c r="D8" i="461"/>
  <c r="I6" i="461"/>
  <c r="C5" i="461"/>
  <c r="B5" i="461"/>
  <c r="F4" i="461"/>
  <c r="A3" i="461"/>
  <c r="D55" i="460"/>
  <c r="H49" i="460"/>
  <c r="D49" i="460"/>
  <c r="H48" i="460"/>
  <c r="D48" i="460"/>
  <c r="H47" i="460"/>
  <c r="D47" i="460"/>
  <c r="H46" i="460"/>
  <c r="D46" i="460"/>
  <c r="H40" i="460"/>
  <c r="H39" i="460"/>
  <c r="I38" i="460"/>
  <c r="F40" i="460"/>
  <c r="D40" i="460"/>
  <c r="F39" i="460"/>
  <c r="D39" i="460"/>
  <c r="H37" i="460"/>
  <c r="F37" i="460"/>
  <c r="D37" i="460"/>
  <c r="H36" i="460"/>
  <c r="F36" i="460"/>
  <c r="F35" i="460"/>
  <c r="D35" i="460"/>
  <c r="H29" i="460"/>
  <c r="F29" i="460"/>
  <c r="H28" i="460"/>
  <c r="F28" i="460"/>
  <c r="H27" i="460"/>
  <c r="F27" i="460"/>
  <c r="H26" i="460"/>
  <c r="F26" i="460"/>
  <c r="H18" i="460"/>
  <c r="F18" i="460"/>
  <c r="D18" i="460"/>
  <c r="H17" i="460"/>
  <c r="F17" i="460"/>
  <c r="D17" i="460"/>
  <c r="H16" i="460"/>
  <c r="F16" i="460"/>
  <c r="D16" i="460"/>
  <c r="H15" i="460"/>
  <c r="F15" i="460"/>
  <c r="D15" i="460"/>
  <c r="H14" i="460"/>
  <c r="F14" i="460"/>
  <c r="D14" i="460"/>
  <c r="H13" i="460"/>
  <c r="F13" i="460"/>
  <c r="D13" i="460"/>
  <c r="H12" i="460"/>
  <c r="F12" i="460"/>
  <c r="D12" i="460"/>
  <c r="H11" i="460"/>
  <c r="F11" i="460"/>
  <c r="D11" i="460"/>
  <c r="H10" i="460"/>
  <c r="F10" i="460"/>
  <c r="D10" i="460"/>
  <c r="E9" i="460"/>
  <c r="D9" i="460"/>
  <c r="D8" i="460"/>
  <c r="I6" i="460"/>
  <c r="C5" i="460"/>
  <c r="B5" i="460"/>
  <c r="F4" i="460"/>
  <c r="A3" i="460"/>
  <c r="D55" i="547"/>
  <c r="H49" i="547"/>
  <c r="D49" i="547"/>
  <c r="H48" i="547"/>
  <c r="D48" i="547"/>
  <c r="H47" i="547"/>
  <c r="D47" i="547"/>
  <c r="H46" i="547"/>
  <c r="D46" i="547"/>
  <c r="H40" i="547"/>
  <c r="F40" i="547"/>
  <c r="D40" i="547"/>
  <c r="H39" i="547"/>
  <c r="F39" i="547"/>
  <c r="D39" i="547"/>
  <c r="H37" i="547"/>
  <c r="F37" i="547"/>
  <c r="H36" i="547"/>
  <c r="F36" i="547"/>
  <c r="H35" i="547"/>
  <c r="F35" i="547"/>
  <c r="D35" i="547"/>
  <c r="H29" i="547"/>
  <c r="F29" i="547"/>
  <c r="H28" i="547"/>
  <c r="F28" i="547"/>
  <c r="H27" i="547"/>
  <c r="F27" i="547"/>
  <c r="H18" i="547"/>
  <c r="F18" i="547"/>
  <c r="D18" i="547"/>
  <c r="H17" i="547"/>
  <c r="F17" i="547"/>
  <c r="D17" i="547"/>
  <c r="H16" i="547"/>
  <c r="F16" i="547"/>
  <c r="D16" i="547"/>
  <c r="H15" i="547"/>
  <c r="F15" i="547"/>
  <c r="D15" i="547"/>
  <c r="H14" i="547"/>
  <c r="F14" i="547"/>
  <c r="D14" i="547"/>
  <c r="D13" i="547"/>
  <c r="D12" i="547"/>
  <c r="D11" i="547"/>
  <c r="D10" i="547"/>
  <c r="D9" i="547"/>
  <c r="D8" i="547"/>
  <c r="I6" i="547"/>
  <c r="C5" i="547"/>
  <c r="B5" i="547"/>
  <c r="F4" i="547"/>
  <c r="A3" i="547"/>
  <c r="D55" i="534"/>
  <c r="H49" i="534"/>
  <c r="D49" i="534"/>
  <c r="H48" i="534"/>
  <c r="D48" i="534"/>
  <c r="H47" i="534"/>
  <c r="D47" i="534"/>
  <c r="H46" i="534"/>
  <c r="D46" i="534"/>
  <c r="H40" i="534"/>
  <c r="F40" i="534"/>
  <c r="D40" i="534"/>
  <c r="H39" i="534"/>
  <c r="F39" i="534"/>
  <c r="D39" i="534"/>
  <c r="H38" i="534"/>
  <c r="F38" i="534"/>
  <c r="D38" i="534"/>
  <c r="H37" i="534"/>
  <c r="F37" i="534"/>
  <c r="D37" i="534"/>
  <c r="H36" i="534"/>
  <c r="F36" i="534"/>
  <c r="D36" i="534"/>
  <c r="H35" i="534"/>
  <c r="F35" i="534"/>
  <c r="D35" i="534"/>
  <c r="H34" i="534"/>
  <c r="D34" i="534"/>
  <c r="H29" i="534"/>
  <c r="F29" i="534"/>
  <c r="H28" i="534"/>
  <c r="F28" i="534"/>
  <c r="H27" i="534"/>
  <c r="F27" i="534"/>
  <c r="H26" i="534"/>
  <c r="F26" i="534"/>
  <c r="H25" i="534"/>
  <c r="F25" i="534"/>
  <c r="H24" i="534"/>
  <c r="I34" i="547"/>
  <c r="I34" i="534"/>
  <c r="I38" i="534"/>
  <c r="I41" i="534"/>
  <c r="H35" i="460"/>
  <c r="H35" i="461"/>
  <c r="I34" i="461"/>
  <c r="I41" i="461"/>
  <c r="F24" i="534"/>
  <c r="H18" i="534"/>
  <c r="F18" i="534"/>
  <c r="D18" i="534"/>
  <c r="H17" i="534"/>
  <c r="F17" i="534"/>
  <c r="D17" i="534"/>
  <c r="H16" i="534"/>
  <c r="F16" i="534"/>
  <c r="D16" i="534"/>
  <c r="H15" i="534"/>
  <c r="F15" i="534"/>
  <c r="D15" i="534"/>
  <c r="H14" i="534"/>
  <c r="F14" i="534"/>
  <c r="D14" i="534"/>
  <c r="H13" i="534"/>
  <c r="F13" i="534"/>
  <c r="D13" i="534"/>
  <c r="H12" i="534"/>
  <c r="F12" i="534"/>
  <c r="D12" i="534"/>
  <c r="H11" i="534"/>
  <c r="F11" i="534"/>
  <c r="D11" i="534"/>
  <c r="H10" i="534"/>
  <c r="F10" i="534"/>
  <c r="D10" i="534"/>
  <c r="D9" i="534"/>
  <c r="D8" i="534"/>
  <c r="I6" i="534"/>
  <c r="C5" i="534"/>
  <c r="B5" i="534"/>
  <c r="F4" i="534"/>
  <c r="A3" i="534"/>
  <c r="D55" i="535"/>
  <c r="H49" i="535"/>
  <c r="D49" i="535"/>
  <c r="H48" i="535"/>
  <c r="D48" i="535"/>
  <c r="H47" i="535"/>
  <c r="D47" i="535"/>
  <c r="H46" i="535"/>
  <c r="D46" i="535"/>
  <c r="H40" i="535"/>
  <c r="F40" i="535"/>
  <c r="D40" i="535"/>
  <c r="H39" i="535"/>
  <c r="F39" i="535"/>
  <c r="D39" i="535"/>
  <c r="H38" i="535"/>
  <c r="F38" i="535"/>
  <c r="D38" i="535"/>
  <c r="H37" i="535"/>
  <c r="F37" i="535"/>
  <c r="D37" i="535"/>
  <c r="H36" i="535"/>
  <c r="F36" i="535"/>
  <c r="D36" i="535"/>
  <c r="H35" i="535"/>
  <c r="F35" i="535"/>
  <c r="D35" i="535"/>
  <c r="H34" i="535"/>
  <c r="D34" i="535"/>
  <c r="H29" i="535"/>
  <c r="F29" i="535"/>
  <c r="H28" i="535"/>
  <c r="F28" i="535"/>
  <c r="H27" i="535"/>
  <c r="F27" i="535"/>
  <c r="H26" i="535"/>
  <c r="F26" i="535"/>
  <c r="H25" i="535"/>
  <c r="F25" i="535"/>
  <c r="H24" i="535"/>
  <c r="F24" i="535"/>
  <c r="H18" i="535"/>
  <c r="F18" i="535"/>
  <c r="D18" i="535"/>
  <c r="H17" i="535"/>
  <c r="F17" i="535"/>
  <c r="D17" i="535"/>
  <c r="H16" i="535"/>
  <c r="F16" i="535"/>
  <c r="D16" i="535"/>
  <c r="H15" i="535"/>
  <c r="F15" i="535"/>
  <c r="D15" i="535"/>
  <c r="H14" i="535"/>
  <c r="F14" i="535"/>
  <c r="D14" i="535"/>
  <c r="H13" i="535"/>
  <c r="F13" i="535"/>
  <c r="D13" i="535"/>
  <c r="H12" i="535"/>
  <c r="F12" i="535"/>
  <c r="D12" i="535"/>
  <c r="H11" i="535"/>
  <c r="F11" i="535"/>
  <c r="D11" i="535"/>
  <c r="H10" i="535"/>
  <c r="F10" i="535"/>
  <c r="D10" i="535"/>
  <c r="D9" i="535"/>
  <c r="D8" i="535"/>
  <c r="I6" i="535"/>
  <c r="C5" i="535"/>
  <c r="B5" i="535"/>
  <c r="F4" i="535"/>
  <c r="A3" i="535"/>
  <c r="D55" i="645"/>
  <c r="H49" i="645"/>
  <c r="D49" i="645"/>
  <c r="H48" i="645"/>
  <c r="D48" i="645"/>
  <c r="H47" i="645"/>
  <c r="D47" i="645"/>
  <c r="H46" i="645"/>
  <c r="D46" i="645"/>
  <c r="H40" i="645"/>
  <c r="F40" i="645"/>
  <c r="D40" i="645"/>
  <c r="H39" i="645"/>
  <c r="I38" i="645"/>
  <c r="F39" i="645"/>
  <c r="D39" i="645"/>
  <c r="H38" i="645"/>
  <c r="F38" i="645"/>
  <c r="D38" i="645"/>
  <c r="H37" i="645"/>
  <c r="F37" i="645"/>
  <c r="D37" i="645"/>
  <c r="H36" i="645"/>
  <c r="F36" i="645"/>
  <c r="D36" i="645"/>
  <c r="H35" i="645"/>
  <c r="I34" i="645"/>
  <c r="I41" i="645"/>
  <c r="F35" i="645"/>
  <c r="D35" i="645"/>
  <c r="H34" i="645"/>
  <c r="D34" i="645"/>
  <c r="H29" i="645"/>
  <c r="F29" i="645"/>
  <c r="H28" i="645"/>
  <c r="F28" i="645"/>
  <c r="H27" i="645"/>
  <c r="F27" i="645"/>
  <c r="H26" i="645"/>
  <c r="F26" i="645"/>
  <c r="H25" i="645"/>
  <c r="F25" i="645"/>
  <c r="H18" i="645"/>
  <c r="F18" i="645"/>
  <c r="D18" i="645"/>
  <c r="H17" i="645"/>
  <c r="F17" i="645"/>
  <c r="D17" i="645"/>
  <c r="H16" i="645"/>
  <c r="F16" i="645"/>
  <c r="D16" i="645"/>
  <c r="H15" i="645"/>
  <c r="F15" i="645"/>
  <c r="D15" i="645"/>
  <c r="H14" i="645"/>
  <c r="F14" i="645"/>
  <c r="D14" i="645"/>
  <c r="H13" i="645"/>
  <c r="F13" i="645"/>
  <c r="D13" i="645"/>
  <c r="H12" i="645"/>
  <c r="F12" i="645"/>
  <c r="D12" i="645"/>
  <c r="H11" i="645"/>
  <c r="F11" i="645"/>
  <c r="D11" i="645"/>
  <c r="H10" i="645"/>
  <c r="F10" i="645"/>
  <c r="D10" i="645"/>
  <c r="H9" i="645"/>
  <c r="F9" i="645"/>
  <c r="D9" i="645"/>
  <c r="D8" i="645"/>
  <c r="I6" i="645"/>
  <c r="C5" i="645"/>
  <c r="B5" i="645"/>
  <c r="F4" i="645"/>
  <c r="A3" i="645"/>
  <c r="D55" i="220"/>
  <c r="H49" i="220"/>
  <c r="D49" i="220"/>
  <c r="H48" i="220"/>
  <c r="D48" i="220"/>
  <c r="H47" i="220"/>
  <c r="D47" i="220"/>
  <c r="H46" i="220"/>
  <c r="D46" i="220"/>
  <c r="H40" i="220"/>
  <c r="F40" i="220"/>
  <c r="D40" i="220"/>
  <c r="H39" i="220"/>
  <c r="F39" i="220"/>
  <c r="D39" i="220"/>
  <c r="H38" i="220"/>
  <c r="F38" i="220"/>
  <c r="D38" i="220"/>
  <c r="H37" i="220"/>
  <c r="F37" i="220"/>
  <c r="D37" i="220"/>
  <c r="H36" i="220"/>
  <c r="F36" i="220"/>
  <c r="D36" i="220"/>
  <c r="H35" i="220"/>
  <c r="F35" i="220"/>
  <c r="D35" i="220"/>
  <c r="H34" i="220"/>
  <c r="D34" i="220"/>
  <c r="H29" i="220"/>
  <c r="F29" i="220"/>
  <c r="H28" i="220"/>
  <c r="F28" i="220"/>
  <c r="H27" i="220"/>
  <c r="F27" i="220"/>
  <c r="H26" i="220"/>
  <c r="F26" i="220"/>
  <c r="H25" i="220"/>
  <c r="F25" i="220"/>
  <c r="H18" i="220"/>
  <c r="F18" i="220"/>
  <c r="D18" i="220"/>
  <c r="H17" i="220"/>
  <c r="F17" i="220"/>
  <c r="D17" i="220"/>
  <c r="H16" i="220"/>
  <c r="F16" i="220"/>
  <c r="D16" i="220"/>
  <c r="H15" i="220"/>
  <c r="F15" i="220"/>
  <c r="D15" i="220"/>
  <c r="H14" i="220"/>
  <c r="F14" i="220"/>
  <c r="D14" i="220"/>
  <c r="H13" i="220"/>
  <c r="F13" i="220"/>
  <c r="D13" i="220"/>
  <c r="H12" i="220"/>
  <c r="F12" i="220"/>
  <c r="D12" i="220"/>
  <c r="H11" i="220"/>
  <c r="F11" i="220"/>
  <c r="D11" i="220"/>
  <c r="H10" i="220"/>
  <c r="F10" i="220"/>
  <c r="D10" i="220"/>
  <c r="H9" i="220"/>
  <c r="F9" i="220"/>
  <c r="D9" i="220"/>
  <c r="H8" i="220"/>
  <c r="F8" i="220"/>
  <c r="D8" i="220"/>
  <c r="F4" i="220"/>
  <c r="A3" i="220"/>
  <c r="D55" i="217"/>
  <c r="H49" i="217"/>
  <c r="D49" i="217"/>
  <c r="H48" i="217"/>
  <c r="D48" i="217"/>
  <c r="H47" i="217"/>
  <c r="D47" i="217"/>
  <c r="H46" i="217"/>
  <c r="D46" i="217"/>
  <c r="H45" i="217"/>
  <c r="D45" i="217"/>
  <c r="H40" i="217"/>
  <c r="H39" i="217"/>
  <c r="I38" i="217"/>
  <c r="F40" i="217"/>
  <c r="D40" i="217"/>
  <c r="F39" i="217"/>
  <c r="D39" i="217"/>
  <c r="H37" i="217"/>
  <c r="F37" i="217"/>
  <c r="D37" i="217"/>
  <c r="H36" i="217"/>
  <c r="F36" i="217"/>
  <c r="D36" i="217"/>
  <c r="F35" i="217"/>
  <c r="H29" i="217"/>
  <c r="F29" i="217"/>
  <c r="H28" i="217"/>
  <c r="F28" i="217"/>
  <c r="H27" i="217"/>
  <c r="F27" i="217"/>
  <c r="H26" i="217"/>
  <c r="F26" i="217"/>
  <c r="H25" i="217"/>
  <c r="F25" i="217"/>
  <c r="H24" i="217"/>
  <c r="F24" i="217"/>
  <c r="H18" i="217"/>
  <c r="F18" i="217"/>
  <c r="D18" i="217"/>
  <c r="H17" i="217"/>
  <c r="F17" i="217"/>
  <c r="D17" i="217"/>
  <c r="H16" i="217"/>
  <c r="F16" i="217"/>
  <c r="D16" i="217"/>
  <c r="H15" i="217"/>
  <c r="F15" i="217"/>
  <c r="D15" i="217"/>
  <c r="H14" i="217"/>
  <c r="F14" i="217"/>
  <c r="D14" i="217"/>
  <c r="H13" i="217"/>
  <c r="F13" i="217"/>
  <c r="D13" i="217"/>
  <c r="H12" i="217"/>
  <c r="F12" i="217"/>
  <c r="D12" i="217"/>
  <c r="H11" i="217"/>
  <c r="F11" i="217"/>
  <c r="D11" i="217"/>
  <c r="H10" i="217"/>
  <c r="F10" i="217"/>
  <c r="D10" i="217"/>
  <c r="H9" i="217"/>
  <c r="F9" i="217"/>
  <c r="D9" i="217"/>
  <c r="H8" i="217"/>
  <c r="F8" i="217"/>
  <c r="D8" i="217"/>
  <c r="F4" i="217"/>
  <c r="A3" i="217"/>
  <c r="D55" i="386"/>
  <c r="H49" i="386"/>
  <c r="D49" i="386"/>
  <c r="H48" i="386"/>
  <c r="D48" i="386"/>
  <c r="H47" i="386"/>
  <c r="D47" i="386"/>
  <c r="H46" i="386"/>
  <c r="D46" i="386"/>
  <c r="H40" i="386"/>
  <c r="F40" i="386"/>
  <c r="D40" i="386"/>
  <c r="H39" i="386"/>
  <c r="I38" i="386"/>
  <c r="F39" i="386"/>
  <c r="D39" i="386"/>
  <c r="H38" i="386"/>
  <c r="F38" i="386"/>
  <c r="D38" i="386"/>
  <c r="H37" i="386"/>
  <c r="F37" i="386"/>
  <c r="D37" i="386"/>
  <c r="H36" i="386"/>
  <c r="F36" i="386"/>
  <c r="D36" i="386"/>
  <c r="F35" i="386"/>
  <c r="D35" i="386"/>
  <c r="H35" i="386"/>
  <c r="I34" i="386"/>
  <c r="I41" i="386"/>
  <c r="H29" i="386"/>
  <c r="F29" i="386"/>
  <c r="H28" i="386"/>
  <c r="F28" i="386"/>
  <c r="H27" i="386"/>
  <c r="F27" i="386"/>
  <c r="H18" i="386"/>
  <c r="F18" i="386"/>
  <c r="D18" i="386"/>
  <c r="H17" i="386"/>
  <c r="F17" i="386"/>
  <c r="D17" i="386"/>
  <c r="H16" i="386"/>
  <c r="F16" i="386"/>
  <c r="D16" i="386"/>
  <c r="H15" i="386"/>
  <c r="F15" i="386"/>
  <c r="D15" i="386"/>
  <c r="H14" i="386"/>
  <c r="F14" i="386"/>
  <c r="D14" i="386"/>
  <c r="H13" i="386"/>
  <c r="F13" i="386"/>
  <c r="D13" i="386"/>
  <c r="H12" i="386"/>
  <c r="F12" i="386"/>
  <c r="D12" i="386"/>
  <c r="H11" i="386"/>
  <c r="F11" i="386"/>
  <c r="D11" i="386"/>
  <c r="H10" i="386"/>
  <c r="F10" i="386"/>
  <c r="D10" i="386"/>
  <c r="H9" i="386"/>
  <c r="F9" i="386"/>
  <c r="D9" i="386"/>
  <c r="H8" i="386"/>
  <c r="F8" i="386"/>
  <c r="D8" i="386"/>
  <c r="C5" i="386"/>
  <c r="B5" i="386"/>
  <c r="F4" i="386"/>
  <c r="A3" i="386"/>
  <c r="D55" i="207"/>
  <c r="H49" i="207"/>
  <c r="D49" i="207"/>
  <c r="H48" i="207"/>
  <c r="D48" i="207"/>
  <c r="H47" i="207"/>
  <c r="D47" i="207"/>
  <c r="H46" i="207"/>
  <c r="D46" i="207"/>
  <c r="H40" i="207"/>
  <c r="F40" i="207"/>
  <c r="D40" i="207"/>
  <c r="H39" i="207"/>
  <c r="F39" i="207"/>
  <c r="D39" i="207"/>
  <c r="H38" i="207"/>
  <c r="F38" i="207"/>
  <c r="D38" i="207"/>
  <c r="H37" i="207"/>
  <c r="F37" i="207"/>
  <c r="D37" i="207"/>
  <c r="H36" i="207"/>
  <c r="F36" i="207"/>
  <c r="D36" i="207"/>
  <c r="F35" i="207"/>
  <c r="D35" i="207"/>
  <c r="D34" i="207"/>
  <c r="H29" i="207"/>
  <c r="F29" i="207"/>
  <c r="H28" i="207"/>
  <c r="F28" i="207"/>
  <c r="H27" i="207"/>
  <c r="F27" i="207"/>
  <c r="H26" i="207"/>
  <c r="F26" i="207"/>
  <c r="H18" i="207"/>
  <c r="F18" i="207"/>
  <c r="D18" i="207"/>
  <c r="H17" i="207"/>
  <c r="F17" i="207"/>
  <c r="D17" i="207"/>
  <c r="H16" i="207"/>
  <c r="F16" i="207"/>
  <c r="D16" i="207"/>
  <c r="H15" i="207"/>
  <c r="F15" i="207"/>
  <c r="D15" i="207"/>
  <c r="H14" i="207"/>
  <c r="F14" i="207"/>
  <c r="D14" i="207"/>
  <c r="H13" i="207"/>
  <c r="F13" i="207"/>
  <c r="D13" i="207"/>
  <c r="H12" i="207"/>
  <c r="F12" i="207"/>
  <c r="D12" i="207"/>
  <c r="H11" i="207"/>
  <c r="F11" i="207"/>
  <c r="D11" i="207"/>
  <c r="H10" i="207"/>
  <c r="F10" i="207"/>
  <c r="D10" i="207"/>
  <c r="H9" i="207"/>
  <c r="F9" i="207"/>
  <c r="D9" i="207"/>
  <c r="H8" i="207"/>
  <c r="F8" i="207"/>
  <c r="D8" i="207"/>
  <c r="F4" i="207"/>
  <c r="A3" i="207"/>
  <c r="D55" i="206"/>
  <c r="H49" i="206"/>
  <c r="D49" i="206"/>
  <c r="H48" i="206"/>
  <c r="D48" i="206"/>
  <c r="H47" i="206"/>
  <c r="D47" i="206"/>
  <c r="H46" i="206"/>
  <c r="D46" i="206"/>
  <c r="H40" i="206"/>
  <c r="H39" i="206"/>
  <c r="I38" i="206"/>
  <c r="F40" i="206"/>
  <c r="D40" i="206"/>
  <c r="F39" i="206"/>
  <c r="D39" i="206"/>
  <c r="H38" i="206"/>
  <c r="F38" i="206"/>
  <c r="D38" i="206"/>
  <c r="H37" i="206"/>
  <c r="F37" i="206"/>
  <c r="D37" i="206"/>
  <c r="H36" i="206"/>
  <c r="F36" i="206"/>
  <c r="D36" i="206"/>
  <c r="F35" i="206"/>
  <c r="D35" i="206"/>
  <c r="H35" i="206"/>
  <c r="I34" i="206"/>
  <c r="I41" i="206"/>
  <c r="D34" i="206"/>
  <c r="H29" i="206"/>
  <c r="F29" i="206"/>
  <c r="H28" i="206"/>
  <c r="F28" i="206"/>
  <c r="H27" i="206"/>
  <c r="F27" i="206"/>
  <c r="H26" i="206"/>
  <c r="F26" i="206"/>
  <c r="H18" i="206"/>
  <c r="F18" i="206"/>
  <c r="D18" i="206"/>
  <c r="H17" i="206"/>
  <c r="F17" i="206"/>
  <c r="D17" i="206"/>
  <c r="H16" i="206"/>
  <c r="F16" i="206"/>
  <c r="D16" i="206"/>
  <c r="H15" i="206"/>
  <c r="F15" i="206"/>
  <c r="D15" i="206"/>
  <c r="H14" i="206"/>
  <c r="F14" i="206"/>
  <c r="D14" i="206"/>
  <c r="H13" i="206"/>
  <c r="F13" i="206"/>
  <c r="D13" i="206"/>
  <c r="H12" i="206"/>
  <c r="F12" i="206"/>
  <c r="D12" i="206"/>
  <c r="H11" i="206"/>
  <c r="F11" i="206"/>
  <c r="D11" i="206"/>
  <c r="H10" i="206"/>
  <c r="F10" i="206"/>
  <c r="D10" i="206"/>
  <c r="H9" i="206"/>
  <c r="F9" i="206"/>
  <c r="D9" i="206"/>
  <c r="H8" i="206"/>
  <c r="F8" i="206"/>
  <c r="D8" i="206"/>
  <c r="F4" i="206"/>
  <c r="A3" i="206"/>
  <c r="D55" i="205"/>
  <c r="H49" i="205"/>
  <c r="D49" i="205"/>
  <c r="H48" i="205"/>
  <c r="D48" i="205"/>
  <c r="H47" i="205"/>
  <c r="D47" i="205"/>
  <c r="H46" i="205"/>
  <c r="D46" i="205"/>
  <c r="H40" i="205"/>
  <c r="F40" i="205"/>
  <c r="D40" i="205"/>
  <c r="H39" i="205"/>
  <c r="F39" i="205"/>
  <c r="D39" i="205"/>
  <c r="F37" i="205"/>
  <c r="D37" i="205"/>
  <c r="H36" i="205"/>
  <c r="F36" i="205"/>
  <c r="D36" i="205"/>
  <c r="F35" i="205"/>
  <c r="D35" i="205"/>
  <c r="H29" i="205"/>
  <c r="F29" i="205"/>
  <c r="H28" i="205"/>
  <c r="F28" i="205"/>
  <c r="H27" i="205"/>
  <c r="F27" i="205"/>
  <c r="H26" i="205"/>
  <c r="F26" i="205"/>
  <c r="H18" i="205"/>
  <c r="F18" i="205"/>
  <c r="D18" i="205"/>
  <c r="H17" i="205"/>
  <c r="F17" i="205"/>
  <c r="D17" i="205"/>
  <c r="H16" i="205"/>
  <c r="F16" i="205"/>
  <c r="D16" i="205"/>
  <c r="H15" i="205"/>
  <c r="F15" i="205"/>
  <c r="D15" i="205"/>
  <c r="H14" i="205"/>
  <c r="F14" i="205"/>
  <c r="D14" i="205"/>
  <c r="H13" i="205"/>
  <c r="F13" i="205"/>
  <c r="D13" i="205"/>
  <c r="H12" i="205"/>
  <c r="F12" i="205"/>
  <c r="D12" i="205"/>
  <c r="H11" i="205"/>
  <c r="F11" i="205"/>
  <c r="D11" i="205"/>
  <c r="H10" i="205"/>
  <c r="F10" i="205"/>
  <c r="D10" i="205"/>
  <c r="H9" i="205"/>
  <c r="F9" i="205"/>
  <c r="D9" i="205"/>
  <c r="H8" i="205"/>
  <c r="F8" i="205"/>
  <c r="D8" i="205"/>
  <c r="F4" i="205"/>
  <c r="A3" i="205"/>
  <c r="D55" i="200"/>
  <c r="H49" i="200"/>
  <c r="D49" i="200"/>
  <c r="H48" i="200"/>
  <c r="D48" i="200"/>
  <c r="H47" i="200"/>
  <c r="D47" i="200"/>
  <c r="H46" i="200"/>
  <c r="D46" i="200"/>
  <c r="H40" i="200"/>
  <c r="F40" i="200"/>
  <c r="D40" i="200"/>
  <c r="H39" i="200"/>
  <c r="F39" i="200"/>
  <c r="D39" i="200"/>
  <c r="F37" i="200"/>
  <c r="D37" i="200"/>
  <c r="H36" i="200"/>
  <c r="F36" i="200"/>
  <c r="D36" i="200"/>
  <c r="F35" i="200"/>
  <c r="D35" i="200"/>
  <c r="H29" i="200"/>
  <c r="F29" i="200"/>
  <c r="H28" i="200"/>
  <c r="F28" i="200"/>
  <c r="H27" i="200"/>
  <c r="F27" i="200"/>
  <c r="H26" i="200"/>
  <c r="F26" i="200"/>
  <c r="H18" i="200"/>
  <c r="F18" i="200"/>
  <c r="D18" i="200"/>
  <c r="H17" i="200"/>
  <c r="F17" i="200"/>
  <c r="D17" i="200"/>
  <c r="H16" i="200"/>
  <c r="F16" i="200"/>
  <c r="D16" i="200"/>
  <c r="H15" i="200"/>
  <c r="F15" i="200"/>
  <c r="D15" i="200"/>
  <c r="H14" i="200"/>
  <c r="F14" i="200"/>
  <c r="D14" i="200"/>
  <c r="H13" i="200"/>
  <c r="F13" i="200"/>
  <c r="D13" i="200"/>
  <c r="H12" i="200"/>
  <c r="F12" i="200"/>
  <c r="D12" i="200"/>
  <c r="H11" i="200"/>
  <c r="F11" i="200"/>
  <c r="D11" i="200"/>
  <c r="H10" i="200"/>
  <c r="F10" i="200"/>
  <c r="D10" i="200"/>
  <c r="H9" i="200"/>
  <c r="F9" i="200"/>
  <c r="D9" i="200"/>
  <c r="H8" i="200"/>
  <c r="F8" i="200"/>
  <c r="D8" i="200"/>
  <c r="F4" i="200"/>
  <c r="A3" i="200"/>
  <c r="D55" i="137"/>
  <c r="H49" i="137"/>
  <c r="D49" i="137"/>
  <c r="H48" i="137"/>
  <c r="D48" i="137"/>
  <c r="H47" i="137"/>
  <c r="D47" i="137"/>
  <c r="H46" i="137"/>
  <c r="D46" i="137"/>
  <c r="H40" i="137"/>
  <c r="F40" i="137"/>
  <c r="D40" i="137"/>
  <c r="H39" i="137"/>
  <c r="F39" i="137"/>
  <c r="D39" i="137"/>
  <c r="H37" i="137"/>
  <c r="F37" i="137"/>
  <c r="D37" i="137"/>
  <c r="H36" i="137"/>
  <c r="F36" i="137"/>
  <c r="D36" i="137"/>
  <c r="H35" i="137"/>
  <c r="I34" i="137"/>
  <c r="I38" i="137"/>
  <c r="I41" i="137"/>
  <c r="F35" i="137"/>
  <c r="D35" i="137"/>
  <c r="H29" i="137"/>
  <c r="F29" i="137"/>
  <c r="H28" i="137"/>
  <c r="F28" i="137"/>
  <c r="H27" i="137"/>
  <c r="F27" i="137"/>
  <c r="H26" i="137"/>
  <c r="F26" i="137"/>
  <c r="H25" i="137"/>
  <c r="F25" i="137"/>
  <c r="H24" i="137"/>
  <c r="F24" i="137"/>
  <c r="H23" i="137"/>
  <c r="F23" i="137"/>
  <c r="H18" i="137"/>
  <c r="F18" i="137"/>
  <c r="D18" i="137"/>
  <c r="H17" i="137"/>
  <c r="F17" i="137"/>
  <c r="D17" i="137"/>
  <c r="H16" i="137"/>
  <c r="F16" i="137"/>
  <c r="D16" i="137"/>
  <c r="H15" i="137"/>
  <c r="F15" i="137"/>
  <c r="D15" i="137"/>
  <c r="H14" i="137"/>
  <c r="F14" i="137"/>
  <c r="D14" i="137"/>
  <c r="H13" i="137"/>
  <c r="F13" i="137"/>
  <c r="D13" i="137"/>
  <c r="H12" i="137"/>
  <c r="F12" i="137"/>
  <c r="D12" i="137"/>
  <c r="H11" i="137"/>
  <c r="F11" i="137"/>
  <c r="D11" i="137"/>
  <c r="H10" i="137"/>
  <c r="F10" i="137"/>
  <c r="D10" i="137"/>
  <c r="H9" i="137"/>
  <c r="F9" i="137"/>
  <c r="D9" i="137"/>
  <c r="H8" i="137"/>
  <c r="F8" i="137"/>
  <c r="D8" i="137"/>
  <c r="F4" i="137"/>
  <c r="A3" i="137"/>
  <c r="AB53" i="720"/>
  <c r="I38" i="200"/>
  <c r="H37" i="200"/>
  <c r="I38" i="205"/>
  <c r="H37" i="205"/>
  <c r="I38" i="220"/>
  <c r="I38" i="535"/>
  <c r="I38" i="207"/>
  <c r="I34" i="220"/>
  <c r="I41" i="220"/>
  <c r="I34" i="535"/>
  <c r="H35" i="200"/>
  <c r="I34" i="200"/>
  <c r="I41" i="200"/>
  <c r="H35" i="207"/>
  <c r="I34" i="207"/>
  <c r="H35" i="205"/>
  <c r="I34" i="205"/>
  <c r="I41" i="205"/>
  <c r="H35" i="217"/>
  <c r="I34" i="217"/>
  <c r="I41" i="217"/>
  <c r="AB53" i="721"/>
  <c r="AB29" i="720"/>
  <c r="AB29" i="721"/>
  <c r="AB27" i="720"/>
  <c r="AB27" i="721"/>
  <c r="AB45" i="720"/>
  <c r="AB45" i="721"/>
  <c r="AB28" i="720"/>
  <c r="AB28" i="721"/>
  <c r="AB26" i="720"/>
  <c r="AB26" i="721"/>
  <c r="AB30" i="720"/>
  <c r="AB30" i="721"/>
  <c r="I41" i="535"/>
  <c r="AB51" i="720"/>
  <c r="H34" i="207"/>
  <c r="I41" i="207"/>
  <c r="AB37" i="720"/>
  <c r="H34" i="206"/>
  <c r="D55" i="262"/>
  <c r="H49" i="262"/>
  <c r="D49" i="262"/>
  <c r="H48" i="262"/>
  <c r="D48" i="262"/>
  <c r="H47" i="262"/>
  <c r="D47" i="262"/>
  <c r="H46" i="262"/>
  <c r="D46" i="262"/>
  <c r="H40" i="262"/>
  <c r="H39" i="262"/>
  <c r="I38" i="262"/>
  <c r="F40" i="262"/>
  <c r="D40" i="262"/>
  <c r="F39" i="262"/>
  <c r="D39" i="262"/>
  <c r="H37" i="262"/>
  <c r="F37" i="262"/>
  <c r="D37" i="262"/>
  <c r="H36" i="262"/>
  <c r="H35" i="262"/>
  <c r="I34" i="262"/>
  <c r="F36" i="262"/>
  <c r="D36" i="262"/>
  <c r="F35" i="262"/>
  <c r="D35" i="262"/>
  <c r="H29" i="262"/>
  <c r="F29" i="262"/>
  <c r="H28" i="262"/>
  <c r="F28" i="262"/>
  <c r="H27" i="262"/>
  <c r="F27" i="262"/>
  <c r="H26" i="262"/>
  <c r="F26" i="262"/>
  <c r="H25" i="262"/>
  <c r="F25" i="262"/>
  <c r="H24" i="262"/>
  <c r="F24" i="262"/>
  <c r="H23" i="262"/>
  <c r="F23" i="262"/>
  <c r="H18" i="262"/>
  <c r="F18" i="262"/>
  <c r="D18" i="262"/>
  <c r="H17" i="262"/>
  <c r="F17" i="262"/>
  <c r="D17" i="262"/>
  <c r="H16" i="262"/>
  <c r="F16" i="262"/>
  <c r="D16" i="262"/>
  <c r="H15" i="262"/>
  <c r="F15" i="262"/>
  <c r="D15" i="262"/>
  <c r="H14" i="262"/>
  <c r="F14" i="262"/>
  <c r="D14" i="262"/>
  <c r="H13" i="262"/>
  <c r="F13" i="262"/>
  <c r="D13" i="262"/>
  <c r="H12" i="262"/>
  <c r="F12" i="262"/>
  <c r="D12" i="262"/>
  <c r="D11" i="262"/>
  <c r="D10" i="262"/>
  <c r="D9" i="262"/>
  <c r="D8" i="262"/>
  <c r="F4" i="262"/>
  <c r="A3" i="262"/>
  <c r="AB46" i="721"/>
  <c r="AB46" i="720"/>
  <c r="AB51" i="721"/>
  <c r="AB37" i="721"/>
  <c r="V26" i="720"/>
  <c r="V26" i="721"/>
  <c r="AB24" i="720"/>
  <c r="AB24" i="721"/>
  <c r="V25" i="720"/>
  <c r="V25" i="721"/>
  <c r="AB21" i="720"/>
  <c r="AC21" i="720"/>
  <c r="AB21" i="721"/>
  <c r="AB25" i="720"/>
  <c r="AB25" i="721"/>
  <c r="V24" i="720"/>
  <c r="V24" i="721"/>
  <c r="AB20" i="720"/>
  <c r="AC20" i="720"/>
  <c r="AB20" i="721"/>
  <c r="AB16" i="720"/>
  <c r="AB16" i="721"/>
  <c r="AC19" i="720"/>
  <c r="AB15" i="720"/>
  <c r="AB15" i="721"/>
  <c r="D58" i="197"/>
  <c r="H52" i="197"/>
  <c r="D52" i="197"/>
  <c r="H51" i="197"/>
  <c r="D51" i="197"/>
  <c r="H50" i="197"/>
  <c r="D50" i="197"/>
  <c r="H49" i="197"/>
  <c r="D49" i="197"/>
  <c r="H43" i="197"/>
  <c r="H42" i="197"/>
  <c r="I41" i="197"/>
  <c r="F43" i="197"/>
  <c r="D43" i="197"/>
  <c r="F42" i="197"/>
  <c r="D42" i="197"/>
  <c r="H40" i="197"/>
  <c r="F40" i="197"/>
  <c r="D40" i="197"/>
  <c r="H39" i="197"/>
  <c r="F39" i="197"/>
  <c r="D39" i="197"/>
  <c r="H38" i="197"/>
  <c r="F38" i="197"/>
  <c r="D38" i="197"/>
  <c r="H37" i="197"/>
  <c r="H32" i="197"/>
  <c r="H31" i="197"/>
  <c r="H30" i="197"/>
  <c r="H29" i="197"/>
  <c r="H28" i="197"/>
  <c r="H27" i="197"/>
  <c r="D21" i="197"/>
  <c r="D20" i="197"/>
  <c r="D19" i="197"/>
  <c r="D18" i="197"/>
  <c r="D17" i="197"/>
  <c r="I37" i="197"/>
  <c r="D16" i="197"/>
  <c r="D15" i="197"/>
  <c r="D14" i="197"/>
  <c r="D13" i="197"/>
  <c r="D12" i="197"/>
  <c r="D11" i="197"/>
  <c r="D10" i="197"/>
  <c r="D9" i="197"/>
  <c r="D8" i="197"/>
  <c r="F4" i="197"/>
  <c r="A3" i="197"/>
  <c r="D55" i="336"/>
  <c r="H49" i="336"/>
  <c r="D49" i="336"/>
  <c r="H48" i="336"/>
  <c r="D48" i="336"/>
  <c r="H47" i="336"/>
  <c r="D47" i="336"/>
  <c r="H46" i="336"/>
  <c r="D46" i="336"/>
  <c r="H40" i="336"/>
  <c r="F40" i="336"/>
  <c r="D40" i="336"/>
  <c r="H39" i="336"/>
  <c r="I38" i="336"/>
  <c r="F39" i="336"/>
  <c r="D39" i="336"/>
  <c r="H37" i="336"/>
  <c r="H35" i="336"/>
  <c r="H36" i="336"/>
  <c r="I41" i="336"/>
  <c r="F37" i="336"/>
  <c r="D37" i="336"/>
  <c r="F36" i="336"/>
  <c r="D36" i="336"/>
  <c r="F35" i="336"/>
  <c r="D35" i="336"/>
  <c r="H29" i="336"/>
  <c r="F29" i="336"/>
  <c r="H28" i="336"/>
  <c r="F28" i="336"/>
  <c r="H27" i="336"/>
  <c r="F27" i="336"/>
  <c r="H26" i="336"/>
  <c r="F26" i="336"/>
  <c r="H18" i="336"/>
  <c r="F18" i="336"/>
  <c r="D18" i="336"/>
  <c r="H17" i="336"/>
  <c r="F17" i="336"/>
  <c r="D17" i="336"/>
  <c r="H16" i="336"/>
  <c r="F16" i="336"/>
  <c r="D16" i="336"/>
  <c r="H15" i="336"/>
  <c r="F15" i="336"/>
  <c r="D15" i="336"/>
  <c r="H14" i="336"/>
  <c r="F14" i="336"/>
  <c r="D14" i="336"/>
  <c r="H13" i="336"/>
  <c r="F13" i="336"/>
  <c r="D13" i="336"/>
  <c r="H12" i="336"/>
  <c r="F12" i="336"/>
  <c r="D12" i="336"/>
  <c r="D11" i="336"/>
  <c r="D10" i="336"/>
  <c r="D9" i="336"/>
  <c r="D8" i="336"/>
  <c r="F4" i="336"/>
  <c r="A3" i="336"/>
  <c r="D55" i="335"/>
  <c r="H49" i="335"/>
  <c r="D49" i="335"/>
  <c r="H48" i="335"/>
  <c r="D48" i="335"/>
  <c r="H47" i="335"/>
  <c r="D47" i="335"/>
  <c r="H46" i="335"/>
  <c r="D46" i="335"/>
  <c r="H40" i="335"/>
  <c r="H39" i="335"/>
  <c r="I38" i="335"/>
  <c r="F40" i="335"/>
  <c r="D40" i="335"/>
  <c r="F39" i="335"/>
  <c r="D39" i="335"/>
  <c r="H37" i="335"/>
  <c r="F37" i="335"/>
  <c r="D37" i="335"/>
  <c r="H36" i="335"/>
  <c r="F36" i="335"/>
  <c r="D36" i="335"/>
  <c r="H35" i="335"/>
  <c r="I34" i="335"/>
  <c r="I41" i="335"/>
  <c r="F35" i="335"/>
  <c r="D35" i="335"/>
  <c r="H29" i="335"/>
  <c r="F29" i="335"/>
  <c r="H28" i="335"/>
  <c r="F28" i="335"/>
  <c r="H27" i="335"/>
  <c r="F27" i="335"/>
  <c r="H26" i="335"/>
  <c r="F26" i="335"/>
  <c r="H18" i="335"/>
  <c r="F18" i="335"/>
  <c r="D18" i="335"/>
  <c r="H17" i="335"/>
  <c r="F17" i="335"/>
  <c r="D17" i="335"/>
  <c r="H16" i="335"/>
  <c r="F16" i="335"/>
  <c r="D16" i="335"/>
  <c r="H15" i="335"/>
  <c r="F15" i="335"/>
  <c r="D15" i="335"/>
  <c r="H14" i="335"/>
  <c r="F14" i="335"/>
  <c r="D14" i="335"/>
  <c r="H13" i="335"/>
  <c r="F13" i="335"/>
  <c r="D13" i="335"/>
  <c r="D12" i="335"/>
  <c r="D11" i="335"/>
  <c r="D10" i="335"/>
  <c r="D9" i="335"/>
  <c r="D8" i="335"/>
  <c r="F4" i="335"/>
  <c r="A3" i="335"/>
  <c r="D55" i="291"/>
  <c r="H49" i="291"/>
  <c r="D49" i="291"/>
  <c r="H48" i="291"/>
  <c r="D48" i="291"/>
  <c r="H47" i="291"/>
  <c r="D47" i="291"/>
  <c r="H46" i="291"/>
  <c r="D46" i="291"/>
  <c r="H40" i="291"/>
  <c r="F40" i="291"/>
  <c r="D40" i="291"/>
  <c r="H39" i="291"/>
  <c r="I38" i="291"/>
  <c r="H35" i="291"/>
  <c r="H36" i="291"/>
  <c r="H37" i="291"/>
  <c r="I34" i="291"/>
  <c r="I41" i="291"/>
  <c r="F39" i="291"/>
  <c r="D39" i="291"/>
  <c r="F37" i="291"/>
  <c r="D37" i="291"/>
  <c r="F36" i="291"/>
  <c r="D36" i="291"/>
  <c r="F35" i="291"/>
  <c r="D35" i="291"/>
  <c r="H29" i="291"/>
  <c r="F29" i="291"/>
  <c r="H28" i="291"/>
  <c r="F28" i="291"/>
  <c r="H27" i="291"/>
  <c r="F27" i="291"/>
  <c r="H26" i="291"/>
  <c r="F26" i="291"/>
  <c r="H25" i="291"/>
  <c r="F25" i="291"/>
  <c r="H18" i="291"/>
  <c r="F18" i="291"/>
  <c r="D18" i="291"/>
  <c r="H17" i="291"/>
  <c r="F17" i="291"/>
  <c r="D17" i="291"/>
  <c r="H16" i="291"/>
  <c r="F16" i="291"/>
  <c r="D16" i="291"/>
  <c r="H15" i="291"/>
  <c r="F15" i="291"/>
  <c r="D15" i="291"/>
  <c r="H14" i="291"/>
  <c r="F14" i="291"/>
  <c r="D14" i="291"/>
  <c r="I34" i="336"/>
  <c r="D13" i="291"/>
  <c r="D12" i="291"/>
  <c r="D11" i="291"/>
  <c r="D10" i="291"/>
  <c r="D9" i="291"/>
  <c r="D8" i="291"/>
  <c r="F4" i="291"/>
  <c r="A3" i="291"/>
  <c r="D57" i="216"/>
  <c r="H51" i="216"/>
  <c r="D51" i="216"/>
  <c r="H50" i="216"/>
  <c r="D50" i="216"/>
  <c r="H49" i="216"/>
  <c r="D49" i="216"/>
  <c r="H48" i="216"/>
  <c r="D48" i="216"/>
  <c r="H42" i="216"/>
  <c r="F42" i="216"/>
  <c r="D42" i="216"/>
  <c r="H41" i="216"/>
  <c r="F41" i="216"/>
  <c r="D41" i="216"/>
  <c r="H39" i="216"/>
  <c r="F39" i="216"/>
  <c r="D39" i="216"/>
  <c r="H38" i="216"/>
  <c r="F38" i="216"/>
  <c r="D38" i="216"/>
  <c r="H37" i="216"/>
  <c r="F37" i="216"/>
  <c r="D37" i="216"/>
  <c r="H31" i="216"/>
  <c r="F31" i="216"/>
  <c r="H30" i="216"/>
  <c r="F30" i="216"/>
  <c r="H29" i="216"/>
  <c r="F29" i="216"/>
  <c r="H28" i="216"/>
  <c r="F28" i="216"/>
  <c r="H27" i="216"/>
  <c r="F27" i="216"/>
  <c r="H26" i="216"/>
  <c r="F26" i="216"/>
  <c r="H20" i="216"/>
  <c r="F20" i="216"/>
  <c r="D20" i="216"/>
  <c r="H19" i="216"/>
  <c r="F19" i="216"/>
  <c r="D19" i="216"/>
  <c r="H18" i="216"/>
  <c r="F18" i="216"/>
  <c r="D18" i="216"/>
  <c r="H17" i="216"/>
  <c r="F17" i="216"/>
  <c r="D17" i="216"/>
  <c r="H16" i="216"/>
  <c r="F16" i="216"/>
  <c r="D16" i="216"/>
  <c r="H15" i="216"/>
  <c r="F15" i="216"/>
  <c r="D15" i="216"/>
  <c r="H14" i="216"/>
  <c r="F14" i="216"/>
  <c r="D14" i="216"/>
  <c r="D13" i="216"/>
  <c r="D12" i="216"/>
  <c r="D11" i="216"/>
  <c r="D10" i="216"/>
  <c r="D9" i="216"/>
  <c r="D8" i="216"/>
  <c r="F4" i="216"/>
  <c r="A3" i="216"/>
  <c r="D55" i="215"/>
  <c r="H49" i="215"/>
  <c r="D49" i="215"/>
  <c r="H48" i="215"/>
  <c r="D48" i="215"/>
  <c r="H47" i="215"/>
  <c r="D47" i="215"/>
  <c r="H46" i="215"/>
  <c r="D46" i="215"/>
  <c r="D40" i="215"/>
  <c r="H39" i="215"/>
  <c r="D39" i="215"/>
  <c r="D38" i="215"/>
  <c r="H37" i="215"/>
  <c r="H36" i="215"/>
  <c r="I35" i="215"/>
  <c r="D37" i="215"/>
  <c r="D36" i="215"/>
  <c r="D35" i="215"/>
  <c r="H30" i="215"/>
  <c r="F30" i="215"/>
  <c r="H29" i="215"/>
  <c r="F29" i="215"/>
  <c r="H28" i="215"/>
  <c r="F28" i="215"/>
  <c r="H27" i="215"/>
  <c r="F27" i="215"/>
  <c r="H26" i="215"/>
  <c r="F26" i="215"/>
  <c r="H25" i="215"/>
  <c r="F25" i="215"/>
  <c r="H19" i="215"/>
  <c r="F19" i="215"/>
  <c r="D19" i="215"/>
  <c r="D18" i="215"/>
  <c r="D17" i="215"/>
  <c r="D16" i="215"/>
  <c r="D15" i="215"/>
  <c r="D14" i="215"/>
  <c r="D13" i="215"/>
  <c r="I40" i="216"/>
  <c r="I36" i="216"/>
  <c r="I43" i="216"/>
  <c r="D12" i="215"/>
  <c r="D11" i="215"/>
  <c r="D10" i="215"/>
  <c r="D9" i="215"/>
  <c r="D8" i="215"/>
  <c r="F4" i="215"/>
  <c r="A3" i="215"/>
  <c r="D55" i="263"/>
  <c r="H49" i="263"/>
  <c r="D49" i="263"/>
  <c r="H48" i="263"/>
  <c r="D48" i="263"/>
  <c r="H47" i="263"/>
  <c r="D47" i="263"/>
  <c r="H46" i="263"/>
  <c r="D46" i="263"/>
  <c r="H40" i="263"/>
  <c r="F40" i="263"/>
  <c r="D40" i="263"/>
  <c r="H39" i="263"/>
  <c r="F39" i="263"/>
  <c r="D39" i="263"/>
  <c r="H37" i="263"/>
  <c r="F37" i="263"/>
  <c r="D37" i="263"/>
  <c r="H36" i="263"/>
  <c r="F36" i="263"/>
  <c r="D36" i="263"/>
  <c r="H30" i="263"/>
  <c r="F30" i="263"/>
  <c r="H29" i="263"/>
  <c r="F29" i="263"/>
  <c r="H28" i="263"/>
  <c r="F28" i="263"/>
  <c r="H27" i="263"/>
  <c r="F27" i="263"/>
  <c r="H26" i="263"/>
  <c r="F26" i="263"/>
  <c r="H25" i="263"/>
  <c r="F25" i="263"/>
  <c r="H24" i="263"/>
  <c r="F24" i="263"/>
  <c r="H19" i="263"/>
  <c r="F19" i="263"/>
  <c r="D19" i="263"/>
  <c r="H18" i="263"/>
  <c r="F18" i="263"/>
  <c r="D18" i="263"/>
  <c r="H17" i="263"/>
  <c r="F17" i="263"/>
  <c r="D17" i="263"/>
  <c r="H16" i="263"/>
  <c r="F16" i="263"/>
  <c r="D16" i="263"/>
  <c r="H15" i="263"/>
  <c r="F15" i="263"/>
  <c r="D15" i="263"/>
  <c r="H14" i="263"/>
  <c r="F14" i="263"/>
  <c r="D14" i="263"/>
  <c r="H13" i="263"/>
  <c r="F13" i="263"/>
  <c r="D13" i="263"/>
  <c r="H12" i="263"/>
  <c r="F12" i="263"/>
  <c r="D12" i="263"/>
  <c r="I35" i="263"/>
  <c r="D11" i="263"/>
  <c r="D10" i="263"/>
  <c r="D9" i="263"/>
  <c r="D8" i="263"/>
  <c r="F4" i="263"/>
  <c r="A3" i="263"/>
  <c r="D55" i="296"/>
  <c r="H49" i="296"/>
  <c r="D49" i="296"/>
  <c r="H48" i="296"/>
  <c r="D48" i="296"/>
  <c r="H47" i="296"/>
  <c r="D47" i="296"/>
  <c r="H46" i="296"/>
  <c r="D46" i="296"/>
  <c r="H40" i="296"/>
  <c r="F40" i="296"/>
  <c r="D40" i="296"/>
  <c r="H39" i="296"/>
  <c r="F39" i="296"/>
  <c r="D39" i="296"/>
  <c r="H37" i="296"/>
  <c r="F37" i="296"/>
  <c r="D37" i="296"/>
  <c r="H36" i="296"/>
  <c r="F36" i="296"/>
  <c r="D36" i="296"/>
  <c r="H35" i="296"/>
  <c r="F35" i="296"/>
  <c r="D35" i="296"/>
  <c r="H29" i="296"/>
  <c r="F29" i="296"/>
  <c r="H28" i="296"/>
  <c r="F28" i="296"/>
  <c r="H27" i="296"/>
  <c r="F27" i="296"/>
  <c r="H26" i="296"/>
  <c r="F26" i="296"/>
  <c r="H25" i="296"/>
  <c r="F25" i="296"/>
  <c r="H24" i="296"/>
  <c r="F24" i="296"/>
  <c r="H18" i="296"/>
  <c r="F18" i="296"/>
  <c r="D18" i="296"/>
  <c r="H17" i="296"/>
  <c r="F17" i="296"/>
  <c r="D17" i="296"/>
  <c r="H16" i="296"/>
  <c r="F16" i="296"/>
  <c r="D16" i="296"/>
  <c r="H15" i="296"/>
  <c r="F15" i="296"/>
  <c r="D15" i="296"/>
  <c r="H14" i="296"/>
  <c r="F14" i="296"/>
  <c r="D14" i="296"/>
  <c r="H13" i="296"/>
  <c r="F13" i="296"/>
  <c r="D13" i="296"/>
  <c r="H12" i="296"/>
  <c r="F12" i="296"/>
  <c r="D12" i="296"/>
  <c r="H11" i="296"/>
  <c r="F11" i="296"/>
  <c r="D11" i="296"/>
  <c r="H10" i="296"/>
  <c r="F10" i="296"/>
  <c r="D10" i="296"/>
  <c r="D9" i="296"/>
  <c r="D8" i="296"/>
  <c r="F4" i="296"/>
  <c r="A3" i="296"/>
  <c r="D55" i="295"/>
  <c r="H49" i="295"/>
  <c r="D49" i="295"/>
  <c r="H48" i="295"/>
  <c r="D48" i="295"/>
  <c r="H47" i="295"/>
  <c r="D47" i="295"/>
  <c r="H46" i="295"/>
  <c r="D46" i="295"/>
  <c r="H40" i="295"/>
  <c r="F40" i="295"/>
  <c r="D40" i="295"/>
  <c r="H39" i="295"/>
  <c r="I38" i="295"/>
  <c r="F39" i="295"/>
  <c r="D39" i="295"/>
  <c r="H37" i="295"/>
  <c r="H35" i="295"/>
  <c r="H36" i="295"/>
  <c r="I34" i="295"/>
  <c r="I41" i="295"/>
  <c r="F37" i="295"/>
  <c r="D37" i="295"/>
  <c r="F36" i="295"/>
  <c r="D36" i="295"/>
  <c r="F35" i="295"/>
  <c r="D35" i="295"/>
  <c r="H29" i="295"/>
  <c r="F29" i="295"/>
  <c r="H28" i="295"/>
  <c r="F28" i="295"/>
  <c r="H27" i="295"/>
  <c r="F27" i="295"/>
  <c r="H26" i="295"/>
  <c r="F26" i="295"/>
  <c r="H25" i="295"/>
  <c r="F25" i="295"/>
  <c r="H24" i="295"/>
  <c r="F24" i="295"/>
  <c r="H18" i="295"/>
  <c r="F18" i="295"/>
  <c r="D18" i="295"/>
  <c r="H17" i="295"/>
  <c r="F17" i="295"/>
  <c r="D17" i="295"/>
  <c r="H16" i="295"/>
  <c r="F16" i="295"/>
  <c r="D16" i="295"/>
  <c r="H15" i="295"/>
  <c r="F15" i="295"/>
  <c r="D15" i="295"/>
  <c r="H14" i="295"/>
  <c r="F14" i="295"/>
  <c r="D14" i="295"/>
  <c r="H13" i="295"/>
  <c r="F13" i="295"/>
  <c r="D13" i="295"/>
  <c r="H12" i="295"/>
  <c r="F12" i="295"/>
  <c r="D12" i="295"/>
  <c r="H11" i="295"/>
  <c r="F11" i="295"/>
  <c r="D11" i="295"/>
  <c r="H10" i="295"/>
  <c r="I38" i="296"/>
  <c r="F10" i="295"/>
  <c r="D10" i="295"/>
  <c r="D9" i="295"/>
  <c r="D8" i="295"/>
  <c r="F4" i="295"/>
  <c r="A3" i="295"/>
  <c r="D55" i="455"/>
  <c r="H49" i="455"/>
  <c r="D49" i="455"/>
  <c r="H48" i="455"/>
  <c r="D48" i="455"/>
  <c r="H47" i="455"/>
  <c r="D47" i="455"/>
  <c r="H46" i="455"/>
  <c r="D46" i="455"/>
  <c r="H40" i="455"/>
  <c r="F40" i="455"/>
  <c r="D40" i="455"/>
  <c r="H39" i="455"/>
  <c r="I38" i="455"/>
  <c r="F39" i="455"/>
  <c r="D39" i="455"/>
  <c r="H37" i="455"/>
  <c r="F37" i="455"/>
  <c r="D37" i="455"/>
  <c r="H36" i="455"/>
  <c r="F36" i="455"/>
  <c r="D36" i="455"/>
  <c r="H35" i="455"/>
  <c r="F35" i="455"/>
  <c r="D35" i="455"/>
  <c r="H29" i="455"/>
  <c r="F29" i="455"/>
  <c r="H28" i="455"/>
  <c r="F28" i="455"/>
  <c r="H27" i="455"/>
  <c r="F27" i="455"/>
  <c r="H26" i="455"/>
  <c r="F26" i="455"/>
  <c r="H25" i="455"/>
  <c r="F25" i="455"/>
  <c r="H18" i="455"/>
  <c r="F18" i="455"/>
  <c r="D18" i="455"/>
  <c r="H17" i="455"/>
  <c r="F17" i="455"/>
  <c r="D17" i="455"/>
  <c r="H16" i="455"/>
  <c r="F16" i="455"/>
  <c r="D16" i="455"/>
  <c r="H15" i="455"/>
  <c r="F15" i="455"/>
  <c r="D15" i="455"/>
  <c r="H14" i="455"/>
  <c r="F14" i="455"/>
  <c r="D14" i="455"/>
  <c r="H13" i="455"/>
  <c r="F13" i="455"/>
  <c r="D13" i="455"/>
  <c r="H12" i="455"/>
  <c r="F12" i="455"/>
  <c r="D12" i="455"/>
  <c r="D11" i="455"/>
  <c r="D10" i="455"/>
  <c r="I34" i="455"/>
  <c r="D9" i="455"/>
  <c r="D8" i="455"/>
  <c r="F4" i="455"/>
  <c r="A3" i="455"/>
  <c r="D55" i="471"/>
  <c r="H49" i="471"/>
  <c r="D49" i="471"/>
  <c r="H48" i="471"/>
  <c r="D48" i="471"/>
  <c r="H47" i="471"/>
  <c r="D47" i="471"/>
  <c r="H46" i="471"/>
  <c r="D46" i="471"/>
  <c r="H40" i="471"/>
  <c r="F40" i="471"/>
  <c r="D40" i="471"/>
  <c r="H39" i="471"/>
  <c r="F39" i="471"/>
  <c r="D39" i="471"/>
  <c r="H37" i="471"/>
  <c r="H35" i="471"/>
  <c r="H36" i="471"/>
  <c r="I34" i="471"/>
  <c r="F37" i="471"/>
  <c r="D37" i="471"/>
  <c r="F36" i="471"/>
  <c r="D36" i="471"/>
  <c r="F35" i="471"/>
  <c r="D35" i="471"/>
  <c r="H29" i="471"/>
  <c r="F29" i="471"/>
  <c r="H28" i="471"/>
  <c r="F28" i="471"/>
  <c r="H27" i="471"/>
  <c r="F27" i="471"/>
  <c r="H26" i="471"/>
  <c r="F26" i="471"/>
  <c r="H25" i="471"/>
  <c r="F25" i="471"/>
  <c r="D24" i="471"/>
  <c r="H18" i="471"/>
  <c r="F18" i="471"/>
  <c r="D18" i="471"/>
  <c r="H17" i="471"/>
  <c r="F17" i="471"/>
  <c r="D17" i="471"/>
  <c r="H16" i="471"/>
  <c r="F16" i="471"/>
  <c r="D16" i="471"/>
  <c r="H15" i="471"/>
  <c r="F15" i="471"/>
  <c r="D15" i="471"/>
  <c r="H14" i="471"/>
  <c r="F14" i="471"/>
  <c r="D14" i="471"/>
  <c r="H13" i="471"/>
  <c r="F13" i="471"/>
  <c r="D13" i="471"/>
  <c r="H12" i="471"/>
  <c r="F12" i="471"/>
  <c r="D12" i="471"/>
  <c r="D11" i="471"/>
  <c r="D10" i="471"/>
  <c r="I38" i="471"/>
  <c r="D9" i="471"/>
  <c r="D8" i="471"/>
  <c r="F4" i="471"/>
  <c r="A3" i="471"/>
  <c r="D55" i="25"/>
  <c r="D24" i="25"/>
  <c r="D11" i="25"/>
  <c r="D10" i="25"/>
  <c r="D9" i="25"/>
  <c r="D8" i="25"/>
  <c r="F4" i="25"/>
  <c r="A3" i="25"/>
  <c r="D55" i="34"/>
  <c r="H49" i="34"/>
  <c r="D49" i="34"/>
  <c r="H48" i="34"/>
  <c r="D48" i="34"/>
  <c r="H47" i="34"/>
  <c r="D47" i="34"/>
  <c r="H46" i="34"/>
  <c r="D46" i="34"/>
  <c r="H40" i="34"/>
  <c r="F40" i="34"/>
  <c r="D40" i="34"/>
  <c r="H39" i="34"/>
  <c r="F39" i="34"/>
  <c r="D39" i="34"/>
  <c r="H37" i="34"/>
  <c r="H35" i="34"/>
  <c r="H36" i="34"/>
  <c r="I34" i="34"/>
  <c r="I38" i="34"/>
  <c r="I41" i="34"/>
  <c r="F37" i="34"/>
  <c r="D37" i="34"/>
  <c r="F36" i="34"/>
  <c r="D36" i="34"/>
  <c r="F35" i="34"/>
  <c r="D35" i="34"/>
  <c r="H29" i="34"/>
  <c r="F29" i="34"/>
  <c r="H28" i="34"/>
  <c r="F28" i="34"/>
  <c r="H27" i="34"/>
  <c r="F27" i="34"/>
  <c r="F26" i="34"/>
  <c r="H25" i="34"/>
  <c r="F25" i="34"/>
  <c r="H18" i="34"/>
  <c r="F18" i="34"/>
  <c r="D18" i="34"/>
  <c r="H17" i="34"/>
  <c r="F17" i="34"/>
  <c r="D17" i="34"/>
  <c r="H16" i="34"/>
  <c r="F16" i="34"/>
  <c r="D16" i="34"/>
  <c r="H15" i="34"/>
  <c r="F15" i="34"/>
  <c r="D15" i="34"/>
  <c r="H14" i="34"/>
  <c r="F14" i="34"/>
  <c r="D14" i="34"/>
  <c r="H13" i="34"/>
  <c r="F13" i="34"/>
  <c r="D13" i="34"/>
  <c r="H12" i="34"/>
  <c r="F12" i="34"/>
  <c r="D12" i="34"/>
  <c r="D11" i="34"/>
  <c r="D10" i="34"/>
  <c r="D9" i="34"/>
  <c r="D8" i="34"/>
  <c r="F4" i="34"/>
  <c r="A3" i="34"/>
  <c r="D55" i="30"/>
  <c r="H49" i="30"/>
  <c r="D49" i="30"/>
  <c r="H48" i="30"/>
  <c r="D48" i="30"/>
  <c r="H47" i="30"/>
  <c r="D47" i="30"/>
  <c r="H46" i="30"/>
  <c r="D46" i="30"/>
  <c r="H40" i="30"/>
  <c r="F40" i="30"/>
  <c r="D40" i="30"/>
  <c r="H39" i="30"/>
  <c r="F39" i="30"/>
  <c r="D39" i="30"/>
  <c r="H37" i="30"/>
  <c r="F37" i="30"/>
  <c r="D37" i="30"/>
  <c r="H36" i="30"/>
  <c r="H35" i="30"/>
  <c r="I34" i="30"/>
  <c r="F36" i="30"/>
  <c r="D36" i="30"/>
  <c r="F35" i="30"/>
  <c r="D35" i="30"/>
  <c r="H29" i="30"/>
  <c r="F29" i="30"/>
  <c r="H28" i="30"/>
  <c r="F28" i="30"/>
  <c r="H27" i="30"/>
  <c r="F27" i="30"/>
  <c r="H26" i="30"/>
  <c r="F26" i="30"/>
  <c r="H25" i="30"/>
  <c r="F25" i="30"/>
  <c r="H18" i="30"/>
  <c r="F18" i="30"/>
  <c r="D18" i="30"/>
  <c r="H17" i="30"/>
  <c r="F17" i="30"/>
  <c r="D17" i="30"/>
  <c r="H16" i="30"/>
  <c r="F16" i="30"/>
  <c r="D16" i="30"/>
  <c r="H15" i="30"/>
  <c r="F15" i="30"/>
  <c r="D15" i="30"/>
  <c r="H14" i="30"/>
  <c r="F14" i="30"/>
  <c r="D14" i="30"/>
  <c r="H13" i="30"/>
  <c r="F13" i="30"/>
  <c r="D13" i="30"/>
  <c r="H12" i="30"/>
  <c r="F12" i="30"/>
  <c r="D12" i="30"/>
  <c r="D11" i="30"/>
  <c r="D10" i="30"/>
  <c r="D9" i="30"/>
  <c r="D8" i="30"/>
  <c r="F4" i="30"/>
  <c r="A3" i="30"/>
  <c r="H49" i="165"/>
  <c r="D49" i="165"/>
  <c r="H48" i="165"/>
  <c r="D48" i="165"/>
  <c r="H47" i="165"/>
  <c r="D47" i="165"/>
  <c r="H46" i="165"/>
  <c r="D46" i="165"/>
  <c r="H40" i="165"/>
  <c r="F40" i="165"/>
  <c r="D40" i="165"/>
  <c r="H39" i="165"/>
  <c r="I38" i="165"/>
  <c r="F39" i="165"/>
  <c r="D39" i="165"/>
  <c r="H37" i="165"/>
  <c r="F37" i="165"/>
  <c r="D37" i="165"/>
  <c r="H36" i="165"/>
  <c r="F36" i="165"/>
  <c r="D36" i="165"/>
  <c r="H35" i="165"/>
  <c r="F35" i="165"/>
  <c r="D35" i="165"/>
  <c r="H29" i="165"/>
  <c r="F29" i="165"/>
  <c r="H28" i="165"/>
  <c r="F28" i="165"/>
  <c r="H27" i="165"/>
  <c r="F27" i="165"/>
  <c r="H26" i="165"/>
  <c r="F26" i="165"/>
  <c r="H25" i="165"/>
  <c r="F25" i="165"/>
  <c r="H18" i="165"/>
  <c r="F18" i="165"/>
  <c r="D18" i="165"/>
  <c r="H17" i="165"/>
  <c r="F17" i="165"/>
  <c r="D17" i="165"/>
  <c r="H16" i="165"/>
  <c r="F16" i="165"/>
  <c r="D16" i="165"/>
  <c r="H15" i="165"/>
  <c r="F15" i="165"/>
  <c r="D15" i="165"/>
  <c r="H14" i="165"/>
  <c r="F14" i="165"/>
  <c r="D14" i="165"/>
  <c r="H13" i="165"/>
  <c r="F13" i="165"/>
  <c r="D13" i="165"/>
  <c r="H12" i="165"/>
  <c r="F12" i="165"/>
  <c r="D12" i="165"/>
  <c r="H11" i="165"/>
  <c r="F11" i="165"/>
  <c r="D11" i="165"/>
  <c r="D10" i="165"/>
  <c r="D9" i="165"/>
  <c r="D8" i="165"/>
  <c r="F4" i="165"/>
  <c r="A3" i="165"/>
  <c r="D55" i="155"/>
  <c r="H49" i="155"/>
  <c r="D49" i="155"/>
  <c r="H48" i="155"/>
  <c r="D48" i="155"/>
  <c r="H47" i="155"/>
  <c r="D47" i="155"/>
  <c r="H46" i="155"/>
  <c r="D46" i="155"/>
  <c r="H40" i="155"/>
  <c r="F40" i="155"/>
  <c r="D40" i="155"/>
  <c r="H39" i="155"/>
  <c r="I38" i="155"/>
  <c r="F39" i="155"/>
  <c r="D39" i="155"/>
  <c r="H37" i="155"/>
  <c r="F37" i="155"/>
  <c r="D37" i="155"/>
  <c r="H36" i="155"/>
  <c r="F36" i="155"/>
  <c r="D36" i="155"/>
  <c r="H35" i="155"/>
  <c r="F35" i="155"/>
  <c r="D35" i="155"/>
  <c r="H29" i="155"/>
  <c r="F29" i="155"/>
  <c r="H28" i="155"/>
  <c r="F28" i="155"/>
  <c r="H27" i="155"/>
  <c r="F27" i="155"/>
  <c r="H26" i="155"/>
  <c r="F26" i="155"/>
  <c r="H25" i="155"/>
  <c r="F25" i="155"/>
  <c r="H18" i="155"/>
  <c r="F18" i="155"/>
  <c r="D18" i="155"/>
  <c r="H17" i="155"/>
  <c r="F17" i="155"/>
  <c r="D17" i="155"/>
  <c r="H16" i="155"/>
  <c r="F16" i="155"/>
  <c r="D16" i="155"/>
  <c r="H15" i="155"/>
  <c r="F15" i="155"/>
  <c r="D15" i="155"/>
  <c r="H14" i="155"/>
  <c r="F14" i="155"/>
  <c r="D14" i="155"/>
  <c r="H13" i="155"/>
  <c r="F13" i="155"/>
  <c r="D13" i="155"/>
  <c r="H12" i="155"/>
  <c r="F12" i="155"/>
  <c r="D12" i="155"/>
  <c r="H11" i="155"/>
  <c r="F11" i="155"/>
  <c r="D11" i="155"/>
  <c r="D10" i="155"/>
  <c r="D9" i="155"/>
  <c r="D8" i="155"/>
  <c r="F4" i="155"/>
  <c r="A3" i="155"/>
  <c r="D55" i="259"/>
  <c r="H49" i="259"/>
  <c r="D49" i="259"/>
  <c r="H48" i="259"/>
  <c r="D48" i="259"/>
  <c r="H47" i="259"/>
  <c r="D47" i="259"/>
  <c r="H46" i="259"/>
  <c r="D46" i="259"/>
  <c r="H40" i="259"/>
  <c r="H39" i="259"/>
  <c r="I38" i="259"/>
  <c r="F40" i="259"/>
  <c r="D40" i="259"/>
  <c r="F39" i="259"/>
  <c r="D39" i="259"/>
  <c r="H37" i="259"/>
  <c r="F37" i="259"/>
  <c r="D37" i="259"/>
  <c r="H36" i="259"/>
  <c r="F36" i="259"/>
  <c r="D36" i="259"/>
  <c r="H35" i="259"/>
  <c r="F35" i="259"/>
  <c r="D35" i="259"/>
  <c r="H29" i="259"/>
  <c r="F29" i="259"/>
  <c r="H28" i="259"/>
  <c r="F28" i="259"/>
  <c r="H27" i="259"/>
  <c r="F27" i="259"/>
  <c r="H26" i="259"/>
  <c r="F26" i="259"/>
  <c r="H25" i="259"/>
  <c r="F25" i="259"/>
  <c r="H18" i="259"/>
  <c r="F18" i="259"/>
  <c r="D18" i="259"/>
  <c r="H17" i="259"/>
  <c r="F17" i="259"/>
  <c r="D17" i="259"/>
  <c r="H16" i="259"/>
  <c r="F16" i="259"/>
  <c r="D16" i="259"/>
  <c r="H15" i="259"/>
  <c r="F15" i="259"/>
  <c r="D15" i="259"/>
  <c r="H14" i="259"/>
  <c r="F14" i="259"/>
  <c r="D14" i="259"/>
  <c r="H13" i="259"/>
  <c r="F13" i="259"/>
  <c r="D13" i="259"/>
  <c r="H12" i="259"/>
  <c r="F12" i="259"/>
  <c r="D12" i="259"/>
  <c r="D11" i="259"/>
  <c r="D10" i="259"/>
  <c r="D9" i="259"/>
  <c r="D8" i="259"/>
  <c r="F4" i="259"/>
  <c r="A3" i="259"/>
  <c r="D55" i="225"/>
  <c r="H49" i="225"/>
  <c r="D49" i="225"/>
  <c r="H48" i="225"/>
  <c r="D48" i="225"/>
  <c r="H47" i="225"/>
  <c r="D47" i="225"/>
  <c r="H46" i="225"/>
  <c r="D46" i="225"/>
  <c r="H40" i="225"/>
  <c r="F40" i="225"/>
  <c r="D40" i="225"/>
  <c r="H39" i="225"/>
  <c r="I38" i="225"/>
  <c r="H36" i="225"/>
  <c r="H37" i="225"/>
  <c r="I35" i="225"/>
  <c r="I41" i="225"/>
  <c r="F39" i="225"/>
  <c r="D39" i="225"/>
  <c r="F37" i="225"/>
  <c r="D37" i="225"/>
  <c r="F36" i="225"/>
  <c r="D36" i="225"/>
  <c r="H29" i="225"/>
  <c r="F29" i="225"/>
  <c r="H28" i="225"/>
  <c r="F28" i="225"/>
  <c r="H27" i="225"/>
  <c r="F27" i="225"/>
  <c r="H26" i="225"/>
  <c r="F26" i="225"/>
  <c r="H25" i="225"/>
  <c r="F25" i="225"/>
  <c r="H18" i="225"/>
  <c r="F18" i="225"/>
  <c r="D18" i="225"/>
  <c r="H17" i="225"/>
  <c r="F17" i="225"/>
  <c r="D17" i="225"/>
  <c r="H16" i="225"/>
  <c r="F16" i="225"/>
  <c r="D16" i="225"/>
  <c r="H15" i="225"/>
  <c r="F15" i="225"/>
  <c r="D15" i="225"/>
  <c r="H14" i="225"/>
  <c r="F14" i="225"/>
  <c r="D14" i="225"/>
  <c r="H13" i="225"/>
  <c r="F13" i="225"/>
  <c r="D13" i="225"/>
  <c r="H12" i="225"/>
  <c r="F12" i="225"/>
  <c r="D12" i="225"/>
  <c r="H11" i="225"/>
  <c r="F11" i="225"/>
  <c r="D11" i="225"/>
  <c r="D10" i="225"/>
  <c r="D9" i="225"/>
  <c r="D8" i="225"/>
  <c r="F4" i="225"/>
  <c r="A3" i="225"/>
  <c r="D55" i="232"/>
  <c r="H49" i="232"/>
  <c r="D49" i="232"/>
  <c r="H48" i="232"/>
  <c r="D48" i="232"/>
  <c r="H47" i="232"/>
  <c r="D47" i="232"/>
  <c r="H46" i="232"/>
  <c r="D46" i="232"/>
  <c r="H40" i="232"/>
  <c r="F40" i="232"/>
  <c r="D40" i="232"/>
  <c r="H39" i="232"/>
  <c r="I38" i="232"/>
  <c r="F39" i="232"/>
  <c r="D39" i="232"/>
  <c r="H37" i="232"/>
  <c r="F37" i="232"/>
  <c r="D37" i="232"/>
  <c r="H36" i="232"/>
  <c r="F36" i="232"/>
  <c r="D36" i="232"/>
  <c r="H29" i="232"/>
  <c r="F29" i="232"/>
  <c r="H28" i="232"/>
  <c r="F28" i="232"/>
  <c r="H27" i="232"/>
  <c r="F27" i="232"/>
  <c r="H26" i="232"/>
  <c r="F26" i="232"/>
  <c r="H25" i="232"/>
  <c r="F25" i="232"/>
  <c r="H18" i="232"/>
  <c r="F18" i="232"/>
  <c r="D18" i="232"/>
  <c r="H17" i="232"/>
  <c r="F17" i="232"/>
  <c r="D17" i="232"/>
  <c r="H16" i="232"/>
  <c r="F16" i="232"/>
  <c r="D16" i="232"/>
  <c r="H15" i="232"/>
  <c r="F15" i="232"/>
  <c r="D15" i="232"/>
  <c r="H14" i="232"/>
  <c r="F14" i="232"/>
  <c r="D14" i="232"/>
  <c r="H13" i="232"/>
  <c r="F13" i="232"/>
  <c r="D13" i="232"/>
  <c r="H12" i="232"/>
  <c r="F12" i="232"/>
  <c r="D12" i="232"/>
  <c r="D11" i="232"/>
  <c r="D10" i="232"/>
  <c r="D9" i="232"/>
  <c r="D8" i="232"/>
  <c r="F4" i="232"/>
  <c r="A3" i="232"/>
  <c r="D56" i="98"/>
  <c r="H50" i="98"/>
  <c r="D50" i="98"/>
  <c r="H49" i="98"/>
  <c r="D49" i="98"/>
  <c r="H48" i="98"/>
  <c r="D48" i="98"/>
  <c r="H47" i="98"/>
  <c r="D47" i="98"/>
  <c r="H41" i="98"/>
  <c r="F41" i="98"/>
  <c r="D41" i="98"/>
  <c r="H40" i="98"/>
  <c r="F40" i="98"/>
  <c r="D40" i="98"/>
  <c r="H38" i="98"/>
  <c r="F38" i="98"/>
  <c r="D38" i="98"/>
  <c r="H37" i="98"/>
  <c r="I36" i="98"/>
  <c r="F37" i="98"/>
  <c r="D37" i="98"/>
  <c r="H30" i="98"/>
  <c r="F30" i="98"/>
  <c r="H29" i="98"/>
  <c r="F29" i="98"/>
  <c r="H28" i="98"/>
  <c r="F28" i="98"/>
  <c r="H27" i="98"/>
  <c r="F27" i="98"/>
  <c r="H26" i="98"/>
  <c r="F26" i="98"/>
  <c r="D25" i="98"/>
  <c r="H19" i="98"/>
  <c r="F19" i="98"/>
  <c r="D19" i="98"/>
  <c r="H18" i="98"/>
  <c r="F18" i="98"/>
  <c r="D18" i="98"/>
  <c r="H16" i="98"/>
  <c r="F16" i="98"/>
  <c r="D16" i="98"/>
  <c r="H15" i="98"/>
  <c r="F15" i="98"/>
  <c r="D15" i="98"/>
  <c r="H14" i="98"/>
  <c r="F14" i="98"/>
  <c r="D14" i="98"/>
  <c r="H13" i="98"/>
  <c r="F13" i="98"/>
  <c r="D13" i="98"/>
  <c r="H12" i="98"/>
  <c r="F12" i="98"/>
  <c r="D12" i="98"/>
  <c r="H11" i="98"/>
  <c r="F11" i="98"/>
  <c r="D11" i="98"/>
  <c r="D10" i="98"/>
  <c r="D9" i="98"/>
  <c r="D8" i="98"/>
  <c r="F4" i="98"/>
  <c r="A3" i="98"/>
  <c r="D59" i="338"/>
  <c r="H53" i="338"/>
  <c r="D53" i="338"/>
  <c r="H52" i="338"/>
  <c r="D52" i="338"/>
  <c r="H51" i="338"/>
  <c r="D51" i="338"/>
  <c r="H50" i="338"/>
  <c r="D50" i="338"/>
  <c r="H49" i="338"/>
  <c r="D49" i="338"/>
  <c r="H44" i="338"/>
  <c r="F44" i="338"/>
  <c r="D44" i="338"/>
  <c r="H43" i="338"/>
  <c r="I42" i="338"/>
  <c r="F43" i="338"/>
  <c r="D43" i="338"/>
  <c r="H41" i="338"/>
  <c r="H39" i="338"/>
  <c r="H40" i="338"/>
  <c r="I38" i="338"/>
  <c r="I45" i="338"/>
  <c r="F41" i="338"/>
  <c r="D41" i="338"/>
  <c r="F40" i="338"/>
  <c r="D40" i="338"/>
  <c r="F39" i="338"/>
  <c r="D39" i="338"/>
  <c r="H33" i="338"/>
  <c r="H32" i="338"/>
  <c r="H31" i="338"/>
  <c r="H30" i="338"/>
  <c r="H29" i="338"/>
  <c r="H28" i="338"/>
  <c r="H27" i="338"/>
  <c r="I34" i="338"/>
  <c r="F27" i="338"/>
  <c r="H22" i="338"/>
  <c r="H21" i="338"/>
  <c r="F21" i="338"/>
  <c r="H20" i="338"/>
  <c r="F20" i="338"/>
  <c r="H19" i="338"/>
  <c r="F19" i="338"/>
  <c r="H18" i="338"/>
  <c r="F18" i="338"/>
  <c r="H17" i="338"/>
  <c r="F17" i="338"/>
  <c r="H16" i="338"/>
  <c r="F16" i="338"/>
  <c r="H15" i="338"/>
  <c r="F15" i="338"/>
  <c r="H14" i="338"/>
  <c r="F14" i="338"/>
  <c r="H13" i="338"/>
  <c r="F13" i="338"/>
  <c r="H12" i="338"/>
  <c r="F12" i="338"/>
  <c r="H11" i="338"/>
  <c r="F11" i="338"/>
  <c r="H10" i="338"/>
  <c r="F10" i="338"/>
  <c r="H9" i="338"/>
  <c r="F9" i="338"/>
  <c r="D9" i="338"/>
  <c r="H8" i="338"/>
  <c r="F8" i="338"/>
  <c r="D8" i="338"/>
  <c r="F4" i="338"/>
  <c r="A3" i="338"/>
  <c r="I34" i="165"/>
  <c r="I34" i="259"/>
  <c r="I41" i="259"/>
  <c r="I39" i="98"/>
  <c r="I35" i="232"/>
  <c r="I34" i="155"/>
  <c r="I38" i="30"/>
  <c r="I41" i="165"/>
  <c r="I41" i="30"/>
  <c r="F12" i="197"/>
  <c r="H12" i="197"/>
  <c r="F8" i="284"/>
  <c r="H8" i="284"/>
  <c r="I19" i="284"/>
  <c r="F13" i="392"/>
  <c r="H13" i="392"/>
  <c r="F9" i="540"/>
  <c r="H9" i="540"/>
  <c r="F8" i="543"/>
  <c r="H8" i="543"/>
  <c r="F13" i="606"/>
  <c r="H13" i="606"/>
  <c r="F9" i="606"/>
  <c r="H9" i="606"/>
  <c r="F11" i="403"/>
  <c r="H11" i="403"/>
  <c r="F9" i="594"/>
  <c r="H9" i="594"/>
  <c r="F8" i="392"/>
  <c r="H8" i="392"/>
  <c r="F9" i="539"/>
  <c r="H9" i="539"/>
  <c r="F8" i="604"/>
  <c r="H8" i="604"/>
  <c r="F8" i="409"/>
  <c r="H8" i="409"/>
  <c r="F8" i="407"/>
  <c r="H8" i="407"/>
  <c r="F8" i="408"/>
  <c r="H8" i="408"/>
  <c r="F8" i="568"/>
  <c r="H8" i="568"/>
  <c r="F8" i="348"/>
  <c r="H8" i="348"/>
  <c r="F8" i="403"/>
  <c r="H8" i="403"/>
  <c r="F8" i="606"/>
  <c r="H8" i="606"/>
  <c r="F12" i="391"/>
  <c r="H12" i="391"/>
  <c r="F8" i="591"/>
  <c r="H8" i="591"/>
  <c r="F8" i="595"/>
  <c r="H8" i="595"/>
  <c r="F9" i="333"/>
  <c r="H9" i="333"/>
  <c r="F8" i="333"/>
  <c r="H8" i="333"/>
  <c r="F8" i="542"/>
  <c r="H8" i="542"/>
  <c r="F9" i="542"/>
  <c r="H9" i="542"/>
  <c r="F9" i="251"/>
  <c r="H9" i="251"/>
  <c r="F15" i="287"/>
  <c r="H15" i="287"/>
  <c r="F13" i="387"/>
  <c r="H13" i="387"/>
  <c r="F8" i="614"/>
  <c r="H8" i="614"/>
  <c r="F8" i="616"/>
  <c r="H8" i="616"/>
  <c r="F10" i="539"/>
  <c r="H10" i="539"/>
  <c r="F8" i="638"/>
  <c r="H8" i="638"/>
  <c r="F14" i="640"/>
  <c r="H14" i="640"/>
  <c r="F10" i="287"/>
  <c r="H10" i="287"/>
  <c r="F14" i="215"/>
  <c r="H14" i="215"/>
  <c r="F8" i="555"/>
  <c r="H8" i="555"/>
  <c r="I19" i="555"/>
  <c r="V85" i="720"/>
  <c r="F8" i="556"/>
  <c r="H8" i="556"/>
  <c r="I19" i="556"/>
  <c r="V86" i="721"/>
  <c r="W86" i="721"/>
  <c r="F8" i="557"/>
  <c r="H8" i="557"/>
  <c r="I19" i="557"/>
  <c r="V87" i="721"/>
  <c r="W87" i="721"/>
  <c r="F8" i="497"/>
  <c r="H8" i="497"/>
  <c r="F15" i="640"/>
  <c r="H15" i="640"/>
  <c r="F12" i="497"/>
  <c r="H12" i="497"/>
  <c r="F10" i="471"/>
  <c r="H10" i="471"/>
  <c r="F10" i="34"/>
  <c r="H10" i="34"/>
  <c r="F10" i="25"/>
  <c r="H10" i="25"/>
  <c r="F10" i="263"/>
  <c r="H10" i="263"/>
  <c r="F17" i="197"/>
  <c r="F9" i="600"/>
  <c r="H9" i="600"/>
  <c r="F10" i="216"/>
  <c r="H10" i="216"/>
  <c r="F16" i="215"/>
  <c r="H16" i="215"/>
  <c r="F9" i="612"/>
  <c r="H9" i="612"/>
  <c r="F9" i="609"/>
  <c r="H9" i="609"/>
  <c r="F9" i="633"/>
  <c r="H9" i="633"/>
  <c r="F11" i="216"/>
  <c r="H11" i="216"/>
  <c r="F16" i="252"/>
  <c r="H16" i="252"/>
  <c r="H17" i="197"/>
  <c r="F10" i="625"/>
  <c r="H10" i="625"/>
  <c r="F8" i="413"/>
  <c r="H8" i="413"/>
  <c r="I22" i="413"/>
  <c r="F13" i="383"/>
  <c r="H13" i="383"/>
  <c r="F8" i="398"/>
  <c r="H8" i="398"/>
  <c r="I22" i="398"/>
  <c r="V391" i="720"/>
  <c r="D391" i="720"/>
  <c r="W391" i="720"/>
  <c r="F8" i="734"/>
  <c r="H8" i="734"/>
  <c r="F9" i="287"/>
  <c r="H9" i="287"/>
  <c r="F9" i="466"/>
  <c r="H9" i="466"/>
  <c r="F8" i="509"/>
  <c r="H8" i="509"/>
  <c r="F10" i="543"/>
  <c r="H10" i="543"/>
  <c r="F18" i="197"/>
  <c r="H18" i="197"/>
  <c r="F13" i="448"/>
  <c r="H13" i="448"/>
  <c r="F8" i="639"/>
  <c r="H8" i="639"/>
  <c r="F8" i="496"/>
  <c r="H8" i="496"/>
  <c r="F8" i="600"/>
  <c r="H8" i="600"/>
  <c r="F8" i="601"/>
  <c r="H8" i="601"/>
  <c r="F9" i="597"/>
  <c r="H9" i="597"/>
  <c r="F14" i="197"/>
  <c r="H14" i="197"/>
  <c r="F9" i="635"/>
  <c r="H9" i="635"/>
  <c r="F8" i="337"/>
  <c r="H8" i="337"/>
  <c r="F8" i="334"/>
  <c r="H8" i="334"/>
  <c r="F12" i="381"/>
  <c r="H12" i="381"/>
  <c r="F9" i="593"/>
  <c r="H9" i="593"/>
  <c r="F9" i="543"/>
  <c r="H9" i="543"/>
  <c r="I18" i="543"/>
  <c r="V363" i="720"/>
  <c r="D363" i="720"/>
  <c r="W363" i="720"/>
  <c r="F9" i="541"/>
  <c r="H9" i="541"/>
  <c r="F12" i="540"/>
  <c r="H12" i="540"/>
  <c r="F13" i="539"/>
  <c r="H13" i="539"/>
  <c r="F9" i="548"/>
  <c r="H9" i="548"/>
  <c r="F11" i="633"/>
  <c r="H11" i="633"/>
  <c r="F8" i="633"/>
  <c r="H8" i="633"/>
  <c r="F10" i="633"/>
  <c r="H10" i="633"/>
  <c r="F12" i="633"/>
  <c r="H12" i="633"/>
  <c r="I19" i="633"/>
  <c r="F8" i="707"/>
  <c r="H8" i="707"/>
  <c r="I19" i="707"/>
  <c r="V781" i="721"/>
  <c r="W781" i="721"/>
  <c r="F9" i="509"/>
  <c r="H9" i="509"/>
  <c r="F10" i="333"/>
  <c r="H10" i="333"/>
  <c r="F13" i="436"/>
  <c r="H13" i="436"/>
  <c r="F13" i="364"/>
  <c r="H13" i="364"/>
  <c r="F14" i="280"/>
  <c r="H14" i="280"/>
  <c r="F11" i="448"/>
  <c r="H11" i="448"/>
  <c r="F12" i="280"/>
  <c r="H12" i="280"/>
  <c r="F8" i="436"/>
  <c r="H8" i="436"/>
  <c r="F9" i="448"/>
  <c r="H9" i="448"/>
  <c r="F8" i="450"/>
  <c r="H8" i="450"/>
  <c r="F12" i="640"/>
  <c r="H12" i="640"/>
  <c r="F10" i="640"/>
  <c r="H10" i="640"/>
  <c r="F8" i="448"/>
  <c r="H8" i="448"/>
  <c r="F15" i="304"/>
  <c r="H15" i="304"/>
  <c r="F11" i="651"/>
  <c r="H11" i="651"/>
  <c r="F14" i="250"/>
  <c r="H14" i="250"/>
  <c r="F12" i="387"/>
  <c r="H12" i="387"/>
  <c r="F12" i="623"/>
  <c r="H12" i="623"/>
  <c r="F13" i="291"/>
  <c r="H13" i="291"/>
  <c r="F8" i="550"/>
  <c r="H8" i="550"/>
  <c r="F16" i="278"/>
  <c r="H16" i="278"/>
  <c r="V464" i="720"/>
  <c r="V464" i="721"/>
  <c r="F9" i="277"/>
  <c r="H9" i="277"/>
  <c r="F13" i="494"/>
  <c r="H13" i="494"/>
  <c r="F8" i="583"/>
  <c r="H8" i="583"/>
  <c r="F8" i="263"/>
  <c r="H8" i="263"/>
  <c r="F8" i="466"/>
  <c r="H8" i="466"/>
  <c r="F8" i="304"/>
  <c r="H8" i="304"/>
  <c r="F8" i="538"/>
  <c r="H8" i="538"/>
  <c r="F8" i="582"/>
  <c r="H8" i="582"/>
  <c r="F9" i="734"/>
  <c r="H9" i="734"/>
  <c r="F8" i="552"/>
  <c r="H8" i="552"/>
  <c r="I17" i="552"/>
  <c r="F15" i="278"/>
  <c r="H15" i="278"/>
  <c r="F16" i="360"/>
  <c r="H16" i="360"/>
  <c r="F16" i="342"/>
  <c r="H16" i="342"/>
  <c r="F13" i="568"/>
  <c r="H13" i="568"/>
  <c r="F8" i="535"/>
  <c r="H8" i="535"/>
  <c r="F14" i="436"/>
  <c r="H14" i="436"/>
  <c r="F9" i="197"/>
  <c r="H9" i="197"/>
  <c r="F8" i="383"/>
  <c r="H8" i="383"/>
  <c r="F13" i="280"/>
  <c r="H13" i="280"/>
  <c r="F15" i="333"/>
  <c r="H15" i="333"/>
  <c r="F11" i="623"/>
  <c r="H11" i="623"/>
  <c r="F17" i="436"/>
  <c r="H17" i="436"/>
  <c r="F8" i="283"/>
  <c r="H8" i="283"/>
  <c r="I19" i="283"/>
  <c r="F9" i="501"/>
  <c r="H9" i="501"/>
  <c r="F12" i="445"/>
  <c r="H12" i="445"/>
  <c r="F14" i="497"/>
  <c r="H14" i="497"/>
  <c r="F14" i="623"/>
  <c r="H14" i="623"/>
  <c r="F8" i="537"/>
  <c r="H8" i="537"/>
  <c r="F10" i="592"/>
  <c r="H10" i="592"/>
  <c r="F11" i="287"/>
  <c r="H11" i="287"/>
  <c r="F9" i="216"/>
  <c r="H9" i="216"/>
  <c r="F10" i="614"/>
  <c r="H10" i="614"/>
  <c r="F8" i="252"/>
  <c r="H8" i="252"/>
  <c r="F10" i="595"/>
  <c r="H10" i="595"/>
  <c r="F8" i="216"/>
  <c r="H8" i="216"/>
  <c r="F13" i="566"/>
  <c r="H13" i="566"/>
  <c r="F10" i="407"/>
  <c r="H10" i="407"/>
  <c r="F8" i="596"/>
  <c r="H8" i="596"/>
  <c r="F8" i="612"/>
  <c r="H8" i="612"/>
  <c r="F10" i="512"/>
  <c r="H10" i="512"/>
  <c r="F9" i="716"/>
  <c r="H9" i="716"/>
  <c r="F8" i="225"/>
  <c r="H8" i="225"/>
  <c r="F8" i="34"/>
  <c r="H8" i="34"/>
  <c r="F11" i="291"/>
  <c r="H11" i="291"/>
  <c r="F8" i="155"/>
  <c r="H8" i="155"/>
  <c r="F10" i="507"/>
  <c r="H10" i="507"/>
  <c r="F8" i="165"/>
  <c r="H8" i="165"/>
  <c r="F10" i="381"/>
  <c r="H10" i="381"/>
  <c r="F8" i="471"/>
  <c r="H8" i="471"/>
  <c r="F8" i="98"/>
  <c r="H8" i="98"/>
  <c r="F8" i="259"/>
  <c r="H8" i="259"/>
  <c r="F8" i="25"/>
  <c r="H8" i="25"/>
  <c r="F8" i="232"/>
  <c r="H8" i="232"/>
  <c r="F8" i="30"/>
  <c r="H8" i="30"/>
  <c r="F8" i="455"/>
  <c r="H8" i="455"/>
  <c r="F8" i="271"/>
  <c r="H8" i="271"/>
  <c r="F10" i="508"/>
  <c r="H10" i="508"/>
  <c r="V253" i="720"/>
  <c r="V253" i="721"/>
  <c r="V254" i="720"/>
  <c r="W254" i="720"/>
  <c r="V254" i="721"/>
  <c r="W253" i="720"/>
  <c r="W252" i="720"/>
  <c r="V711" i="720"/>
  <c r="V711" i="721"/>
  <c r="F8" i="278"/>
  <c r="H8" i="278"/>
  <c r="F8" i="484"/>
  <c r="H8" i="484"/>
  <c r="F12" i="436"/>
  <c r="H12" i="436"/>
  <c r="F12" i="215"/>
  <c r="H12" i="215"/>
  <c r="F10" i="619"/>
  <c r="H10" i="619"/>
  <c r="F13" i="215"/>
  <c r="H13" i="215"/>
  <c r="F8" i="579"/>
  <c r="H8" i="579"/>
  <c r="F8" i="473"/>
  <c r="H8" i="473"/>
  <c r="F8" i="237"/>
  <c r="H8" i="237"/>
  <c r="F8" i="242"/>
  <c r="H8" i="242"/>
  <c r="F12" i="450"/>
  <c r="H12" i="450"/>
  <c r="F9" i="463"/>
  <c r="H9" i="463"/>
  <c r="F8" i="651"/>
  <c r="H8" i="651"/>
  <c r="F8" i="287"/>
  <c r="H8" i="287"/>
  <c r="F9" i="461"/>
  <c r="H9" i="461"/>
  <c r="F12" i="538"/>
  <c r="H12" i="538"/>
  <c r="F9" i="271"/>
  <c r="H9" i="271"/>
  <c r="V649" i="720"/>
  <c r="W649" i="720"/>
  <c r="W648" i="720"/>
  <c r="V649" i="721"/>
  <c r="V586" i="720"/>
  <c r="V586" i="721"/>
  <c r="F9" i="225"/>
  <c r="H9" i="225"/>
  <c r="F8" i="388"/>
  <c r="H8" i="388"/>
  <c r="F13" i="640"/>
  <c r="H13" i="640"/>
  <c r="F8" i="623"/>
  <c r="H8" i="623"/>
  <c r="F11" i="514"/>
  <c r="H11" i="514"/>
  <c r="V84" i="721"/>
  <c r="F12" i="408"/>
  <c r="H12" i="408"/>
  <c r="F9" i="556"/>
  <c r="H9" i="556"/>
  <c r="F9" i="562"/>
  <c r="H9" i="562"/>
  <c r="F11" i="409"/>
  <c r="H11" i="409"/>
  <c r="F14" i="569"/>
  <c r="H14" i="569"/>
  <c r="F9" i="516"/>
  <c r="H9" i="516"/>
  <c r="F9" i="555"/>
  <c r="H9" i="555"/>
  <c r="F9" i="557"/>
  <c r="H9" i="557"/>
  <c r="F9" i="561"/>
  <c r="H9" i="561"/>
  <c r="F9" i="563"/>
  <c r="H9" i="563"/>
  <c r="F9" i="407"/>
  <c r="H9" i="407"/>
  <c r="F11" i="434"/>
  <c r="H11" i="434"/>
  <c r="F13" i="345"/>
  <c r="H13" i="345"/>
  <c r="F9" i="649"/>
  <c r="H9" i="649"/>
  <c r="V84" i="720"/>
  <c r="V91" i="720"/>
  <c r="V91" i="721"/>
  <c r="V14" i="720"/>
  <c r="V14" i="721"/>
  <c r="E14" i="721"/>
  <c r="F14" i="721"/>
  <c r="F13" i="638"/>
  <c r="H13" i="638"/>
  <c r="F13" i="396"/>
  <c r="H13" i="396"/>
  <c r="F11" i="358"/>
  <c r="H11" i="358"/>
  <c r="F9" i="391"/>
  <c r="H9" i="391"/>
  <c r="F9" i="281"/>
  <c r="H9" i="281"/>
  <c r="F14" i="333"/>
  <c r="H14" i="333"/>
  <c r="F10" i="436"/>
  <c r="H10" i="436"/>
  <c r="F9" i="392"/>
  <c r="H9" i="392"/>
  <c r="I19" i="392"/>
  <c r="F9" i="497"/>
  <c r="H9" i="497"/>
  <c r="F10" i="387"/>
  <c r="H10" i="387"/>
  <c r="F10" i="304"/>
  <c r="H10" i="304"/>
  <c r="F10" i="280"/>
  <c r="H10" i="280"/>
  <c r="F10" i="279"/>
  <c r="H10" i="279"/>
  <c r="F10" i="623"/>
  <c r="H10" i="623"/>
  <c r="F12" i="646"/>
  <c r="H12" i="646"/>
  <c r="F12" i="347"/>
  <c r="H12" i="347"/>
  <c r="F14" i="231"/>
  <c r="H14" i="231"/>
  <c r="F12" i="470"/>
  <c r="H12" i="470"/>
  <c r="F15" i="570"/>
  <c r="H15" i="570"/>
  <c r="F14" i="345"/>
  <c r="H14" i="345"/>
  <c r="F14" i="613"/>
  <c r="H14" i="613"/>
  <c r="F14" i="346"/>
  <c r="H14" i="346"/>
  <c r="F10" i="336"/>
  <c r="H10" i="336"/>
  <c r="F10" i="335"/>
  <c r="H10" i="335"/>
  <c r="F13" i="570"/>
  <c r="H13" i="570"/>
  <c r="F9" i="432"/>
  <c r="F8" i="430"/>
  <c r="H8" i="430"/>
  <c r="I22" i="430"/>
  <c r="V406" i="720"/>
  <c r="D406" i="720"/>
  <c r="W406" i="720"/>
  <c r="F11" i="263"/>
  <c r="H11" i="263"/>
  <c r="F10" i="597"/>
  <c r="H10" i="597"/>
  <c r="F8" i="540"/>
  <c r="H8" i="540"/>
  <c r="F11" i="540"/>
  <c r="H11" i="540"/>
  <c r="F13" i="287"/>
  <c r="H13" i="287"/>
  <c r="F12" i="287"/>
  <c r="H12" i="287"/>
  <c r="F8" i="499"/>
  <c r="H8" i="499"/>
  <c r="I19" i="499"/>
  <c r="V568" i="721"/>
  <c r="W568" i="721"/>
  <c r="F8" i="618"/>
  <c r="H8" i="618"/>
  <c r="E14" i="720"/>
  <c r="H9" i="432"/>
  <c r="F12" i="502"/>
  <c r="H12" i="502"/>
  <c r="F8" i="649"/>
  <c r="H8" i="649"/>
  <c r="F9" i="231"/>
  <c r="H9" i="231"/>
  <c r="F8" i="495"/>
  <c r="H8" i="495"/>
  <c r="I19" i="495"/>
  <c r="F23" i="495"/>
  <c r="H23" i="495"/>
  <c r="I30" i="495"/>
  <c r="I52" i="495"/>
  <c r="F8" i="514"/>
  <c r="H8" i="514"/>
  <c r="F8" i="558"/>
  <c r="H8" i="558"/>
  <c r="I19" i="558"/>
  <c r="F9" i="621"/>
  <c r="H9" i="621"/>
  <c r="F10" i="98"/>
  <c r="H10" i="98"/>
  <c r="F10" i="225"/>
  <c r="H10" i="225"/>
  <c r="F11" i="455"/>
  <c r="H11" i="455"/>
  <c r="F8" i="507"/>
  <c r="H8" i="507"/>
  <c r="F11" i="34"/>
  <c r="H11" i="34"/>
  <c r="F11" i="25"/>
  <c r="H11" i="25"/>
  <c r="F10" i="271"/>
  <c r="H10" i="271"/>
  <c r="F8" i="381"/>
  <c r="H8" i="381"/>
  <c r="F10" i="165"/>
  <c r="H10" i="165"/>
  <c r="T14" i="720"/>
  <c r="F10" i="259"/>
  <c r="H10" i="259"/>
  <c r="F11" i="30"/>
  <c r="H11" i="30"/>
  <c r="F10" i="232"/>
  <c r="H10" i="232"/>
  <c r="F10" i="155"/>
  <c r="H10" i="155"/>
  <c r="F11" i="471"/>
  <c r="H11" i="471"/>
  <c r="F8" i="291"/>
  <c r="H8" i="291"/>
  <c r="F8" i="508"/>
  <c r="H8" i="508"/>
  <c r="F11" i="611"/>
  <c r="H11" i="611"/>
  <c r="V274" i="720"/>
  <c r="V274" i="721"/>
  <c r="V276" i="720"/>
  <c r="V276" i="721"/>
  <c r="B56" i="28"/>
  <c r="B55" i="28"/>
  <c r="B54" i="28"/>
  <c r="B53" i="28"/>
  <c r="B52" i="28"/>
  <c r="B46" i="28"/>
  <c r="B45" i="28"/>
  <c r="B44" i="28"/>
  <c r="B43" i="28"/>
  <c r="B41" i="28"/>
  <c r="B40" i="28"/>
  <c r="B39" i="28"/>
  <c r="B38" i="28"/>
  <c r="B37" i="28"/>
  <c r="B36" i="28"/>
  <c r="D35" i="28"/>
  <c r="B33" i="28"/>
  <c r="B32" i="28"/>
  <c r="B31" i="28"/>
  <c r="B30" i="28"/>
  <c r="B29" i="28"/>
  <c r="B28" i="28"/>
  <c r="B27" i="28"/>
  <c r="B26" i="28"/>
  <c r="B25" i="28"/>
  <c r="F27" i="703"/>
  <c r="H27" i="703"/>
  <c r="F26" i="687"/>
  <c r="H26" i="687"/>
  <c r="I33" i="687"/>
  <c r="Z444" i="721"/>
  <c r="F27" i="684"/>
  <c r="H27" i="684"/>
  <c r="F27" i="683"/>
  <c r="H27" i="683"/>
  <c r="F27" i="677"/>
  <c r="H27" i="677"/>
  <c r="F12" i="228"/>
  <c r="H12" i="228"/>
  <c r="B24" i="28"/>
  <c r="B23" i="28"/>
  <c r="B22" i="28"/>
  <c r="B21" i="28"/>
  <c r="B20" i="28"/>
  <c r="B19" i="28"/>
  <c r="B18" i="28"/>
  <c r="B17" i="28"/>
  <c r="B15" i="28"/>
  <c r="V467" i="721"/>
  <c r="V463" i="720"/>
  <c r="V463" i="721"/>
  <c r="Z443" i="720"/>
  <c r="Z443" i="721"/>
  <c r="V467" i="720"/>
  <c r="B13" i="28"/>
  <c r="B12" i="28"/>
  <c r="AB807" i="721"/>
  <c r="AB807" i="720"/>
  <c r="V465" i="721"/>
  <c r="V466" i="720"/>
  <c r="V466" i="721"/>
  <c r="V465" i="720"/>
  <c r="F12" i="28"/>
  <c r="F13" i="28"/>
  <c r="F25" i="280"/>
  <c r="H25" i="280"/>
  <c r="H20" i="24"/>
  <c r="D59" i="27"/>
  <c r="H59" i="27"/>
  <c r="B17" i="41"/>
  <c r="H19" i="27"/>
  <c r="F28" i="396"/>
  <c r="H28" i="396"/>
  <c r="F28" i="333"/>
  <c r="H28" i="333"/>
  <c r="F26" i="281"/>
  <c r="H26" i="281"/>
  <c r="F25" i="304"/>
  <c r="H25" i="304"/>
  <c r="F25" i="335"/>
  <c r="H25" i="335"/>
  <c r="A4" i="720"/>
  <c r="A4" i="721"/>
  <c r="A5" i="28"/>
  <c r="A5" i="29"/>
  <c r="A4" i="27"/>
  <c r="A5" i="24"/>
  <c r="A2" i="709"/>
  <c r="A2" i="630"/>
  <c r="A2" i="285"/>
  <c r="A2" i="621"/>
  <c r="A2" i="632"/>
  <c r="A2" i="631"/>
  <c r="A2" i="629"/>
  <c r="A2" i="633"/>
  <c r="A2" i="628"/>
  <c r="A2" i="533"/>
  <c r="A2" i="388"/>
  <c r="A2" i="638"/>
  <c r="A2" i="636"/>
  <c r="A2" i="635"/>
  <c r="A2" i="634"/>
  <c r="A2" i="530"/>
  <c r="A2" i="707"/>
  <c r="A2" i="284"/>
  <c r="A2" i="379"/>
  <c r="A2" i="283"/>
  <c r="A2" i="329"/>
  <c r="A2" i="303"/>
  <c r="A2" i="337"/>
  <c r="A2" i="334"/>
  <c r="A2" i="306"/>
  <c r="A2" i="538"/>
  <c r="A2" i="509"/>
  <c r="A2" i="501"/>
  <c r="A2" i="396"/>
  <c r="A2" i="436"/>
  <c r="A2" i="392"/>
  <c r="A2" i="391"/>
  <c r="A2" i="333"/>
  <c r="A2" i="281"/>
  <c r="A2" i="358"/>
  <c r="A2" i="497"/>
  <c r="A2" i="280"/>
  <c r="A2" i="387"/>
  <c r="A2" i="279"/>
  <c r="A2" i="640"/>
  <c r="A2" i="304"/>
  <c r="A2" i="512"/>
  <c r="A2" i="450"/>
  <c r="A2" i="448"/>
  <c r="A2" i="278"/>
  <c r="A2" i="496"/>
  <c r="A2" i="466"/>
  <c r="A2" i="277"/>
  <c r="A2" i="499"/>
  <c r="A2" i="537"/>
  <c r="A2" i="381"/>
  <c r="A2" i="508"/>
  <c r="A2" i="395"/>
  <c r="A2" i="626"/>
  <c r="A2" i="507"/>
  <c r="A2" i="625"/>
  <c r="A2" i="651"/>
  <c r="A2" i="425"/>
  <c r="A2" i="273"/>
  <c r="A2" i="485"/>
  <c r="A2" i="705"/>
  <c r="A2" i="698"/>
  <c r="A2" i="697"/>
  <c r="A2" i="704"/>
  <c r="A2" i="703"/>
  <c r="A2" i="701"/>
  <c r="A2" i="700"/>
  <c r="A2" i="696"/>
  <c r="A2" i="695"/>
  <c r="A2" i="691"/>
  <c r="A2" i="690"/>
  <c r="A2" i="689"/>
  <c r="A2" i="687"/>
  <c r="A2" i="683"/>
  <c r="A2" i="677"/>
  <c r="A2" i="688"/>
  <c r="A2" i="685"/>
  <c r="A2" i="684"/>
  <c r="A2" i="674"/>
  <c r="A2" i="673"/>
  <c r="A2" i="624"/>
  <c r="A2" i="342"/>
  <c r="A2" i="459"/>
  <c r="A2" i="360"/>
  <c r="A2" i="367"/>
  <c r="A2" i="423"/>
  <c r="A2" i="433"/>
  <c r="A2" i="432"/>
  <c r="A2" i="435"/>
  <c r="A2" i="406"/>
  <c r="A2" i="376"/>
  <c r="A2" i="368"/>
  <c r="A2" i="343"/>
  <c r="A2" i="340"/>
  <c r="A2" i="373"/>
  <c r="A2" i="371"/>
  <c r="A2" i="430"/>
  <c r="A2" i="426"/>
  <c r="A2" i="339"/>
  <c r="A2" i="431"/>
  <c r="A2" i="429"/>
  <c r="A2" i="422"/>
  <c r="A2" i="421"/>
  <c r="A2" i="420"/>
  <c r="A2" i="417"/>
  <c r="A2" i="418"/>
  <c r="A2" i="416"/>
  <c r="A2" i="412"/>
  <c r="A2" i="415"/>
  <c r="A2" i="414"/>
  <c r="A2" i="413"/>
  <c r="A2" i="394"/>
  <c r="A2" i="398"/>
  <c r="A2" i="390"/>
  <c r="A2" i="384"/>
  <c r="A2" i="382"/>
  <c r="A2" i="374"/>
  <c r="A2" i="383"/>
  <c r="A2" i="312"/>
  <c r="A2" i="639"/>
  <c r="A2" i="542"/>
  <c r="A2" i="543"/>
  <c r="A2" i="541"/>
  <c r="A2" i="540"/>
  <c r="A2" i="620"/>
  <c r="A2" i="539"/>
  <c r="A2" i="618"/>
  <c r="A2" i="617"/>
  <c r="A2" i="619"/>
  <c r="A2" i="495"/>
  <c r="A2" i="517"/>
  <c r="A2" i="287"/>
  <c r="A2" i="604"/>
  <c r="A2" i="616"/>
  <c r="A2" i="614"/>
  <c r="A2" i="611"/>
  <c r="A2" i="609"/>
  <c r="A2" i="608"/>
  <c r="A2" i="612"/>
  <c r="A2" i="610"/>
  <c r="A2" i="252"/>
  <c r="A2" i="502"/>
  <c r="A2" i="607"/>
  <c r="A2" i="251"/>
  <c r="A2" i="250"/>
  <c r="A2" i="606"/>
  <c r="A2" i="605"/>
  <c r="A2" i="600"/>
  <c r="A2" i="601"/>
  <c r="A2" i="599"/>
  <c r="A2" i="598"/>
  <c r="A2" i="514"/>
  <c r="A2" i="434"/>
  <c r="A2" i="409"/>
  <c r="A2" i="408"/>
  <c r="A2" i="407"/>
  <c r="A2" i="404"/>
  <c r="A2" i="403"/>
  <c r="A2" i="524"/>
  <c r="A2" i="523"/>
  <c r="A2" i="522"/>
  <c r="A2" i="594"/>
  <c r="A2" i="597"/>
  <c r="A2" i="596"/>
  <c r="A2" i="595"/>
  <c r="A2" i="593"/>
  <c r="A2" i="592"/>
  <c r="A2" i="591"/>
  <c r="A2" i="588"/>
  <c r="A2" i="348"/>
  <c r="A2" i="472"/>
  <c r="A2" i="505"/>
  <c r="A2" i="504"/>
  <c r="A2" i="587"/>
  <c r="A2" i="649"/>
  <c r="A2" i="503"/>
  <c r="A2" i="494"/>
  <c r="A2" i="446"/>
  <c r="A2" i="586"/>
  <c r="A2" i="244"/>
  <c r="A2" i="243"/>
  <c r="A2" i="585"/>
  <c r="A2" i="583"/>
  <c r="A2" i="481"/>
  <c r="A2" i="582"/>
  <c r="A2" i="271"/>
  <c r="A2" i="581"/>
  <c r="A2" i="580"/>
  <c r="A2" i="579"/>
  <c r="A2" i="242"/>
  <c r="A2" i="237"/>
  <c r="A2" i="484"/>
  <c r="A2" i="473"/>
  <c r="A2" i="648"/>
  <c r="A2" i="623"/>
  <c r="A2" i="236"/>
  <c r="A2" i="235"/>
  <c r="A2" i="347"/>
  <c r="A2" i="479"/>
  <c r="A2" i="364"/>
  <c r="A2" i="646"/>
  <c r="A2" i="641"/>
  <c r="A2" i="356"/>
  <c r="A2" i="241"/>
  <c r="A2" i="427"/>
  <c r="A2" i="445"/>
  <c r="A2" i="444"/>
  <c r="A2" i="355"/>
  <c r="A2" i="577"/>
  <c r="A2" i="442"/>
  <c r="A2" i="575"/>
  <c r="A2" i="231"/>
  <c r="A2" i="574"/>
  <c r="A2" i="270"/>
  <c r="A2" i="573"/>
  <c r="A2" i="572"/>
  <c r="A2" i="269"/>
  <c r="A2" i="708"/>
  <c r="A2" i="470"/>
  <c r="A2" i="571"/>
  <c r="A2" i="570"/>
  <c r="A2" i="613"/>
  <c r="A2" i="346"/>
  <c r="A2" i="345"/>
  <c r="A2" i="569"/>
  <c r="A2" i="568"/>
  <c r="A2" i="567"/>
  <c r="A2" i="566"/>
  <c r="A2" i="565"/>
  <c r="A2" i="564"/>
  <c r="A2" i="563"/>
  <c r="A2" i="562"/>
  <c r="A2" i="561"/>
  <c r="A2" i="558"/>
  <c r="A2" i="557"/>
  <c r="A2" i="556"/>
  <c r="A2" i="555"/>
  <c r="A2" i="553"/>
  <c r="A2" i="552"/>
  <c r="A2" i="516"/>
  <c r="A2" i="551"/>
  <c r="A2" i="550"/>
  <c r="A2" i="227"/>
  <c r="A2" i="478"/>
  <c r="A2" i="228"/>
  <c r="A2" i="548"/>
  <c r="A2" i="464"/>
  <c r="A2" i="549"/>
  <c r="A2" i="224"/>
  <c r="A2" i="462"/>
  <c r="A2" i="461"/>
  <c r="A2" i="547"/>
  <c r="A2" i="463"/>
  <c r="A2" i="460"/>
  <c r="A2" i="534"/>
  <c r="A2" i="535"/>
  <c r="A2" i="645"/>
  <c r="A2" i="217"/>
  <c r="A2" i="386"/>
  <c r="A2" i="206"/>
  <c r="A2" i="200"/>
  <c r="A2" i="220"/>
  <c r="A2" i="207"/>
  <c r="A2" i="205"/>
  <c r="A2" i="137"/>
  <c r="A2" i="262"/>
  <c r="A2" i="197"/>
  <c r="A2" i="336"/>
  <c r="A2" i="335"/>
  <c r="A2" i="291"/>
  <c r="A2" i="216"/>
  <c r="A2" i="215"/>
  <c r="A2" i="263"/>
  <c r="A2" i="296"/>
  <c r="A2" i="295"/>
  <c r="A2" i="455"/>
  <c r="A2" i="471"/>
  <c r="A2" i="25"/>
  <c r="A2" i="34"/>
  <c r="A2" i="155"/>
  <c r="A2" i="30"/>
  <c r="A2" i="165"/>
  <c r="A2" i="259"/>
  <c r="A2" i="232"/>
  <c r="A2" i="98"/>
  <c r="A2" i="338"/>
  <c r="A2" i="225"/>
  <c r="A3" i="28"/>
  <c r="A3" i="29"/>
  <c r="B11" i="41"/>
  <c r="A3" i="24"/>
  <c r="A2" i="27"/>
  <c r="A4" i="709"/>
  <c r="A4" i="630"/>
  <c r="A4" i="285"/>
  <c r="A4" i="621"/>
  <c r="A4" i="632"/>
  <c r="A4" i="631"/>
  <c r="A4" i="629"/>
  <c r="A4" i="633"/>
  <c r="A4" i="628"/>
  <c r="A4" i="533"/>
  <c r="A4" i="388"/>
  <c r="A4" i="638"/>
  <c r="A4" i="636"/>
  <c r="A4" i="635"/>
  <c r="A4" i="634"/>
  <c r="A4" i="530"/>
  <c r="A4" i="707"/>
  <c r="A4" i="284"/>
  <c r="A4" i="379"/>
  <c r="A4" i="283"/>
  <c r="A4" i="329"/>
  <c r="A4" i="303"/>
  <c r="A4" i="337"/>
  <c r="A4" i="334"/>
  <c r="A4" i="306"/>
  <c r="A4" i="538"/>
  <c r="A4" i="509"/>
  <c r="A4" i="501"/>
  <c r="A4" i="396"/>
  <c r="A4" i="436"/>
  <c r="A4" i="392"/>
  <c r="A4" i="391"/>
  <c r="A4" i="333"/>
  <c r="A4" i="281"/>
  <c r="A4" i="358"/>
  <c r="A4" i="497"/>
  <c r="A4" i="280"/>
  <c r="A4" i="387"/>
  <c r="A4" i="279"/>
  <c r="A4" i="640"/>
  <c r="A4" i="304"/>
  <c r="A4" i="512"/>
  <c r="A4" i="450"/>
  <c r="A4" i="448"/>
  <c r="A4" i="278"/>
  <c r="A4" i="496"/>
  <c r="A4" i="466"/>
  <c r="A4" i="277"/>
  <c r="A4" i="499"/>
  <c r="A4" i="537"/>
  <c r="A4" i="381"/>
  <c r="A4" i="508"/>
  <c r="A4" i="395"/>
  <c r="A4" i="626"/>
  <c r="A4" i="507"/>
  <c r="A4" i="625"/>
  <c r="A4" i="651"/>
  <c r="A4" i="425"/>
  <c r="A4" i="273"/>
  <c r="A4" i="485"/>
  <c r="A4" i="705"/>
  <c r="A4" i="698"/>
  <c r="A4" i="697"/>
  <c r="A4" i="704"/>
  <c r="A4" i="703"/>
  <c r="A4" i="701"/>
  <c r="A4" i="700"/>
  <c r="A4" i="696"/>
  <c r="A4" i="695"/>
  <c r="A4" i="691"/>
  <c r="A4" i="690"/>
  <c r="A4" i="689"/>
  <c r="A4" i="687"/>
  <c r="A4" i="683"/>
  <c r="A4" i="677"/>
  <c r="A4" i="688"/>
  <c r="A4" i="685"/>
  <c r="A4" i="684"/>
  <c r="A4" i="674"/>
  <c r="A4" i="673"/>
  <c r="A4" i="624"/>
  <c r="A4" i="342"/>
  <c r="A4" i="459"/>
  <c r="A4" i="360"/>
  <c r="A4" i="367"/>
  <c r="A4" i="423"/>
  <c r="A4" i="433"/>
  <c r="A4" i="432"/>
  <c r="A4" i="435"/>
  <c r="A4" i="406"/>
  <c r="A4" i="376"/>
  <c r="A4" i="368"/>
  <c r="A4" i="343"/>
  <c r="A4" i="340"/>
  <c r="A4" i="373"/>
  <c r="A4" i="371"/>
  <c r="A4" i="430"/>
  <c r="A4" i="426"/>
  <c r="A4" i="422"/>
  <c r="A4" i="339"/>
  <c r="A4" i="431"/>
  <c r="A4" i="429"/>
  <c r="A4" i="421"/>
  <c r="A4" i="420"/>
  <c r="A4" i="417"/>
  <c r="A4" i="418"/>
  <c r="A4" i="416"/>
  <c r="A4" i="412"/>
  <c r="A4" i="415"/>
  <c r="A4" i="414"/>
  <c r="A4" i="413"/>
  <c r="A4" i="394"/>
  <c r="A4" i="398"/>
  <c r="A4" i="390"/>
  <c r="A4" i="384"/>
  <c r="A4" i="382"/>
  <c r="A4" i="374"/>
  <c r="A4" i="383"/>
  <c r="A4" i="312"/>
  <c r="A4" i="639"/>
  <c r="A4" i="542"/>
  <c r="A4" i="543"/>
  <c r="A4" i="541"/>
  <c r="A4" i="540"/>
  <c r="A4" i="620"/>
  <c r="A4" i="539"/>
  <c r="A4" i="618"/>
  <c r="A4" i="617"/>
  <c r="A4" i="619"/>
  <c r="A4" i="495"/>
  <c r="A4" i="517"/>
  <c r="A4" i="287"/>
  <c r="A4" i="604"/>
  <c r="A4" i="616"/>
  <c r="A4" i="614"/>
  <c r="A4" i="611"/>
  <c r="A4" i="609"/>
  <c r="A4" i="608"/>
  <c r="A4" i="612"/>
  <c r="A4" i="610"/>
  <c r="A4" i="252"/>
  <c r="A4" i="502"/>
  <c r="A4" i="607"/>
  <c r="A4" i="251"/>
  <c r="A4" i="250"/>
  <c r="A4" i="606"/>
  <c r="A4" i="605"/>
  <c r="A4" i="600"/>
  <c r="A4" i="601"/>
  <c r="A4" i="599"/>
  <c r="A4" i="598"/>
  <c r="A4" i="514"/>
  <c r="A4" i="434"/>
  <c r="A4" i="409"/>
  <c r="A4" i="408"/>
  <c r="A4" i="407"/>
  <c r="A4" i="404"/>
  <c r="A4" i="403"/>
  <c r="A4" i="524"/>
  <c r="A4" i="523"/>
  <c r="A4" i="522"/>
  <c r="A4" i="594"/>
  <c r="A4" i="597"/>
  <c r="A4" i="596"/>
  <c r="A4" i="595"/>
  <c r="A4" i="593"/>
  <c r="A4" i="592"/>
  <c r="A4" i="591"/>
  <c r="A4" i="588"/>
  <c r="A4" i="348"/>
  <c r="A4" i="472"/>
  <c r="A4" i="505"/>
  <c r="A4" i="504"/>
  <c r="A4" i="587"/>
  <c r="A4" i="649"/>
  <c r="A4" i="503"/>
  <c r="A4" i="494"/>
  <c r="A4" i="446"/>
  <c r="A4" i="586"/>
  <c r="A4" i="244"/>
  <c r="A4" i="243"/>
  <c r="A4" i="585"/>
  <c r="A4" i="583"/>
  <c r="A4" i="481"/>
  <c r="A4" i="582"/>
  <c r="A4" i="271"/>
  <c r="A4" i="581"/>
  <c r="A4" i="580"/>
  <c r="A4" i="579"/>
  <c r="A4" i="242"/>
  <c r="A4" i="237"/>
  <c r="A4" i="484"/>
  <c r="A4" i="473"/>
  <c r="A4" i="648"/>
  <c r="A4" i="623"/>
  <c r="A4" i="236"/>
  <c r="A4" i="235"/>
  <c r="A4" i="347"/>
  <c r="A4" i="479"/>
  <c r="A4" i="364"/>
  <c r="A4" i="646"/>
  <c r="A4" i="641"/>
  <c r="A4" i="356"/>
  <c r="A4" i="241"/>
  <c r="A4" i="427"/>
  <c r="A4" i="445"/>
  <c r="A4" i="444"/>
  <c r="A4" i="355"/>
  <c r="A4" i="577"/>
  <c r="A4" i="442"/>
  <c r="A4" i="575"/>
  <c r="A4" i="231"/>
  <c r="A4" i="574"/>
  <c r="A4" i="270"/>
  <c r="A4" i="573"/>
  <c r="A4" i="572"/>
  <c r="A4" i="269"/>
  <c r="A4" i="708"/>
  <c r="A4" i="470"/>
  <c r="A4" i="571"/>
  <c r="A4" i="570"/>
  <c r="A4" i="613"/>
  <c r="A4" i="346"/>
  <c r="A4" i="345"/>
  <c r="A4" i="569"/>
  <c r="A4" i="568"/>
  <c r="A4" i="567"/>
  <c r="A4" i="566"/>
  <c r="A4" i="565"/>
  <c r="A4" i="564"/>
  <c r="A4" i="563"/>
  <c r="A4" i="562"/>
  <c r="A4" i="561"/>
  <c r="A4" i="558"/>
  <c r="A4" i="557"/>
  <c r="A4" i="556"/>
  <c r="A4" i="555"/>
  <c r="A4" i="553"/>
  <c r="A4" i="552"/>
  <c r="A4" i="516"/>
  <c r="A4" i="551"/>
  <c r="A4" i="550"/>
  <c r="A4" i="227"/>
  <c r="A4" i="478"/>
  <c r="A4" i="228"/>
  <c r="A4" i="548"/>
  <c r="A4" i="464"/>
  <c r="A4" i="549"/>
  <c r="A4" i="224"/>
  <c r="A4" i="462"/>
  <c r="A4" i="461"/>
  <c r="A4" i="547"/>
  <c r="A4" i="463"/>
  <c r="A4" i="460"/>
  <c r="A4" i="534"/>
  <c r="A4" i="535"/>
  <c r="A4" i="645"/>
  <c r="A4" i="217"/>
  <c r="A4" i="386"/>
  <c r="A4" i="206"/>
  <c r="A4" i="200"/>
  <c r="A4" i="220"/>
  <c r="A4" i="207"/>
  <c r="A4" i="205"/>
  <c r="A4" i="137"/>
  <c r="A4" i="262"/>
  <c r="A4" i="197"/>
  <c r="A4" i="336"/>
  <c r="A4" i="335"/>
  <c r="A4" i="291"/>
  <c r="A4" i="216"/>
  <c r="A4" i="215"/>
  <c r="A4" i="263"/>
  <c r="A4" i="296"/>
  <c r="A4" i="295"/>
  <c r="A4" i="455"/>
  <c r="A4" i="471"/>
  <c r="A4" i="25"/>
  <c r="A4" i="34"/>
  <c r="A4" i="155"/>
  <c r="A4" i="30"/>
  <c r="A4" i="165"/>
  <c r="A4" i="259"/>
  <c r="A4" i="232"/>
  <c r="A4" i="98"/>
  <c r="A4" i="338"/>
  <c r="A4" i="225"/>
  <c r="F22" i="28"/>
  <c r="F26" i="547"/>
  <c r="H26" i="547"/>
  <c r="F23" i="28"/>
  <c r="F24" i="427"/>
  <c r="H24" i="427"/>
  <c r="F24" i="333"/>
  <c r="H24" i="333"/>
  <c r="I41" i="572"/>
  <c r="AB115" i="721"/>
  <c r="I41" i="574"/>
  <c r="I41" i="707"/>
  <c r="F19" i="28"/>
  <c r="F26" i="638"/>
  <c r="H26" i="638"/>
  <c r="I44" i="687"/>
  <c r="I44" i="701"/>
  <c r="I41" i="533"/>
  <c r="AB811" i="720"/>
  <c r="AC811" i="720"/>
  <c r="F25" i="633"/>
  <c r="H25" i="633"/>
  <c r="F24" i="396"/>
  <c r="F24" i="281"/>
  <c r="H24" i="281"/>
  <c r="F24" i="387"/>
  <c r="H24" i="387"/>
  <c r="F24" i="279"/>
  <c r="H24" i="279"/>
  <c r="F24" i="28"/>
  <c r="I44" i="459"/>
  <c r="I44" i="624"/>
  <c r="I44" i="673"/>
  <c r="I44" i="700"/>
  <c r="I44" i="704"/>
  <c r="AB438" i="720"/>
  <c r="AB438" i="721"/>
  <c r="AB434" i="720"/>
  <c r="AB434" i="721"/>
  <c r="AB118" i="720"/>
  <c r="AC118" i="720"/>
  <c r="AB118" i="721"/>
  <c r="AB50" i="720"/>
  <c r="AB50" i="721"/>
  <c r="AB436" i="720"/>
  <c r="AB436" i="721"/>
  <c r="AB457" i="720"/>
  <c r="AB457" i="721"/>
  <c r="AB378" i="720"/>
  <c r="AB378" i="721"/>
  <c r="AB444" i="720"/>
  <c r="AB444" i="721"/>
  <c r="AB435" i="720"/>
  <c r="AB435" i="721"/>
  <c r="AB781" i="720"/>
  <c r="AC781" i="720"/>
  <c r="AB781" i="721"/>
  <c r="AB115" i="720"/>
  <c r="AC115" i="720"/>
  <c r="F25" i="28"/>
  <c r="F24" i="450"/>
  <c r="H24" i="450"/>
  <c r="I41" i="651"/>
  <c r="F21" i="28"/>
  <c r="F20" i="28"/>
  <c r="AB493" i="720"/>
  <c r="AC493" i="720"/>
  <c r="AB493" i="721"/>
  <c r="F24" i="512"/>
  <c r="H24" i="512"/>
  <c r="B40" i="438"/>
  <c r="A40" i="438"/>
  <c r="B39" i="438"/>
  <c r="A39" i="438"/>
  <c r="B38" i="438"/>
  <c r="A38" i="438"/>
  <c r="B37" i="438"/>
  <c r="A37" i="438"/>
  <c r="B36" i="438"/>
  <c r="A36" i="438"/>
  <c r="B35" i="438"/>
  <c r="A35" i="438"/>
  <c r="F23" i="734"/>
  <c r="H23" i="734"/>
  <c r="I30" i="734"/>
  <c r="F24" i="716"/>
  <c r="H24" i="716"/>
  <c r="I31" i="716"/>
  <c r="F23" i="709"/>
  <c r="H23" i="709"/>
  <c r="I30" i="709"/>
  <c r="Z778" i="721"/>
  <c r="AA778" i="721"/>
  <c r="F23" i="285"/>
  <c r="H23" i="285"/>
  <c r="I30" i="285"/>
  <c r="F23" i="630"/>
  <c r="H23" i="630"/>
  <c r="I30" i="630"/>
  <c r="Z829" i="720"/>
  <c r="AA829" i="720"/>
  <c r="F23" i="621"/>
  <c r="H23" i="621"/>
  <c r="F23" i="632"/>
  <c r="H23" i="632"/>
  <c r="I30" i="632"/>
  <c r="F23" i="629"/>
  <c r="H23" i="629"/>
  <c r="I30" i="629"/>
  <c r="F23" i="631"/>
  <c r="H23" i="631"/>
  <c r="I30" i="631"/>
  <c r="F23" i="633"/>
  <c r="H23" i="633"/>
  <c r="F23" i="628"/>
  <c r="H23" i="628"/>
  <c r="I30" i="628"/>
  <c r="F23" i="388"/>
  <c r="H23" i="388"/>
  <c r="I30" i="388"/>
  <c r="F23" i="533"/>
  <c r="H23" i="533"/>
  <c r="I30" i="533"/>
  <c r="F23" i="638"/>
  <c r="H23" i="638"/>
  <c r="F23" i="636"/>
  <c r="H23" i="636"/>
  <c r="F23" i="635"/>
  <c r="H23" i="635"/>
  <c r="F23" i="634"/>
  <c r="H23" i="634"/>
  <c r="I30" i="634"/>
  <c r="Z802" i="721"/>
  <c r="AA802" i="721"/>
  <c r="F23" i="530"/>
  <c r="H23" i="530"/>
  <c r="I30" i="530"/>
  <c r="Z795" i="720"/>
  <c r="F23" i="707"/>
  <c r="F23" i="379"/>
  <c r="H23" i="379"/>
  <c r="F23" i="283"/>
  <c r="H23" i="283"/>
  <c r="F23" i="284"/>
  <c r="H23" i="284"/>
  <c r="F23" i="329"/>
  <c r="H23" i="329"/>
  <c r="I30" i="329"/>
  <c r="F23" i="303"/>
  <c r="H23" i="303"/>
  <c r="F23" i="337"/>
  <c r="H23" i="337"/>
  <c r="I30" i="337"/>
  <c r="F23" i="334"/>
  <c r="H23" i="334"/>
  <c r="I30" i="334"/>
  <c r="F23" i="306"/>
  <c r="H23" i="306"/>
  <c r="I30" i="306"/>
  <c r="Z710" i="720"/>
  <c r="F23" i="538"/>
  <c r="H23" i="538"/>
  <c r="I30" i="538"/>
  <c r="F23" i="509"/>
  <c r="H23" i="509"/>
  <c r="I30" i="509"/>
  <c r="F23" i="501"/>
  <c r="H23" i="501"/>
  <c r="I30" i="501"/>
  <c r="F23" i="396"/>
  <c r="H23" i="396"/>
  <c r="F26" i="436"/>
  <c r="H26" i="436"/>
  <c r="F23" i="391"/>
  <c r="H23" i="391"/>
  <c r="F23" i="281"/>
  <c r="H23" i="281"/>
  <c r="F29" i="358"/>
  <c r="H29" i="358"/>
  <c r="F23" i="392"/>
  <c r="H23" i="392"/>
  <c r="F23" i="333"/>
  <c r="H23" i="333"/>
  <c r="F23" i="497"/>
  <c r="H23" i="497"/>
  <c r="F26" i="387"/>
  <c r="H26" i="387"/>
  <c r="F26" i="304"/>
  <c r="H26" i="304"/>
  <c r="F24" i="640"/>
  <c r="H24" i="640"/>
  <c r="F23" i="512"/>
  <c r="H23" i="512"/>
  <c r="F23" i="448"/>
  <c r="H23" i="448"/>
  <c r="F23" i="450"/>
  <c r="H23" i="450"/>
  <c r="F23" i="278"/>
  <c r="H23" i="278"/>
  <c r="I30" i="278"/>
  <c r="Z577" i="720"/>
  <c r="AA577" i="720"/>
  <c r="F23" i="496"/>
  <c r="H23" i="496"/>
  <c r="I30" i="496"/>
  <c r="F23" i="466"/>
  <c r="H23" i="466"/>
  <c r="I30" i="466"/>
  <c r="Z573" i="720"/>
  <c r="AA573" i="720"/>
  <c r="Z574" i="720"/>
  <c r="AA574" i="720"/>
  <c r="AA572" i="720"/>
  <c r="F23" i="277"/>
  <c r="H23" i="277"/>
  <c r="F23" i="537"/>
  <c r="H23" i="537"/>
  <c r="F23" i="381"/>
  <c r="H23" i="381"/>
  <c r="I30" i="381"/>
  <c r="F23" i="508"/>
  <c r="H23" i="508"/>
  <c r="I30" i="508"/>
  <c r="Z522" i="721"/>
  <c r="AA522" i="721"/>
  <c r="F23" i="499"/>
  <c r="H23" i="499"/>
  <c r="F23" i="395"/>
  <c r="H23" i="395"/>
  <c r="I30" i="395"/>
  <c r="F23" i="507"/>
  <c r="H23" i="507"/>
  <c r="I30" i="507"/>
  <c r="F23" i="626"/>
  <c r="H23" i="626"/>
  <c r="F23" i="625"/>
  <c r="H23" i="625"/>
  <c r="F23" i="651"/>
  <c r="H23" i="651"/>
  <c r="I30" i="651"/>
  <c r="F23" i="273"/>
  <c r="H23" i="273"/>
  <c r="I30" i="273"/>
  <c r="Z485" i="720"/>
  <c r="F23" i="425"/>
  <c r="H23" i="425"/>
  <c r="I30" i="425"/>
  <c r="F23" i="485"/>
  <c r="H23" i="485"/>
  <c r="I30" i="485"/>
  <c r="Z483" i="721"/>
  <c r="AA483" i="721"/>
  <c r="F26" i="705"/>
  <c r="H26" i="705"/>
  <c r="I33" i="705"/>
  <c r="F26" i="704"/>
  <c r="H26" i="704"/>
  <c r="I33" i="704"/>
  <c r="F26" i="703"/>
  <c r="H26" i="703"/>
  <c r="F26" i="701"/>
  <c r="H26" i="701"/>
  <c r="F26" i="698"/>
  <c r="H26" i="698"/>
  <c r="I33" i="698"/>
  <c r="F26" i="700"/>
  <c r="H26" i="700"/>
  <c r="F26" i="697"/>
  <c r="H26" i="697"/>
  <c r="I33" i="697"/>
  <c r="Z454" i="721"/>
  <c r="AA454" i="721"/>
  <c r="F26" i="696"/>
  <c r="H26" i="696"/>
  <c r="I33" i="696"/>
  <c r="Z453" i="721"/>
  <c r="AA453" i="721"/>
  <c r="F26" i="695"/>
  <c r="H26" i="695"/>
  <c r="I33" i="695"/>
  <c r="F26" i="691"/>
  <c r="H26" i="691"/>
  <c r="I33" i="691"/>
  <c r="F26" i="690"/>
  <c r="H26" i="690"/>
  <c r="I33" i="690"/>
  <c r="F26" i="684"/>
  <c r="H26" i="684"/>
  <c r="F26" i="677"/>
  <c r="H26" i="677"/>
  <c r="F26" i="689"/>
  <c r="H26" i="689"/>
  <c r="I33" i="689"/>
  <c r="Z446" i="721"/>
  <c r="AA446" i="721"/>
  <c r="F26" i="683"/>
  <c r="H26" i="683"/>
  <c r="F26" i="674"/>
  <c r="H26" i="674"/>
  <c r="I33" i="674"/>
  <c r="F26" i="624"/>
  <c r="H26" i="624"/>
  <c r="F26" i="360"/>
  <c r="H26" i="360"/>
  <c r="F26" i="673"/>
  <c r="H26" i="673"/>
  <c r="I33" i="673"/>
  <c r="Z436" i="720"/>
  <c r="F26" i="342"/>
  <c r="H26" i="342"/>
  <c r="F26" i="459"/>
  <c r="H26" i="459"/>
  <c r="I33" i="459"/>
  <c r="Z427" i="720"/>
  <c r="F26" i="367"/>
  <c r="H26" i="367"/>
  <c r="I33" i="367"/>
  <c r="Z426" i="721"/>
  <c r="F26" i="435"/>
  <c r="H26" i="435"/>
  <c r="I33" i="435"/>
  <c r="F26" i="433"/>
  <c r="H26" i="433"/>
  <c r="I33" i="433"/>
  <c r="F26" i="432"/>
  <c r="H26" i="432"/>
  <c r="I33" i="432"/>
  <c r="F26" i="423"/>
  <c r="H26" i="423"/>
  <c r="I33" i="423"/>
  <c r="Z419" i="720"/>
  <c r="F26" i="406"/>
  <c r="H26" i="406"/>
  <c r="I33" i="406"/>
  <c r="F26" i="376"/>
  <c r="H26" i="376"/>
  <c r="I33" i="376"/>
  <c r="F26" i="368"/>
  <c r="H26" i="368"/>
  <c r="I33" i="368"/>
  <c r="Z411" i="720"/>
  <c r="F26" i="340"/>
  <c r="H26" i="340"/>
  <c r="I33" i="340"/>
  <c r="F26" i="339"/>
  <c r="H26" i="339"/>
  <c r="I33" i="339"/>
  <c r="Z408" i="720"/>
  <c r="F26" i="373"/>
  <c r="H26" i="373"/>
  <c r="I33" i="373"/>
  <c r="F26" i="371"/>
  <c r="H26" i="371"/>
  <c r="I33" i="371"/>
  <c r="F26" i="343"/>
  <c r="H26" i="343"/>
  <c r="I33" i="343"/>
  <c r="Z410" i="720"/>
  <c r="F26" i="426"/>
  <c r="H26" i="426"/>
  <c r="I33" i="426"/>
  <c r="F26" i="422"/>
  <c r="H26" i="422"/>
  <c r="I33" i="422"/>
  <c r="F26" i="421"/>
  <c r="H26" i="421"/>
  <c r="I33" i="421"/>
  <c r="F26" i="431"/>
  <c r="H26" i="431"/>
  <c r="I33" i="431"/>
  <c r="F26" i="430"/>
  <c r="H26" i="430"/>
  <c r="I33" i="430"/>
  <c r="Z406" i="720"/>
  <c r="F26" i="429"/>
  <c r="H26" i="429"/>
  <c r="I33" i="429"/>
  <c r="Z405" i="721"/>
  <c r="F26" i="417"/>
  <c r="H26" i="417"/>
  <c r="I33" i="417"/>
  <c r="F26" i="420"/>
  <c r="H26" i="420"/>
  <c r="I33" i="420"/>
  <c r="F26" i="418"/>
  <c r="H26" i="418"/>
  <c r="I33" i="418"/>
  <c r="Z400" i="720"/>
  <c r="F26" i="416"/>
  <c r="H26" i="416"/>
  <c r="I33" i="416"/>
  <c r="F26" i="415"/>
  <c r="H26" i="415"/>
  <c r="I33" i="415"/>
  <c r="Z397" i="721"/>
  <c r="AA397" i="721"/>
  <c r="F26" i="414"/>
  <c r="F26" i="413"/>
  <c r="H26" i="413"/>
  <c r="I33" i="413"/>
  <c r="Z395" i="721"/>
  <c r="AA395" i="721"/>
  <c r="F26" i="412"/>
  <c r="H26" i="412"/>
  <c r="I33" i="412"/>
  <c r="F26" i="398"/>
  <c r="H26" i="398"/>
  <c r="I33" i="398"/>
  <c r="Z391" i="721"/>
  <c r="AA391" i="721"/>
  <c r="F26" i="394"/>
  <c r="H26" i="394"/>
  <c r="I33" i="394"/>
  <c r="Z390" i="720"/>
  <c r="F26" i="390"/>
  <c r="H26" i="390"/>
  <c r="I33" i="390"/>
  <c r="F26" i="384"/>
  <c r="H26" i="384"/>
  <c r="I33" i="384"/>
  <c r="Z388" i="721"/>
  <c r="AA388" i="721"/>
  <c r="F26" i="383"/>
  <c r="H26" i="383"/>
  <c r="I33" i="383"/>
  <c r="Z387" i="720"/>
  <c r="F26" i="374"/>
  <c r="H26" i="374"/>
  <c r="I33" i="374"/>
  <c r="F26" i="382"/>
  <c r="H26" i="382"/>
  <c r="I33" i="382"/>
  <c r="Z386" i="721"/>
  <c r="AA386" i="721"/>
  <c r="F26" i="312"/>
  <c r="H26" i="312"/>
  <c r="I33" i="312"/>
  <c r="Z380" i="720"/>
  <c r="F24" i="639"/>
  <c r="H24" i="639"/>
  <c r="I31" i="639"/>
  <c r="F23" i="542"/>
  <c r="H23" i="542"/>
  <c r="I30" i="542"/>
  <c r="F23" i="541"/>
  <c r="H23" i="541"/>
  <c r="I30" i="541"/>
  <c r="Z361" i="721"/>
  <c r="F22" i="543"/>
  <c r="H22" i="543"/>
  <c r="I29" i="543"/>
  <c r="Z363" i="721"/>
  <c r="AA363" i="721"/>
  <c r="F23" i="540"/>
  <c r="H23" i="540"/>
  <c r="I30" i="540"/>
  <c r="F23" i="539"/>
  <c r="H23" i="539"/>
  <c r="I30" i="539"/>
  <c r="Z359" i="721"/>
  <c r="F24" i="617"/>
  <c r="H24" i="617"/>
  <c r="I31" i="617"/>
  <c r="Z349" i="721"/>
  <c r="F24" i="618"/>
  <c r="H24" i="618"/>
  <c r="I31" i="618"/>
  <c r="F24" i="620"/>
  <c r="H24" i="620"/>
  <c r="I31" i="620"/>
  <c r="F24" i="619"/>
  <c r="H24" i="619"/>
  <c r="I31" i="619"/>
  <c r="F23" i="287"/>
  <c r="H23" i="287"/>
  <c r="F23" i="616"/>
  <c r="H23" i="616"/>
  <c r="I30" i="616"/>
  <c r="Z330" i="720"/>
  <c r="F23" i="517"/>
  <c r="H23" i="517"/>
  <c r="I30" i="517"/>
  <c r="F23" i="604"/>
  <c r="H23" i="604"/>
  <c r="I30" i="604"/>
  <c r="F24" i="614"/>
  <c r="H24" i="614"/>
  <c r="I31" i="614"/>
  <c r="Z320" i="720"/>
  <c r="F23" i="611"/>
  <c r="H23" i="611"/>
  <c r="I30" i="611"/>
  <c r="Z314" i="721"/>
  <c r="AA314" i="721"/>
  <c r="F23" i="609"/>
  <c r="H23" i="609"/>
  <c r="I30" i="609"/>
  <c r="Z312" i="721"/>
  <c r="AA312" i="721"/>
  <c r="F24" i="608"/>
  <c r="H24" i="608"/>
  <c r="I31" i="608"/>
  <c r="F25" i="502"/>
  <c r="H25" i="502"/>
  <c r="I32" i="502"/>
  <c r="Z308" i="720"/>
  <c r="F23" i="612"/>
  <c r="H23" i="612"/>
  <c r="I30" i="612"/>
  <c r="F23" i="610"/>
  <c r="H23" i="610"/>
  <c r="I30" i="610"/>
  <c r="Z313" i="721"/>
  <c r="AA313" i="721"/>
  <c r="F24" i="252"/>
  <c r="H24" i="252"/>
  <c r="I31" i="252"/>
  <c r="F25" i="251"/>
  <c r="H25" i="251"/>
  <c r="I32" i="251"/>
  <c r="F25" i="607"/>
  <c r="H25" i="607"/>
  <c r="I32" i="607"/>
  <c r="F25" i="250"/>
  <c r="H25" i="250"/>
  <c r="I32" i="250"/>
  <c r="Z305" i="721"/>
  <c r="AA305" i="721"/>
  <c r="F24" i="606"/>
  <c r="H24" i="606"/>
  <c r="I31" i="606"/>
  <c r="F24" i="600"/>
  <c r="H24" i="600"/>
  <c r="I31" i="600"/>
  <c r="Z298" i="720"/>
  <c r="F24" i="601"/>
  <c r="H24" i="601"/>
  <c r="I31" i="601"/>
  <c r="F24" i="599"/>
  <c r="H24" i="599"/>
  <c r="I31" i="599"/>
  <c r="Z296" i="721"/>
  <c r="AA296" i="721"/>
  <c r="F24" i="514"/>
  <c r="H24" i="514"/>
  <c r="I31" i="514"/>
  <c r="Z293" i="721"/>
  <c r="AA293" i="721"/>
  <c r="F24" i="434"/>
  <c r="H24" i="434"/>
  <c r="I31" i="434"/>
  <c r="F24" i="409"/>
  <c r="H24" i="409"/>
  <c r="I31" i="409"/>
  <c r="Z291" i="720"/>
  <c r="F24" i="408"/>
  <c r="F24" i="605"/>
  <c r="H24" i="605"/>
  <c r="I31" i="605"/>
  <c r="Z299" i="721"/>
  <c r="F24" i="598"/>
  <c r="H24" i="598"/>
  <c r="I31" i="598"/>
  <c r="Z295" i="721"/>
  <c r="AA295" i="721"/>
  <c r="F24" i="407"/>
  <c r="H24" i="407"/>
  <c r="F24" i="404"/>
  <c r="H24" i="404"/>
  <c r="I31" i="404"/>
  <c r="Z288" i="720"/>
  <c r="F24" i="403"/>
  <c r="H24" i="403"/>
  <c r="I31" i="403"/>
  <c r="F24" i="524"/>
  <c r="H24" i="524"/>
  <c r="I31" i="524"/>
  <c r="F24" i="594"/>
  <c r="H24" i="594"/>
  <c r="I31" i="594"/>
  <c r="F24" i="597"/>
  <c r="H24" i="597"/>
  <c r="I31" i="597"/>
  <c r="Z268" i="721"/>
  <c r="AA268" i="721"/>
  <c r="F24" i="596"/>
  <c r="H24" i="596"/>
  <c r="I31" i="596"/>
  <c r="F24" i="592"/>
  <c r="H24" i="592"/>
  <c r="I31" i="592"/>
  <c r="Z259" i="721"/>
  <c r="AA259" i="721"/>
  <c r="F24" i="523"/>
  <c r="H24" i="523"/>
  <c r="I31" i="523"/>
  <c r="F24" i="522"/>
  <c r="H24" i="522"/>
  <c r="I31" i="522"/>
  <c r="F24" i="595"/>
  <c r="H24" i="595"/>
  <c r="I31" i="595"/>
  <c r="Z266" i="721"/>
  <c r="AA266" i="721"/>
  <c r="F24" i="593"/>
  <c r="H24" i="593"/>
  <c r="I31" i="593"/>
  <c r="Z260" i="721"/>
  <c r="AA260" i="721"/>
  <c r="F24" i="591"/>
  <c r="H24" i="591"/>
  <c r="I31" i="591"/>
  <c r="Z258" i="720"/>
  <c r="F24" i="588"/>
  <c r="H24" i="588"/>
  <c r="I31" i="588"/>
  <c r="Z247" i="720"/>
  <c r="F24" i="348"/>
  <c r="H24" i="348"/>
  <c r="I31" i="348"/>
  <c r="F23" i="472"/>
  <c r="H23" i="472"/>
  <c r="F23" i="505"/>
  <c r="H23" i="505"/>
  <c r="I30" i="505"/>
  <c r="F23" i="504"/>
  <c r="H23" i="504"/>
  <c r="F23" i="587"/>
  <c r="H23" i="587"/>
  <c r="F23" i="649"/>
  <c r="H23" i="649"/>
  <c r="F23" i="503"/>
  <c r="H23" i="503"/>
  <c r="F23" i="494"/>
  <c r="H23" i="494"/>
  <c r="F23" i="446"/>
  <c r="H23" i="446"/>
  <c r="F23" i="586"/>
  <c r="H23" i="586"/>
  <c r="F23" i="243"/>
  <c r="H23" i="243"/>
  <c r="F23" i="583"/>
  <c r="H23" i="583"/>
  <c r="I30" i="583"/>
  <c r="F23" i="244"/>
  <c r="H23" i="244"/>
  <c r="F23" i="585"/>
  <c r="H23" i="585"/>
  <c r="I30" i="585"/>
  <c r="Z203" i="721"/>
  <c r="AA203" i="721"/>
  <c r="AA202" i="721"/>
  <c r="F23" i="481"/>
  <c r="H23" i="481"/>
  <c r="F23" i="271"/>
  <c r="H23" i="271"/>
  <c r="I30" i="271"/>
  <c r="Z195" i="721"/>
  <c r="AA195" i="721"/>
  <c r="F23" i="582"/>
  <c r="H23" i="582"/>
  <c r="F23" i="579"/>
  <c r="H23" i="579"/>
  <c r="I30" i="579"/>
  <c r="F23" i="581"/>
  <c r="H23" i="581"/>
  <c r="F23" i="580"/>
  <c r="H23" i="580"/>
  <c r="F23" i="237"/>
  <c r="H23" i="237"/>
  <c r="I30" i="237"/>
  <c r="F23" i="242"/>
  <c r="H23" i="242"/>
  <c r="I30" i="242"/>
  <c r="Z180" i="720"/>
  <c r="F23" i="484"/>
  <c r="H23" i="484"/>
  <c r="I30" i="484"/>
  <c r="F23" i="473"/>
  <c r="H23" i="473"/>
  <c r="I30" i="473"/>
  <c r="Z175" i="721"/>
  <c r="F23" i="648"/>
  <c r="H23" i="648"/>
  <c r="I30" i="648"/>
  <c r="F22" i="623"/>
  <c r="H22" i="623"/>
  <c r="F22" i="236"/>
  <c r="H22" i="236"/>
  <c r="F23" i="235"/>
  <c r="H23" i="235"/>
  <c r="I30" i="235"/>
  <c r="Z149" i="720"/>
  <c r="F23" i="479"/>
  <c r="H23" i="479"/>
  <c r="I30" i="479"/>
  <c r="Z148" i="721"/>
  <c r="F23" i="347"/>
  <c r="H23" i="347"/>
  <c r="F23" i="646"/>
  <c r="H23" i="646"/>
  <c r="F23" i="364"/>
  <c r="H23" i="364"/>
  <c r="F23" i="641"/>
  <c r="H23" i="641"/>
  <c r="F23" i="356"/>
  <c r="H23" i="356"/>
  <c r="F23" i="241"/>
  <c r="H23" i="241"/>
  <c r="F23" i="427"/>
  <c r="H23" i="427"/>
  <c r="F22" i="444"/>
  <c r="H22" i="444"/>
  <c r="F23" i="445"/>
  <c r="H23" i="445"/>
  <c r="F23" i="355"/>
  <c r="H23" i="355"/>
  <c r="F23" i="442"/>
  <c r="H23" i="442"/>
  <c r="F22" i="577"/>
  <c r="H22" i="577"/>
  <c r="F23" i="575"/>
  <c r="H23" i="575"/>
  <c r="F23" i="231"/>
  <c r="H23" i="231"/>
  <c r="I30" i="231"/>
  <c r="F23" i="470"/>
  <c r="H23" i="470"/>
  <c r="F23" i="708"/>
  <c r="H23" i="708"/>
  <c r="F23" i="574"/>
  <c r="H23" i="574"/>
  <c r="I30" i="574"/>
  <c r="Z118" i="720"/>
  <c r="AA118" i="720"/>
  <c r="F23" i="270"/>
  <c r="H23" i="270"/>
  <c r="F23" i="573"/>
  <c r="H23" i="573"/>
  <c r="F23" i="572"/>
  <c r="H23" i="572"/>
  <c r="I30" i="572"/>
  <c r="Z115" i="720"/>
  <c r="AA115" i="720"/>
  <c r="F23" i="269"/>
  <c r="H23" i="269"/>
  <c r="I30" i="269"/>
  <c r="Z114" i="721"/>
  <c r="F23" i="613"/>
  <c r="H23" i="613"/>
  <c r="I30" i="613"/>
  <c r="Z107" i="720"/>
  <c r="F23" i="345"/>
  <c r="H23" i="345"/>
  <c r="I30" i="345"/>
  <c r="F24" i="571"/>
  <c r="H24" i="571"/>
  <c r="I31" i="571"/>
  <c r="F24" i="570"/>
  <c r="H24" i="570"/>
  <c r="I31" i="570"/>
  <c r="F23" i="346"/>
  <c r="H23" i="346"/>
  <c r="I30" i="346"/>
  <c r="Z106" i="720"/>
  <c r="F23" i="569"/>
  <c r="H23" i="569"/>
  <c r="F23" i="568"/>
  <c r="H23" i="568"/>
  <c r="F23" i="567"/>
  <c r="H23" i="567"/>
  <c r="I30" i="567"/>
  <c r="F23" i="563"/>
  <c r="H23" i="563"/>
  <c r="F23" i="562"/>
  <c r="H23" i="562"/>
  <c r="F23" i="566"/>
  <c r="H23" i="566"/>
  <c r="F23" i="565"/>
  <c r="H23" i="565"/>
  <c r="F23" i="564"/>
  <c r="H23" i="564"/>
  <c r="I30" i="564"/>
  <c r="Z95" i="721"/>
  <c r="AA95" i="721"/>
  <c r="F23" i="561"/>
  <c r="H23" i="561"/>
  <c r="F23" i="516"/>
  <c r="H23" i="516"/>
  <c r="F23" i="553"/>
  <c r="H23" i="553"/>
  <c r="I30" i="553"/>
  <c r="Z79" i="720"/>
  <c r="AA79" i="720"/>
  <c r="F21" i="552"/>
  <c r="H21" i="552"/>
  <c r="I27" i="552"/>
  <c r="F23" i="558"/>
  <c r="H23" i="558"/>
  <c r="I30" i="558"/>
  <c r="F23" i="557"/>
  <c r="H23" i="557"/>
  <c r="F23" i="556"/>
  <c r="H23" i="556"/>
  <c r="F23" i="555"/>
  <c r="H23" i="555"/>
  <c r="F21" i="551"/>
  <c r="H21" i="551"/>
  <c r="I27" i="551"/>
  <c r="F23" i="550"/>
  <c r="H23" i="550"/>
  <c r="I30" i="550"/>
  <c r="F23" i="478"/>
  <c r="H23" i="478"/>
  <c r="I30" i="478"/>
  <c r="F23" i="548"/>
  <c r="H23" i="548"/>
  <c r="F23" i="227"/>
  <c r="H23" i="227"/>
  <c r="F23" i="228"/>
  <c r="H23" i="228"/>
  <c r="F21" i="549"/>
  <c r="H21" i="549"/>
  <c r="F23" i="224"/>
  <c r="H23" i="224"/>
  <c r="F23" i="464"/>
  <c r="H23" i="464"/>
  <c r="F23" i="462"/>
  <c r="H23" i="462"/>
  <c r="F23" i="460"/>
  <c r="H23" i="460"/>
  <c r="F23" i="463"/>
  <c r="H23" i="463"/>
  <c r="F23" i="461"/>
  <c r="H23" i="461"/>
  <c r="F23" i="547"/>
  <c r="H23" i="547"/>
  <c r="F23" i="534"/>
  <c r="H23" i="534"/>
  <c r="I30" i="534"/>
  <c r="F23" i="535"/>
  <c r="H23" i="535"/>
  <c r="I30" i="535"/>
  <c r="Z51" i="721"/>
  <c r="AA51" i="721"/>
  <c r="F23" i="645"/>
  <c r="H23" i="645"/>
  <c r="F23" i="386"/>
  <c r="H23" i="386"/>
  <c r="F23" i="206"/>
  <c r="H23" i="206"/>
  <c r="F23" i="200"/>
  <c r="H23" i="200"/>
  <c r="F23" i="220"/>
  <c r="H23" i="220"/>
  <c r="F23" i="207"/>
  <c r="H23" i="207"/>
  <c r="F23" i="205"/>
  <c r="H23" i="205"/>
  <c r="F26" i="197"/>
  <c r="H26" i="197"/>
  <c r="I33" i="197"/>
  <c r="F23" i="291"/>
  <c r="H23" i="291"/>
  <c r="F25" i="216"/>
  <c r="H25" i="216"/>
  <c r="F24" i="215"/>
  <c r="H24" i="215"/>
  <c r="I31" i="215"/>
  <c r="F23" i="296"/>
  <c r="H23" i="296"/>
  <c r="I30" i="296"/>
  <c r="F23" i="295"/>
  <c r="H23" i="295"/>
  <c r="I30" i="295"/>
  <c r="F23" i="455"/>
  <c r="H23" i="455"/>
  <c r="F23" i="471"/>
  <c r="H23" i="471"/>
  <c r="F23" i="25"/>
  <c r="H23" i="25"/>
  <c r="F23" i="165"/>
  <c r="H23" i="165"/>
  <c r="F23" i="259"/>
  <c r="H23" i="259"/>
  <c r="F24" i="98"/>
  <c r="H24" i="98"/>
  <c r="F23" i="34"/>
  <c r="H23" i="34"/>
  <c r="F23" i="30"/>
  <c r="H23" i="30"/>
  <c r="F23" i="155"/>
  <c r="H23" i="155"/>
  <c r="F23" i="225"/>
  <c r="H23" i="225"/>
  <c r="F23" i="232"/>
  <c r="H23" i="232"/>
  <c r="B34" i="438"/>
  <c r="A34" i="438"/>
  <c r="Z356" i="721"/>
  <c r="Z465" i="721"/>
  <c r="Z15" i="720"/>
  <c r="Z15" i="721"/>
  <c r="Z30" i="720"/>
  <c r="Z30" i="721"/>
  <c r="Z28" i="720"/>
  <c r="Z28" i="721"/>
  <c r="V53" i="720"/>
  <c r="V53" i="721"/>
  <c r="V198" i="720"/>
  <c r="W198" i="720"/>
  <c r="V198" i="721"/>
  <c r="Z254" i="720"/>
  <c r="AA254" i="720"/>
  <c r="Z254" i="721"/>
  <c r="Z253" i="720"/>
  <c r="AA253" i="720"/>
  <c r="Z253" i="721"/>
  <c r="Z274" i="720"/>
  <c r="Z274" i="721"/>
  <c r="V256" i="720"/>
  <c r="W256" i="720"/>
  <c r="V256" i="721"/>
  <c r="Z276" i="720"/>
  <c r="Z276" i="721"/>
  <c r="Z425" i="720"/>
  <c r="Z425" i="721"/>
  <c r="V550" i="720"/>
  <c r="V550" i="721"/>
  <c r="V561" i="720"/>
  <c r="V561" i="721"/>
  <c r="V569" i="720"/>
  <c r="W569" i="720"/>
  <c r="V569" i="721"/>
  <c r="V587" i="720"/>
  <c r="V587" i="721"/>
  <c r="Z711" i="720"/>
  <c r="Z711" i="721"/>
  <c r="V729" i="720"/>
  <c r="W729" i="720"/>
  <c r="W728" i="720"/>
  <c r="V729" i="721"/>
  <c r="Z464" i="720"/>
  <c r="Z464" i="721"/>
  <c r="Z466" i="720"/>
  <c r="Z466" i="721"/>
  <c r="Z26" i="720"/>
  <c r="Z26" i="721"/>
  <c r="Z27" i="720"/>
  <c r="Z27" i="721"/>
  <c r="Z29" i="720"/>
  <c r="Z29" i="721"/>
  <c r="Z45" i="720"/>
  <c r="Z45" i="721"/>
  <c r="V251" i="720"/>
  <c r="V251" i="721"/>
  <c r="V255" i="720"/>
  <c r="W255" i="720"/>
  <c r="V255" i="721"/>
  <c r="Z549" i="720"/>
  <c r="Z549" i="721"/>
  <c r="V560" i="720"/>
  <c r="V560" i="721"/>
  <c r="V571" i="720"/>
  <c r="W571" i="720"/>
  <c r="W570" i="720"/>
  <c r="V571" i="721"/>
  <c r="Z586" i="720"/>
  <c r="Z586" i="721"/>
  <c r="Z649" i="720"/>
  <c r="AA649" i="720"/>
  <c r="AA648" i="720"/>
  <c r="Z649" i="721"/>
  <c r="V712" i="720"/>
  <c r="V712" i="721"/>
  <c r="V731" i="720"/>
  <c r="W731" i="720"/>
  <c r="V731" i="721"/>
  <c r="Z463" i="720"/>
  <c r="Z463" i="721"/>
  <c r="Z467" i="720"/>
  <c r="Z467" i="721"/>
  <c r="Z465" i="720"/>
  <c r="Z356" i="720"/>
  <c r="AA356" i="720"/>
  <c r="H26" i="414"/>
  <c r="I33" i="414"/>
  <c r="I42" i="98"/>
  <c r="I42" i="570"/>
  <c r="I41" i="586"/>
  <c r="F24" i="455"/>
  <c r="H24" i="455"/>
  <c r="F24" i="471"/>
  <c r="H24" i="471"/>
  <c r="F24" i="25"/>
  <c r="H24" i="25"/>
  <c r="F24" i="34"/>
  <c r="H24" i="34"/>
  <c r="F24" i="30"/>
  <c r="H24" i="30"/>
  <c r="F24" i="155"/>
  <c r="H24" i="155"/>
  <c r="F24" i="225"/>
  <c r="H24" i="225"/>
  <c r="F24" i="232"/>
  <c r="H24" i="232"/>
  <c r="F25" i="98"/>
  <c r="H25" i="98"/>
  <c r="F24" i="165"/>
  <c r="H24" i="165"/>
  <c r="F24" i="259"/>
  <c r="H24" i="259"/>
  <c r="F28" i="28"/>
  <c r="F24" i="207"/>
  <c r="H24" i="207"/>
  <c r="B33" i="438"/>
  <c r="A33" i="438"/>
  <c r="B32" i="438"/>
  <c r="A32" i="438"/>
  <c r="B31" i="438"/>
  <c r="A31" i="438"/>
  <c r="B30" i="438"/>
  <c r="A30" i="438"/>
  <c r="B29" i="438"/>
  <c r="A29" i="438"/>
  <c r="B28" i="438"/>
  <c r="A28" i="438"/>
  <c r="B27" i="438"/>
  <c r="A27" i="438"/>
  <c r="B26" i="438"/>
  <c r="A26" i="438"/>
  <c r="B25" i="438"/>
  <c r="A25" i="438"/>
  <c r="B24" i="438"/>
  <c r="A24" i="438"/>
  <c r="B23" i="438"/>
  <c r="A23" i="438"/>
  <c r="B22" i="438"/>
  <c r="A22" i="438"/>
  <c r="B21" i="438"/>
  <c r="A21" i="438"/>
  <c r="B20" i="438"/>
  <c r="A20" i="438"/>
  <c r="B15" i="438"/>
  <c r="B14" i="438"/>
  <c r="B13" i="438"/>
  <c r="C8" i="438"/>
  <c r="C6" i="438"/>
  <c r="C4" i="438"/>
  <c r="Z584" i="720"/>
  <c r="Z584" i="721"/>
  <c r="Z783" i="720"/>
  <c r="Z783" i="721"/>
  <c r="V769" i="720"/>
  <c r="W769" i="720"/>
  <c r="V769" i="721"/>
  <c r="V700" i="720"/>
  <c r="V700" i="721"/>
  <c r="V698" i="720"/>
  <c r="V698" i="721"/>
  <c r="Z574" i="721"/>
  <c r="V451" i="720"/>
  <c r="V451" i="721"/>
  <c r="Z429" i="720"/>
  <c r="Z429" i="721"/>
  <c r="Z424" i="720"/>
  <c r="Z424" i="721"/>
  <c r="V416" i="720"/>
  <c r="V416" i="721"/>
  <c r="V393" i="720"/>
  <c r="V393" i="721"/>
  <c r="Z392" i="720"/>
  <c r="Z392" i="721"/>
  <c r="V384" i="720"/>
  <c r="V384" i="721"/>
  <c r="V383" i="720"/>
  <c r="V383" i="721"/>
  <c r="V381" i="720"/>
  <c r="V381" i="721"/>
  <c r="Z376" i="720"/>
  <c r="AA376" i="720"/>
  <c r="Z376" i="721"/>
  <c r="Z352" i="720"/>
  <c r="Z352" i="721"/>
  <c r="Z353" i="720"/>
  <c r="Z353" i="721"/>
  <c r="Z338" i="720"/>
  <c r="AA338" i="720"/>
  <c r="Z338" i="721"/>
  <c r="Z336" i="720"/>
  <c r="AA336" i="720"/>
  <c r="Z336" i="721"/>
  <c r="V329" i="720"/>
  <c r="V329" i="721"/>
  <c r="V332" i="720"/>
  <c r="V332" i="721"/>
  <c r="V322" i="720"/>
  <c r="V322" i="721"/>
  <c r="Z319" i="720"/>
  <c r="Z319" i="721"/>
  <c r="Z318" i="720"/>
  <c r="Z318" i="721"/>
  <c r="V303" i="720"/>
  <c r="V303" i="721"/>
  <c r="Z287" i="720"/>
  <c r="Z287" i="721"/>
  <c r="V285" i="720"/>
  <c r="V285" i="721"/>
  <c r="V283" i="720"/>
  <c r="V283" i="721"/>
  <c r="Z224" i="720"/>
  <c r="Z224" i="721"/>
  <c r="V201" i="720"/>
  <c r="V201" i="721"/>
  <c r="V74" i="720"/>
  <c r="W74" i="720"/>
  <c r="V74" i="721"/>
  <c r="AB110" i="720"/>
  <c r="AB110" i="721"/>
  <c r="V770" i="720"/>
  <c r="W770" i="720"/>
  <c r="V770" i="721"/>
  <c r="V759" i="720"/>
  <c r="W759" i="720"/>
  <c r="W758" i="720"/>
  <c r="V759" i="721"/>
  <c r="W759" i="721"/>
  <c r="V701" i="720"/>
  <c r="V701" i="721"/>
  <c r="V697" i="720"/>
  <c r="V697" i="721"/>
  <c r="V696" i="720"/>
  <c r="V696" i="721"/>
  <c r="Z548" i="720"/>
  <c r="Z548" i="721"/>
  <c r="Z518" i="720"/>
  <c r="Z518" i="721"/>
  <c r="Z434" i="720"/>
  <c r="Z434" i="721"/>
  <c r="Z430" i="720"/>
  <c r="Z430" i="721"/>
  <c r="Z423" i="720"/>
  <c r="Z423" i="721"/>
  <c r="Z417" i="720"/>
  <c r="Z417" i="721"/>
  <c r="V414" i="720"/>
  <c r="V414" i="721"/>
  <c r="Z382" i="720"/>
  <c r="Z382" i="721"/>
  <c r="Z337" i="720"/>
  <c r="AA337" i="720"/>
  <c r="Z337" i="721"/>
  <c r="Z333" i="720"/>
  <c r="Z333" i="721"/>
  <c r="Z331" i="720"/>
  <c r="Z331" i="721"/>
  <c r="V321" i="720"/>
  <c r="V321" i="721"/>
  <c r="Z288" i="721"/>
  <c r="AA288" i="721"/>
  <c r="Z284" i="720"/>
  <c r="Z284" i="721"/>
  <c r="Z281" i="720"/>
  <c r="Z281" i="721"/>
  <c r="V199" i="720"/>
  <c r="W199" i="720"/>
  <c r="W197" i="720"/>
  <c r="V199" i="721"/>
  <c r="Z73" i="720"/>
  <c r="Z73" i="721"/>
  <c r="Z20" i="720"/>
  <c r="AA20" i="720"/>
  <c r="AA19" i="720"/>
  <c r="Z20" i="721"/>
  <c r="Z589" i="720"/>
  <c r="Z589" i="721"/>
  <c r="Z769" i="720"/>
  <c r="AA769" i="720"/>
  <c r="Z769" i="721"/>
  <c r="Z700" i="720"/>
  <c r="Z700" i="721"/>
  <c r="Z698" i="720"/>
  <c r="Z698" i="721"/>
  <c r="Z668" i="720"/>
  <c r="Z668" i="721"/>
  <c r="Z576" i="720"/>
  <c r="AA576" i="720"/>
  <c r="Z576" i="721"/>
  <c r="AA576" i="721"/>
  <c r="V574" i="720"/>
  <c r="W574" i="720"/>
  <c r="V574" i="721"/>
  <c r="Z547" i="720"/>
  <c r="Z547" i="721"/>
  <c r="Z488" i="720"/>
  <c r="Z488" i="721"/>
  <c r="Z451" i="720"/>
  <c r="Z451" i="721"/>
  <c r="Z450" i="720"/>
  <c r="Z450" i="721"/>
  <c r="V429" i="720"/>
  <c r="V429" i="721"/>
  <c r="Z416" i="720"/>
  <c r="Z416" i="721"/>
  <c r="Z393" i="720"/>
  <c r="Z393" i="721"/>
  <c r="V392" i="720"/>
  <c r="V392" i="721"/>
  <c r="Z384" i="720"/>
  <c r="Z384" i="721"/>
  <c r="Z383" i="720"/>
  <c r="Z383" i="721"/>
  <c r="Z381" i="720"/>
  <c r="Z381" i="721"/>
  <c r="Z379" i="720"/>
  <c r="Z379" i="721"/>
  <c r="Z377" i="720"/>
  <c r="Z377" i="721"/>
  <c r="V352" i="720"/>
  <c r="V352" i="721"/>
  <c r="V338" i="720"/>
  <c r="W338" i="720"/>
  <c r="V338" i="721"/>
  <c r="V336" i="720"/>
  <c r="W336" i="720"/>
  <c r="W335" i="720"/>
  <c r="V336" i="721"/>
  <c r="Z329" i="720"/>
  <c r="Z329" i="721"/>
  <c r="Z332" i="720"/>
  <c r="Z332" i="721"/>
  <c r="Z322" i="720"/>
  <c r="Z322" i="721"/>
  <c r="Z324" i="720"/>
  <c r="Z324" i="721"/>
  <c r="Z303" i="720"/>
  <c r="Z303" i="721"/>
  <c r="Z285" i="720"/>
  <c r="Z285" i="721"/>
  <c r="Z283" i="720"/>
  <c r="Z283" i="721"/>
  <c r="Z201" i="720"/>
  <c r="Z201" i="721"/>
  <c r="Z74" i="720"/>
  <c r="AA74" i="720"/>
  <c r="Z74" i="721"/>
  <c r="Z55" i="720"/>
  <c r="AA55" i="720"/>
  <c r="Z55" i="721"/>
  <c r="Z21" i="720"/>
  <c r="AA21" i="720"/>
  <c r="Z21" i="721"/>
  <c r="AB548" i="720"/>
  <c r="AB548" i="721"/>
  <c r="Z784" i="720"/>
  <c r="Z784" i="721"/>
  <c r="Z770" i="720"/>
  <c r="AA770" i="720"/>
  <c r="Z770" i="721"/>
  <c r="Z759" i="720"/>
  <c r="AA759" i="720"/>
  <c r="AA758" i="720"/>
  <c r="Z759" i="721"/>
  <c r="AA759" i="721"/>
  <c r="Z701" i="720"/>
  <c r="Z701" i="721"/>
  <c r="Z697" i="720"/>
  <c r="Z697" i="721"/>
  <c r="Z696" i="720"/>
  <c r="Z696" i="721"/>
  <c r="Z540" i="720"/>
  <c r="AA540" i="720"/>
  <c r="Z540" i="721"/>
  <c r="Z449" i="720"/>
  <c r="Z449" i="721"/>
  <c r="Z438" i="720"/>
  <c r="Z438" i="721"/>
  <c r="Z435" i="720"/>
  <c r="Z435" i="721"/>
  <c r="Z428" i="720"/>
  <c r="Z428" i="721"/>
  <c r="V423" i="720"/>
  <c r="V423" i="721"/>
  <c r="Z414" i="720"/>
  <c r="Z414" i="721"/>
  <c r="V382" i="720"/>
  <c r="V382" i="721"/>
  <c r="Z378" i="720"/>
  <c r="Z378" i="721"/>
  <c r="V337" i="720"/>
  <c r="W337" i="720"/>
  <c r="V337" i="721"/>
  <c r="V333" i="720"/>
  <c r="V333" i="721"/>
  <c r="V331" i="720"/>
  <c r="V331" i="721"/>
  <c r="Z321" i="720"/>
  <c r="Z321" i="721"/>
  <c r="Z317" i="720"/>
  <c r="Z317" i="721"/>
  <c r="V284" i="720"/>
  <c r="V284" i="721"/>
  <c r="Z275" i="720"/>
  <c r="Z275" i="721"/>
  <c r="V281" i="720"/>
  <c r="V281" i="721"/>
  <c r="Z199" i="720"/>
  <c r="AA199" i="720"/>
  <c r="Z199" i="721"/>
  <c r="V73" i="720"/>
  <c r="V73" i="721"/>
  <c r="Z17" i="720"/>
  <c r="Z17" i="721"/>
  <c r="V20" i="720"/>
  <c r="W20" i="720"/>
  <c r="V20" i="721"/>
  <c r="AA354" i="720"/>
  <c r="F24" i="205"/>
  <c r="H24" i="205"/>
  <c r="F24" i="206"/>
  <c r="H24" i="206"/>
  <c r="I41" i="478"/>
  <c r="I41" i="575"/>
  <c r="AB126" i="720"/>
  <c r="I40" i="623"/>
  <c r="I41" i="634"/>
  <c r="AB802" i="720"/>
  <c r="I41" i="636"/>
  <c r="AB804" i="720"/>
  <c r="F24" i="283"/>
  <c r="H24" i="283"/>
  <c r="I38" i="552"/>
  <c r="AB78" i="720"/>
  <c r="I41" i="641"/>
  <c r="I41" i="479"/>
  <c r="AB148" i="720"/>
  <c r="I41" i="635"/>
  <c r="AB803" i="721"/>
  <c r="AA768" i="720"/>
  <c r="AA335" i="720"/>
  <c r="AB141" i="720"/>
  <c r="AB141" i="721"/>
  <c r="AC141" i="721"/>
  <c r="AB164" i="720"/>
  <c r="AB164" i="721"/>
  <c r="AC126" i="720"/>
  <c r="AC124" i="720"/>
  <c r="AB126" i="721"/>
  <c r="AB58" i="720"/>
  <c r="AC58" i="720"/>
  <c r="AB58" i="721"/>
  <c r="AC58" i="721"/>
  <c r="AB148" i="721"/>
  <c r="AC78" i="720"/>
  <c r="AB78" i="721"/>
  <c r="AB804" i="721"/>
  <c r="AB162" i="720"/>
  <c r="AB162" i="721"/>
  <c r="AB72" i="720"/>
  <c r="AB72" i="721"/>
  <c r="W768" i="720"/>
  <c r="F27" i="700"/>
  <c r="H27" i="700"/>
  <c r="F27" i="342"/>
  <c r="H27" i="342"/>
  <c r="F25" i="241"/>
  <c r="H25" i="241"/>
  <c r="F30" i="28"/>
  <c r="F25" i="547"/>
  <c r="H25" i="547"/>
  <c r="F31" i="28"/>
  <c r="F25" i="277"/>
  <c r="H25" i="277"/>
  <c r="F24" i="646"/>
  <c r="H24" i="646"/>
  <c r="F26" i="575"/>
  <c r="H26" i="575"/>
  <c r="F32" i="28"/>
  <c r="F25" i="205"/>
  <c r="H36" i="527"/>
  <c r="Z164" i="720"/>
  <c r="Z164" i="721"/>
  <c r="Z255" i="720"/>
  <c r="AA255" i="720"/>
  <c r="Z255" i="721"/>
  <c r="Z471" i="720"/>
  <c r="AA471" i="720"/>
  <c r="Z471" i="721"/>
  <c r="Z561" i="720"/>
  <c r="Z561" i="721"/>
  <c r="Z569" i="720"/>
  <c r="AA569" i="720"/>
  <c r="Z569" i="721"/>
  <c r="Z215" i="720"/>
  <c r="Z215" i="721"/>
  <c r="Z256" i="720"/>
  <c r="AA256" i="720"/>
  <c r="Z256" i="721"/>
  <c r="Z472" i="720"/>
  <c r="AA472" i="720"/>
  <c r="Z472" i="721"/>
  <c r="Z571" i="720"/>
  <c r="AA571" i="720"/>
  <c r="AA570" i="720"/>
  <c r="Z571" i="721"/>
  <c r="Z250" i="720"/>
  <c r="Z250" i="721"/>
  <c r="Z456" i="720"/>
  <c r="Z456" i="721"/>
  <c r="Z473" i="720"/>
  <c r="AA473" i="720"/>
  <c r="Z473" i="721"/>
  <c r="Z560" i="720"/>
  <c r="Z560" i="721"/>
  <c r="Z582" i="720"/>
  <c r="Z582" i="721"/>
  <c r="Z24" i="720"/>
  <c r="Z24" i="721"/>
  <c r="Z251" i="720"/>
  <c r="Z251" i="721"/>
  <c r="Z476" i="720"/>
  <c r="AA476" i="720"/>
  <c r="AA475" i="720"/>
  <c r="Z476" i="721"/>
  <c r="F33" i="28"/>
  <c r="I41" i="587"/>
  <c r="F25" i="386"/>
  <c r="H25" i="386"/>
  <c r="F25" i="207"/>
  <c r="H25" i="207"/>
  <c r="I41" i="649"/>
  <c r="AB221" i="720"/>
  <c r="I41" i="504"/>
  <c r="AB228" i="720"/>
  <c r="I41" i="505"/>
  <c r="AB230" i="721"/>
  <c r="H33" i="527"/>
  <c r="G31" i="527"/>
  <c r="F28" i="527"/>
  <c r="G28" i="527"/>
  <c r="G27" i="527"/>
  <c r="G26" i="527"/>
  <c r="G25" i="527"/>
  <c r="G24" i="527"/>
  <c r="G23" i="527"/>
  <c r="G22" i="527"/>
  <c r="G21" i="527"/>
  <c r="G20" i="527"/>
  <c r="G19" i="527"/>
  <c r="G18" i="527"/>
  <c r="G17" i="527"/>
  <c r="G16" i="527"/>
  <c r="G15" i="527"/>
  <c r="G14" i="527"/>
  <c r="G13" i="527"/>
  <c r="G12" i="527"/>
  <c r="A12" i="527"/>
  <c r="G11" i="527"/>
  <c r="A6" i="527"/>
  <c r="A5" i="527"/>
  <c r="A4" i="527"/>
  <c r="AA252" i="720"/>
  <c r="AA470" i="720"/>
  <c r="AA469" i="720"/>
  <c r="AB230" i="720"/>
  <c r="AB226" i="720"/>
  <c r="AB226" i="721"/>
  <c r="A13" i="527"/>
  <c r="A14" i="527"/>
  <c r="A15" i="527"/>
  <c r="A16" i="527"/>
  <c r="A17" i="527"/>
  <c r="A18" i="527"/>
  <c r="A19" i="527"/>
  <c r="A20" i="527"/>
  <c r="A21" i="527"/>
  <c r="A22" i="527"/>
  <c r="A23" i="527"/>
  <c r="A24" i="527"/>
  <c r="A25" i="527"/>
  <c r="A26" i="527"/>
  <c r="A27" i="527"/>
  <c r="A28" i="527"/>
  <c r="H25" i="205"/>
  <c r="I41" i="625"/>
  <c r="AB498" i="721"/>
  <c r="AB516" i="721"/>
  <c r="AB516" i="720"/>
  <c r="AC516" i="720"/>
  <c r="AC515" i="720"/>
  <c r="AB498" i="720"/>
  <c r="AC498" i="720"/>
  <c r="AC495" i="720"/>
  <c r="I41" i="455"/>
  <c r="F35" i="28"/>
  <c r="I41" i="565"/>
  <c r="I41" i="568"/>
  <c r="AB100" i="720"/>
  <c r="I42" i="514"/>
  <c r="I43" i="607"/>
  <c r="I42" i="614"/>
  <c r="AB320" i="721"/>
  <c r="I41" i="616"/>
  <c r="AB330" i="721"/>
  <c r="I42" i="618"/>
  <c r="I42" i="639"/>
  <c r="AB365" i="721"/>
  <c r="F37" i="28"/>
  <c r="F36" i="28"/>
  <c r="I41" i="516"/>
  <c r="I41" i="569"/>
  <c r="AB101" i="721"/>
  <c r="I41" i="604"/>
  <c r="Z46" i="720"/>
  <c r="Z46" i="721"/>
  <c r="AB101" i="720"/>
  <c r="AB365" i="720"/>
  <c r="AB330" i="720"/>
  <c r="AB307" i="720"/>
  <c r="AB307" i="721"/>
  <c r="AB97" i="720"/>
  <c r="AB97" i="721"/>
  <c r="AC97" i="721"/>
  <c r="AB339" i="720"/>
  <c r="AC339" i="720"/>
  <c r="AC335" i="720"/>
  <c r="AB339" i="721"/>
  <c r="AC339" i="721"/>
  <c r="AB334" i="721"/>
  <c r="AB83" i="721"/>
  <c r="Z53" i="720"/>
  <c r="Z53" i="721"/>
  <c r="AB350" i="720"/>
  <c r="AB350" i="721"/>
  <c r="AB90" i="720"/>
  <c r="AB90" i="721"/>
  <c r="Z49" i="720"/>
  <c r="Z49" i="721"/>
  <c r="AB334" i="720"/>
  <c r="AB83" i="720"/>
  <c r="F38" i="28"/>
  <c r="F24" i="561"/>
  <c r="H24" i="561"/>
  <c r="F39" i="28"/>
  <c r="F24" i="649"/>
  <c r="H24" i="649"/>
  <c r="I41" i="580"/>
  <c r="AB189" i="721"/>
  <c r="F40" i="28"/>
  <c r="F23" i="236"/>
  <c r="H23" i="236"/>
  <c r="I41" i="582"/>
  <c r="AB192" i="721"/>
  <c r="F24" i="636"/>
  <c r="H24" i="636"/>
  <c r="F24" i="446"/>
  <c r="H24" i="446"/>
  <c r="F24" i="586"/>
  <c r="H24" i="586"/>
  <c r="F26" i="427"/>
  <c r="H26" i="427"/>
  <c r="F25" i="444"/>
  <c r="H25" i="444"/>
  <c r="F23" i="549"/>
  <c r="H23" i="549"/>
  <c r="F24" i="547"/>
  <c r="H24" i="547"/>
  <c r="Z198" i="720"/>
  <c r="AA198" i="720"/>
  <c r="AA197" i="720"/>
  <c r="Z198" i="721"/>
  <c r="Z587" i="720"/>
  <c r="Z587" i="721"/>
  <c r="Z712" i="720"/>
  <c r="Z712" i="721"/>
  <c r="AB192" i="720"/>
  <c r="AC192" i="720"/>
  <c r="X459" i="720"/>
  <c r="E459" i="720"/>
  <c r="X459" i="721"/>
  <c r="E459" i="721"/>
  <c r="F459" i="721"/>
  <c r="Z91" i="720"/>
  <c r="Z91" i="721"/>
  <c r="Z84" i="720"/>
  <c r="Z84" i="721"/>
  <c r="Z90" i="720"/>
  <c r="Z90" i="721"/>
  <c r="I41" i="512"/>
  <c r="I41" i="541"/>
  <c r="F27" i="470"/>
  <c r="H27" i="470"/>
  <c r="I42" i="640"/>
  <c r="AB590" i="720"/>
  <c r="I41" i="542"/>
  <c r="R459" i="720"/>
  <c r="P459" i="720"/>
  <c r="AB362" i="720"/>
  <c r="AB362" i="721"/>
  <c r="Z56" i="720"/>
  <c r="AA56" i="720"/>
  <c r="Z56" i="721"/>
  <c r="AA56" i="721"/>
  <c r="Z227" i="720"/>
  <c r="Z227" i="721"/>
  <c r="Z807" i="720"/>
  <c r="Z807" i="721"/>
  <c r="Z59" i="720"/>
  <c r="AA59" i="720"/>
  <c r="Z59" i="721"/>
  <c r="AA59" i="721"/>
  <c r="AB590" i="721"/>
  <c r="AB361" i="720"/>
  <c r="AB361" i="721"/>
  <c r="Z58" i="720"/>
  <c r="AA58" i="720"/>
  <c r="Z58" i="721"/>
  <c r="AA58" i="721"/>
  <c r="F24" i="236"/>
  <c r="H24" i="236"/>
  <c r="F25" i="445"/>
  <c r="H25" i="445"/>
  <c r="F25" i="356"/>
  <c r="H25" i="356"/>
  <c r="F25" i="355"/>
  <c r="H25" i="355"/>
  <c r="F44" i="28"/>
  <c r="F23" i="444"/>
  <c r="H23" i="444"/>
  <c r="F24" i="444"/>
  <c r="H24" i="444"/>
  <c r="F22" i="549"/>
  <c r="H22" i="549"/>
  <c r="F45" i="28"/>
  <c r="F24" i="580"/>
  <c r="H24" i="580"/>
  <c r="F24" i="445"/>
  <c r="H24" i="445"/>
  <c r="F46" i="28"/>
  <c r="F25" i="379"/>
  <c r="H25" i="379"/>
  <c r="Z143" i="721"/>
  <c r="Z143" i="720"/>
  <c r="AA143" i="720"/>
  <c r="AA142" i="720"/>
  <c r="Z129" i="721"/>
  <c r="Z129" i="720"/>
  <c r="AA129" i="720"/>
  <c r="Z125" i="720"/>
  <c r="AA125" i="720"/>
  <c r="AA124" i="720"/>
  <c r="Z125" i="721"/>
  <c r="Z25" i="720"/>
  <c r="Z25" i="721"/>
  <c r="F47" i="28"/>
  <c r="Z264" i="721"/>
  <c r="Z264" i="720"/>
  <c r="A49" i="438"/>
  <c r="F40" i="438"/>
  <c r="F48" i="28"/>
  <c r="Z184" i="720"/>
  <c r="Z184" i="721"/>
  <c r="Z183" i="720"/>
  <c r="Z183" i="721"/>
  <c r="Z182" i="720"/>
  <c r="Z182" i="721"/>
  <c r="Z185" i="720"/>
  <c r="Z185" i="721"/>
  <c r="F49" i="28"/>
  <c r="F24" i="462"/>
  <c r="H24" i="462"/>
  <c r="Z731" i="720"/>
  <c r="AA731" i="720"/>
  <c r="Z731" i="721"/>
  <c r="Z729" i="720"/>
  <c r="AA729" i="720"/>
  <c r="Z729" i="721"/>
  <c r="F50" i="28"/>
  <c r="F24" i="463"/>
  <c r="H24" i="463"/>
  <c r="AA728" i="720"/>
  <c r="F52" i="28"/>
  <c r="F51" i="28"/>
  <c r="F53" i="28"/>
  <c r="F25" i="464"/>
  <c r="H25" i="464"/>
  <c r="F25" i="407"/>
  <c r="H25" i="407"/>
  <c r="Z163" i="721"/>
  <c r="Z163" i="720"/>
  <c r="H24" i="408"/>
  <c r="E38" i="438"/>
  <c r="E25" i="438"/>
  <c r="F39" i="438"/>
  <c r="H40" i="215"/>
  <c r="I38" i="215"/>
  <c r="I41" i="215"/>
  <c r="F9" i="553"/>
  <c r="H9" i="553"/>
  <c r="F24" i="460"/>
  <c r="H24" i="460"/>
  <c r="F24" i="461"/>
  <c r="H24" i="461"/>
  <c r="F24" i="464"/>
  <c r="H24" i="464"/>
  <c r="F8" i="516"/>
  <c r="H8" i="516"/>
  <c r="I19" i="516"/>
  <c r="F8" i="561"/>
  <c r="H8" i="561"/>
  <c r="I19" i="561"/>
  <c r="V92" i="721"/>
  <c r="W92" i="721"/>
  <c r="F8" i="562"/>
  <c r="H8" i="562"/>
  <c r="I19" i="562"/>
  <c r="V93" i="720"/>
  <c r="F8" i="563"/>
  <c r="H8" i="563"/>
  <c r="I19" i="563"/>
  <c r="F8" i="565"/>
  <c r="H8" i="565"/>
  <c r="F8" i="569"/>
  <c r="H8" i="569"/>
  <c r="F12" i="708"/>
  <c r="H12" i="708"/>
  <c r="F25" i="708"/>
  <c r="H25" i="708"/>
  <c r="I41" i="708"/>
  <c r="D35" i="470"/>
  <c r="H35" i="470"/>
  <c r="I34" i="470"/>
  <c r="I41" i="470"/>
  <c r="F10" i="580"/>
  <c r="H10" i="580"/>
  <c r="F12" i="291"/>
  <c r="H12" i="291"/>
  <c r="F25" i="438"/>
  <c r="F10" i="591"/>
  <c r="H10" i="591"/>
  <c r="F8" i="522"/>
  <c r="H8" i="522"/>
  <c r="F8" i="523"/>
  <c r="H8" i="523"/>
  <c r="F8" i="524"/>
  <c r="H8" i="524"/>
  <c r="F8" i="598"/>
  <c r="H8" i="598"/>
  <c r="F10" i="606"/>
  <c r="H10" i="606"/>
  <c r="F12" i="606"/>
  <c r="H12" i="606"/>
  <c r="F9" i="611"/>
  <c r="H9" i="611"/>
  <c r="F9" i="614"/>
  <c r="H9" i="614"/>
  <c r="F11" i="614"/>
  <c r="H11" i="614"/>
  <c r="F11" i="616"/>
  <c r="H11" i="616"/>
  <c r="F10" i="540"/>
  <c r="H10" i="540"/>
  <c r="I19" i="540"/>
  <c r="I52" i="540"/>
  <c r="F9" i="639"/>
  <c r="H9" i="639"/>
  <c r="F8" i="412"/>
  <c r="H8" i="412"/>
  <c r="I22" i="412"/>
  <c r="V394" i="720"/>
  <c r="F8" i="340"/>
  <c r="H8" i="340"/>
  <c r="I22" i="340"/>
  <c r="F8" i="373"/>
  <c r="H8" i="373"/>
  <c r="I22" i="373"/>
  <c r="F10" i="673"/>
  <c r="H10" i="673"/>
  <c r="F10" i="674"/>
  <c r="H10" i="674"/>
  <c r="F14" i="691"/>
  <c r="H14" i="691"/>
  <c r="F26" i="685"/>
  <c r="H26" i="685"/>
  <c r="I33" i="685"/>
  <c r="I44" i="705"/>
  <c r="AB462" i="720"/>
  <c r="F9" i="537"/>
  <c r="H9" i="537"/>
  <c r="F8" i="640"/>
  <c r="H8" i="640"/>
  <c r="F11" i="640"/>
  <c r="H11" i="640"/>
  <c r="F16" i="304"/>
  <c r="H16" i="304"/>
  <c r="F16" i="333"/>
  <c r="H16" i="333"/>
  <c r="F13" i="391"/>
  <c r="H13" i="391"/>
  <c r="F15" i="28"/>
  <c r="F25" i="497"/>
  <c r="H25" i="497"/>
  <c r="H24" i="396"/>
  <c r="F31" i="438"/>
  <c r="F10" i="509"/>
  <c r="H10" i="509"/>
  <c r="F11" i="538"/>
  <c r="H11" i="538"/>
  <c r="F24" i="303"/>
  <c r="H24" i="303"/>
  <c r="F9" i="530"/>
  <c r="H9" i="530"/>
  <c r="F11" i="530"/>
  <c r="H11" i="530"/>
  <c r="F9" i="638"/>
  <c r="H9" i="638"/>
  <c r="F10" i="638"/>
  <c r="H10" i="638"/>
  <c r="F14" i="638"/>
  <c r="H14" i="638"/>
  <c r="F8" i="533"/>
  <c r="H8" i="533"/>
  <c r="F8" i="628"/>
  <c r="H8" i="628"/>
  <c r="F8" i="629"/>
  <c r="H8" i="629"/>
  <c r="F8" i="632"/>
  <c r="H8" i="632"/>
  <c r="H23" i="707"/>
  <c r="F24" i="707"/>
  <c r="H24" i="707"/>
  <c r="F8" i="621"/>
  <c r="H8" i="621"/>
  <c r="F28" i="438"/>
  <c r="D32" i="438"/>
  <c r="E32" i="438"/>
  <c r="F33" i="438"/>
  <c r="F34" i="438"/>
  <c r="F36" i="438"/>
  <c r="F10" i="626"/>
  <c r="H10" i="626"/>
  <c r="I41" i="626"/>
  <c r="I53" i="239"/>
  <c r="F11" i="355"/>
  <c r="H11" i="355"/>
  <c r="F11" i="445"/>
  <c r="H11" i="445"/>
  <c r="F12" i="236"/>
  <c r="H12" i="236"/>
  <c r="F10" i="734"/>
  <c r="H10" i="734"/>
  <c r="F13" i="197"/>
  <c r="H13" i="197"/>
  <c r="F9" i="636"/>
  <c r="H9" i="636"/>
  <c r="F11" i="575"/>
  <c r="H11" i="575"/>
  <c r="V456" i="721"/>
  <c r="V317" i="721"/>
  <c r="V90" i="721"/>
  <c r="F10" i="503"/>
  <c r="H10" i="503"/>
  <c r="F9" i="427"/>
  <c r="H9" i="427"/>
  <c r="F11" i="442"/>
  <c r="H11" i="442"/>
  <c r="F9" i="547"/>
  <c r="H9" i="547"/>
  <c r="F12" i="504"/>
  <c r="H12" i="504"/>
  <c r="F13" i="243"/>
  <c r="H13" i="243"/>
  <c r="F9" i="241"/>
  <c r="H9" i="241"/>
  <c r="F10" i="530"/>
  <c r="H10" i="530"/>
  <c r="F13" i="472"/>
  <c r="H13" i="472"/>
  <c r="F13" i="649"/>
  <c r="H13" i="649"/>
  <c r="F13" i="586"/>
  <c r="H13" i="586"/>
  <c r="F10" i="577"/>
  <c r="H10" i="577"/>
  <c r="F9" i="224"/>
  <c r="H9" i="224"/>
  <c r="F9" i="262"/>
  <c r="H9" i="262"/>
  <c r="F9" i="641"/>
  <c r="H9" i="641"/>
  <c r="F11" i="446"/>
  <c r="H11" i="446"/>
  <c r="F11" i="364"/>
  <c r="H11" i="364"/>
  <c r="F11" i="227"/>
  <c r="H11" i="227"/>
  <c r="F12" i="505"/>
  <c r="H12" i="505"/>
  <c r="F13" i="244"/>
  <c r="H13" i="244"/>
  <c r="F11" i="548"/>
  <c r="H11" i="548"/>
  <c r="F12" i="587"/>
  <c r="H12" i="587"/>
  <c r="F10" i="494"/>
  <c r="H10" i="494"/>
  <c r="F10" i="444"/>
  <c r="H10" i="444"/>
  <c r="V589" i="720"/>
  <c r="V589" i="721"/>
  <c r="AB576" i="720"/>
  <c r="AC576" i="720"/>
  <c r="AB576" i="721"/>
  <c r="AC576" i="721"/>
  <c r="V576" i="720"/>
  <c r="W576" i="720"/>
  <c r="V576" i="721"/>
  <c r="X576" i="721"/>
  <c r="E576" i="721"/>
  <c r="F576" i="721"/>
  <c r="AB462" i="721"/>
  <c r="V450" i="720"/>
  <c r="V450" i="721"/>
  <c r="V443" i="720"/>
  <c r="V443" i="721"/>
  <c r="V430" i="720"/>
  <c r="V430" i="721"/>
  <c r="V424" i="720"/>
  <c r="V424" i="721"/>
  <c r="V378" i="720"/>
  <c r="V378" i="721"/>
  <c r="V275" i="720"/>
  <c r="V275" i="721"/>
  <c r="V250" i="720"/>
  <c r="V250" i="721"/>
  <c r="AB102" i="720"/>
  <c r="AB102" i="721"/>
  <c r="AC102" i="721"/>
  <c r="V584" i="720"/>
  <c r="V584" i="721"/>
  <c r="V449" i="720"/>
  <c r="X449" i="720"/>
  <c r="E449" i="720"/>
  <c r="V449" i="721"/>
  <c r="V438" i="720"/>
  <c r="V438" i="721"/>
  <c r="V417" i="720"/>
  <c r="V417" i="721"/>
  <c r="V353" i="720"/>
  <c r="V353" i="721"/>
  <c r="AB112" i="720"/>
  <c r="AB112" i="721"/>
  <c r="AC112" i="721"/>
  <c r="V21" i="720"/>
  <c r="W21" i="720"/>
  <c r="W19" i="720"/>
  <c r="V21" i="721"/>
  <c r="V90" i="720"/>
  <c r="V456" i="720"/>
  <c r="X456" i="720"/>
  <c r="E456" i="720"/>
  <c r="V317" i="720"/>
  <c r="F10" i="549"/>
  <c r="H10" i="549"/>
  <c r="E35" i="438"/>
  <c r="F35" i="438"/>
  <c r="E40" i="438"/>
  <c r="E34" i="438"/>
  <c r="E33" i="438"/>
  <c r="F25" i="638"/>
  <c r="H25" i="638"/>
  <c r="F25" i="392"/>
  <c r="H25" i="392"/>
  <c r="F25" i="391"/>
  <c r="H25" i="391"/>
  <c r="F25" i="281"/>
  <c r="H25" i="281"/>
  <c r="F25" i="396"/>
  <c r="H25" i="396"/>
  <c r="F25" i="333"/>
  <c r="H25" i="333"/>
  <c r="C38" i="438"/>
  <c r="V17" i="721"/>
  <c r="V287" i="720"/>
  <c r="V287" i="721"/>
  <c r="V377" i="720"/>
  <c r="V377" i="721"/>
  <c r="V376" i="720"/>
  <c r="V376" i="721"/>
  <c r="Z605" i="720"/>
  <c r="AA605" i="720"/>
  <c r="Z605" i="721"/>
  <c r="V582" i="720"/>
  <c r="V582" i="721"/>
  <c r="X582" i="721"/>
  <c r="E582" i="721"/>
  <c r="F582" i="721"/>
  <c r="V434" i="720"/>
  <c r="X434" i="720"/>
  <c r="E434" i="720"/>
  <c r="V434" i="721"/>
  <c r="V435" i="720"/>
  <c r="V435" i="721"/>
  <c r="X435" i="721"/>
  <c r="E435" i="721"/>
  <c r="F435" i="721"/>
  <c r="V668" i="720"/>
  <c r="V668" i="721"/>
  <c r="Z604" i="720"/>
  <c r="AA604" i="720"/>
  <c r="Z604" i="721"/>
  <c r="V604" i="721"/>
  <c r="X604" i="721"/>
  <c r="E604" i="721"/>
  <c r="F604" i="721"/>
  <c r="Z503" i="720"/>
  <c r="AA503" i="720"/>
  <c r="AA502" i="720"/>
  <c r="Z503" i="721"/>
  <c r="Z523" i="720"/>
  <c r="Z523" i="721"/>
  <c r="V428" i="720"/>
  <c r="V428" i="721"/>
  <c r="X428" i="721"/>
  <c r="E428" i="721"/>
  <c r="F428" i="721"/>
  <c r="V425" i="720"/>
  <c r="X425" i="720"/>
  <c r="E425" i="720"/>
  <c r="T425" i="720"/>
  <c r="V425" i="721"/>
  <c r="V379" i="720"/>
  <c r="V379" i="721"/>
  <c r="X379" i="721"/>
  <c r="E379" i="721"/>
  <c r="F379" i="721"/>
  <c r="V319" i="720"/>
  <c r="V319" i="721"/>
  <c r="Z550" i="720"/>
  <c r="Z550" i="721"/>
  <c r="V318" i="720"/>
  <c r="V318" i="721"/>
  <c r="V324" i="720"/>
  <c r="V324" i="721"/>
  <c r="W576" i="721"/>
  <c r="V17" i="720"/>
  <c r="F23" i="438"/>
  <c r="F27" i="438"/>
  <c r="E27" i="438"/>
  <c r="E22" i="438"/>
  <c r="E20" i="438"/>
  <c r="F10" i="708"/>
  <c r="H10" i="708"/>
  <c r="F22" i="438"/>
  <c r="F30" i="438"/>
  <c r="E21" i="438"/>
  <c r="C34" i="438"/>
  <c r="C40" i="438"/>
  <c r="V356" i="720"/>
  <c r="W356" i="720"/>
  <c r="W354" i="720"/>
  <c r="V356" i="721"/>
  <c r="E39" i="438"/>
  <c r="E36" i="438"/>
  <c r="E30" i="438"/>
  <c r="E29" i="438"/>
  <c r="E31" i="438"/>
  <c r="C27" i="438"/>
  <c r="F29" i="438"/>
  <c r="E26" i="438"/>
  <c r="C33" i="438"/>
  <c r="F38" i="438"/>
  <c r="F21" i="438"/>
  <c r="Z130" i="720"/>
  <c r="AA130" i="720"/>
  <c r="AA128" i="720"/>
  <c r="C37" i="438"/>
  <c r="F37" i="438"/>
  <c r="Z130" i="721"/>
  <c r="F26" i="438"/>
  <c r="Z133" i="720"/>
  <c r="Z133" i="721"/>
  <c r="F24" i="438"/>
  <c r="X586" i="721"/>
  <c r="E586" i="721"/>
  <c r="F586" i="721"/>
  <c r="X49" i="720"/>
  <c r="E49" i="720"/>
  <c r="X73" i="721"/>
  <c r="E73" i="721"/>
  <c r="X393" i="720"/>
  <c r="E393" i="720"/>
  <c r="R393" i="720"/>
  <c r="X466" i="721"/>
  <c r="E466" i="721"/>
  <c r="F466" i="721"/>
  <c r="X464" i="720"/>
  <c r="E464" i="720"/>
  <c r="X55" i="721"/>
  <c r="X45" i="721"/>
  <c r="E45" i="721"/>
  <c r="F45" i="721"/>
  <c r="X56" i="721"/>
  <c r="Y56" i="721"/>
  <c r="X53" i="721"/>
  <c r="E53" i="721"/>
  <c r="F53" i="721"/>
  <c r="X376" i="721"/>
  <c r="E376" i="721"/>
  <c r="F376" i="721"/>
  <c r="X467" i="721"/>
  <c r="E467" i="721"/>
  <c r="F467" i="721"/>
  <c r="X414" i="721"/>
  <c r="E414" i="721"/>
  <c r="F414" i="721"/>
  <c r="X467" i="720"/>
  <c r="E467" i="720"/>
  <c r="R467" i="720"/>
  <c r="X586" i="720"/>
  <c r="E586" i="720"/>
  <c r="N586" i="720"/>
  <c r="J586" i="720"/>
  <c r="X392" i="721"/>
  <c r="E392" i="721"/>
  <c r="F392" i="721"/>
  <c r="X759" i="721"/>
  <c r="E759" i="721"/>
  <c r="X759" i="720"/>
  <c r="X783" i="720"/>
  <c r="X783" i="721"/>
  <c r="X574" i="720"/>
  <c r="Y574" i="720"/>
  <c r="X574" i="721"/>
  <c r="E574" i="721"/>
  <c r="F574" i="721"/>
  <c r="X540" i="720"/>
  <c r="Y540" i="720"/>
  <c r="Y537" i="720"/>
  <c r="X540" i="721"/>
  <c r="X473" i="720"/>
  <c r="Y473" i="720"/>
  <c r="X473" i="721"/>
  <c r="X322" i="720"/>
  <c r="E322" i="720"/>
  <c r="X322" i="721"/>
  <c r="E322" i="721"/>
  <c r="F322" i="721"/>
  <c r="X784" i="720"/>
  <c r="X784" i="721"/>
  <c r="X503" i="720"/>
  <c r="Y503" i="720"/>
  <c r="Y502" i="720"/>
  <c r="X503" i="721"/>
  <c r="X476" i="720"/>
  <c r="Y476" i="720"/>
  <c r="Y475" i="720"/>
  <c r="X476" i="721"/>
  <c r="X183" i="720"/>
  <c r="X183" i="721"/>
  <c r="X549" i="720"/>
  <c r="X549" i="721"/>
  <c r="X28" i="720"/>
  <c r="X28" i="721"/>
  <c r="X24" i="720"/>
  <c r="E24" i="720"/>
  <c r="N24" i="720"/>
  <c r="X24" i="721"/>
  <c r="E24" i="721"/>
  <c r="F24" i="721"/>
  <c r="X29" i="720"/>
  <c r="X29" i="721"/>
  <c r="X25" i="720"/>
  <c r="E25" i="720"/>
  <c r="X25" i="721"/>
  <c r="E25" i="721"/>
  <c r="F25" i="721"/>
  <c r="X571" i="720"/>
  <c r="Y571" i="720"/>
  <c r="X571" i="721"/>
  <c r="E571" i="721"/>
  <c r="F571" i="721"/>
  <c r="F570" i="721"/>
  <c r="X164" i="720"/>
  <c r="X164" i="721"/>
  <c r="X133" i="720"/>
  <c r="X133" i="721"/>
  <c r="X569" i="720"/>
  <c r="E569" i="720"/>
  <c r="F569" i="720"/>
  <c r="Y569" i="720"/>
  <c r="X569" i="721"/>
  <c r="E569" i="721"/>
  <c r="F569" i="721"/>
  <c r="X201" i="720"/>
  <c r="X201" i="721"/>
  <c r="E201" i="721"/>
  <c r="X143" i="720"/>
  <c r="Y143" i="720"/>
  <c r="X143" i="721"/>
  <c r="X488" i="720"/>
  <c r="X488" i="721"/>
  <c r="X46" i="720"/>
  <c r="E46" i="720"/>
  <c r="P46" i="720"/>
  <c r="X46" i="721"/>
  <c r="E46" i="721"/>
  <c r="F46" i="721"/>
  <c r="X464" i="721"/>
  <c r="E464" i="721"/>
  <c r="F464" i="721"/>
  <c r="X576" i="720"/>
  <c r="E576" i="720"/>
  <c r="Y576" i="721"/>
  <c r="X548" i="720"/>
  <c r="X548" i="721"/>
  <c r="X523" i="720"/>
  <c r="X523" i="721"/>
  <c r="X471" i="720"/>
  <c r="Y471" i="720"/>
  <c r="Y470" i="720"/>
  <c r="Y469" i="720"/>
  <c r="X471" i="721"/>
  <c r="X518" i="720"/>
  <c r="X518" i="721"/>
  <c r="X472" i="720"/>
  <c r="Y472" i="720"/>
  <c r="X472" i="721"/>
  <c r="X224" i="720"/>
  <c r="X224" i="721"/>
  <c r="X185" i="720"/>
  <c r="X185" i="721"/>
  <c r="X184" i="720"/>
  <c r="X184" i="721"/>
  <c r="X182" i="720"/>
  <c r="X182" i="721"/>
  <c r="X30" i="720"/>
  <c r="X30" i="721"/>
  <c r="X26" i="720"/>
  <c r="X26" i="721"/>
  <c r="E26" i="721"/>
  <c r="F26" i="721"/>
  <c r="X20" i="720"/>
  <c r="E20" i="720"/>
  <c r="T20" i="720"/>
  <c r="X20" i="721"/>
  <c r="E20" i="721"/>
  <c r="F20" i="721"/>
  <c r="X27" i="720"/>
  <c r="X27" i="721"/>
  <c r="X807" i="720"/>
  <c r="X807" i="721"/>
  <c r="X561" i="720"/>
  <c r="E561" i="720"/>
  <c r="X561" i="721"/>
  <c r="E561" i="721"/>
  <c r="F561" i="721"/>
  <c r="X198" i="720"/>
  <c r="X198" i="721"/>
  <c r="E198" i="721"/>
  <c r="F198" i="721"/>
  <c r="F197" i="721"/>
  <c r="X130" i="720"/>
  <c r="Y130" i="720"/>
  <c r="X130" i="721"/>
  <c r="X125" i="720"/>
  <c r="Y125" i="720"/>
  <c r="Y124" i="720"/>
  <c r="X125" i="721"/>
  <c r="X59" i="720"/>
  <c r="Y59" i="720"/>
  <c r="X59" i="721"/>
  <c r="Y59" i="721"/>
  <c r="X560" i="720"/>
  <c r="E560" i="720"/>
  <c r="X560" i="721"/>
  <c r="E560" i="721"/>
  <c r="F560" i="721"/>
  <c r="F559" i="721"/>
  <c r="X215" i="720"/>
  <c r="X215" i="721"/>
  <c r="X199" i="720"/>
  <c r="Y199" i="720"/>
  <c r="X199" i="721"/>
  <c r="E199" i="721"/>
  <c r="F199" i="721"/>
  <c r="X129" i="720"/>
  <c r="Y129" i="720"/>
  <c r="Y128" i="720"/>
  <c r="X129" i="721"/>
  <c r="X58" i="720"/>
  <c r="Y58" i="720"/>
  <c r="X58" i="721"/>
  <c r="Y58" i="721"/>
  <c r="X649" i="720"/>
  <c r="Y649" i="720"/>
  <c r="Y648" i="720"/>
  <c r="X649" i="721"/>
  <c r="E649" i="721"/>
  <c r="F649" i="721"/>
  <c r="F648" i="721"/>
  <c r="X15" i="720"/>
  <c r="E15" i="720"/>
  <c r="X15" i="721"/>
  <c r="E15" i="721"/>
  <c r="F15" i="721"/>
  <c r="X392" i="720"/>
  <c r="E392" i="720"/>
  <c r="E37" i="438"/>
  <c r="F8" i="553"/>
  <c r="H8" i="553"/>
  <c r="F9" i="337"/>
  <c r="H9" i="337"/>
  <c r="X49" i="721"/>
  <c r="E49" i="721"/>
  <c r="F49" i="721"/>
  <c r="X74" i="721"/>
  <c r="E74" i="721"/>
  <c r="F74" i="721"/>
  <c r="X74" i="720"/>
  <c r="E74" i="720"/>
  <c r="L74" i="720"/>
  <c r="X73" i="720"/>
  <c r="E73" i="720"/>
  <c r="X53" i="720"/>
  <c r="E53" i="720"/>
  <c r="X45" i="720"/>
  <c r="E45" i="720"/>
  <c r="T45" i="720"/>
  <c r="X393" i="721"/>
  <c r="E393" i="721"/>
  <c r="F393" i="721"/>
  <c r="X416" i="721"/>
  <c r="E416" i="721"/>
  <c r="F416" i="721"/>
  <c r="X56" i="720"/>
  <c r="Y56" i="720"/>
  <c r="X163" i="721"/>
  <c r="X163" i="720"/>
  <c r="F9" i="355"/>
  <c r="H9" i="355"/>
  <c r="F9" i="445"/>
  <c r="H9" i="445"/>
  <c r="F9" i="356"/>
  <c r="H9" i="356"/>
  <c r="X466" i="720"/>
  <c r="E466" i="720"/>
  <c r="X456" i="721"/>
  <c r="X416" i="720"/>
  <c r="E416" i="720"/>
  <c r="X450" i="720"/>
  <c r="E450" i="720"/>
  <c r="T450" i="720"/>
  <c r="X450" i="721"/>
  <c r="X451" i="721"/>
  <c r="E451" i="721"/>
  <c r="F451" i="721"/>
  <c r="X55" i="720"/>
  <c r="Y55" i="720"/>
  <c r="X451" i="720"/>
  <c r="E451" i="720"/>
  <c r="R451" i="720"/>
  <c r="X382" i="721"/>
  <c r="E382" i="721"/>
  <c r="F382" i="721"/>
  <c r="X423" i="721"/>
  <c r="E423" i="721"/>
  <c r="F423" i="721"/>
  <c r="X382" i="720"/>
  <c r="E382" i="720"/>
  <c r="J382" i="720"/>
  <c r="X434" i="721"/>
  <c r="X423" i="720"/>
  <c r="E423" i="720"/>
  <c r="X377" i="720"/>
  <c r="E377" i="720"/>
  <c r="X381" i="720"/>
  <c r="E381" i="720"/>
  <c r="P381" i="720"/>
  <c r="X384" i="720"/>
  <c r="E384" i="720"/>
  <c r="L384" i="720"/>
  <c r="X381" i="721"/>
  <c r="E381" i="721"/>
  <c r="F381" i="721"/>
  <c r="X378" i="720"/>
  <c r="E378" i="720"/>
  <c r="X414" i="720"/>
  <c r="E414" i="720"/>
  <c r="X378" i="721"/>
  <c r="E378" i="721"/>
  <c r="F378" i="721"/>
  <c r="X438" i="721"/>
  <c r="E438" i="721"/>
  <c r="F438" i="721"/>
  <c r="X438" i="720"/>
  <c r="X428" i="720"/>
  <c r="E428" i="720"/>
  <c r="X384" i="721"/>
  <c r="E384" i="721"/>
  <c r="F384" i="721"/>
  <c r="X377" i="721"/>
  <c r="X430" i="720"/>
  <c r="E430" i="720"/>
  <c r="X425" i="721"/>
  <c r="E425" i="721"/>
  <c r="F425" i="721"/>
  <c r="X424" i="721"/>
  <c r="E424" i="721"/>
  <c r="F424" i="721"/>
  <c r="N425" i="720"/>
  <c r="X417" i="721"/>
  <c r="E417" i="721"/>
  <c r="F417" i="721"/>
  <c r="X379" i="720"/>
  <c r="E379" i="720"/>
  <c r="X417" i="720"/>
  <c r="E417" i="720"/>
  <c r="X383" i="721"/>
  <c r="E383" i="721"/>
  <c r="F383" i="721"/>
  <c r="X429" i="721"/>
  <c r="E429" i="721"/>
  <c r="F429" i="721"/>
  <c r="X430" i="721"/>
  <c r="E430" i="721"/>
  <c r="F430" i="721"/>
  <c r="X424" i="720"/>
  <c r="E424" i="720"/>
  <c r="L424" i="720"/>
  <c r="X383" i="720"/>
  <c r="E383" i="720"/>
  <c r="R383" i="720"/>
  <c r="X429" i="720"/>
  <c r="E429" i="720"/>
  <c r="X376" i="720"/>
  <c r="X435" i="720"/>
  <c r="E435" i="720"/>
  <c r="P435" i="720"/>
  <c r="X668" i="721"/>
  <c r="E668" i="721"/>
  <c r="F668" i="721"/>
  <c r="F665" i="721"/>
  <c r="N467" i="720"/>
  <c r="X465" i="720"/>
  <c r="E465" i="720"/>
  <c r="P465" i="720"/>
  <c r="X443" i="720"/>
  <c r="E443" i="720"/>
  <c r="R443" i="720"/>
  <c r="X465" i="721"/>
  <c r="E465" i="721"/>
  <c r="F465" i="721"/>
  <c r="X443" i="721"/>
  <c r="E443" i="721"/>
  <c r="F443" i="721"/>
  <c r="T467" i="720"/>
  <c r="X668" i="720"/>
  <c r="J467" i="720"/>
  <c r="X449" i="721"/>
  <c r="E449" i="721"/>
  <c r="F449" i="721"/>
  <c r="X731" i="720"/>
  <c r="Y731" i="720"/>
  <c r="X604" i="720"/>
  <c r="Y604" i="720"/>
  <c r="X582" i="720"/>
  <c r="E582" i="720"/>
  <c r="R582" i="720"/>
  <c r="X547" i="720"/>
  <c r="N560" i="720"/>
  <c r="T15" i="720"/>
  <c r="X605" i="721"/>
  <c r="R49" i="720"/>
  <c r="L561" i="720"/>
  <c r="N561" i="720"/>
  <c r="T576" i="720"/>
  <c r="P25" i="720"/>
  <c r="N25" i="720"/>
  <c r="L25" i="720"/>
  <c r="T25" i="720"/>
  <c r="R25" i="720"/>
  <c r="T322" i="720"/>
  <c r="N322" i="720"/>
  <c r="T393" i="720"/>
  <c r="L393" i="720"/>
  <c r="P393" i="720"/>
  <c r="N393" i="720"/>
  <c r="R586" i="720"/>
  <c r="P586" i="720"/>
  <c r="X605" i="720"/>
  <c r="Y605" i="720"/>
  <c r="T24" i="720"/>
  <c r="R24" i="720"/>
  <c r="P24" i="720"/>
  <c r="L24" i="720"/>
  <c r="R20" i="720"/>
  <c r="P20" i="720"/>
  <c r="N20" i="720"/>
  <c r="X731" i="721"/>
  <c r="E731" i="721"/>
  <c r="F731" i="721"/>
  <c r="E574" i="720"/>
  <c r="F574" i="720"/>
  <c r="X547" i="721"/>
  <c r="X587" i="720"/>
  <c r="Y759" i="721"/>
  <c r="X587" i="721"/>
  <c r="E587" i="721"/>
  <c r="F587" i="721"/>
  <c r="X729" i="721"/>
  <c r="E729" i="721"/>
  <c r="F729" i="721"/>
  <c r="X729" i="720"/>
  <c r="X227" i="721"/>
  <c r="X227" i="720"/>
  <c r="E571" i="720"/>
  <c r="X17" i="721"/>
  <c r="E17" i="721"/>
  <c r="F17" i="721"/>
  <c r="X17" i="720"/>
  <c r="E26" i="720"/>
  <c r="J26" i="720"/>
  <c r="Y20" i="720"/>
  <c r="X589" i="721"/>
  <c r="E589" i="721"/>
  <c r="F589" i="721"/>
  <c r="X589" i="720"/>
  <c r="X584" i="721"/>
  <c r="E584" i="721"/>
  <c r="F584" i="721"/>
  <c r="X584" i="720"/>
  <c r="Y759" i="720"/>
  <c r="Y758" i="720"/>
  <c r="E759" i="720"/>
  <c r="E199" i="720"/>
  <c r="Y576" i="720"/>
  <c r="E649" i="720"/>
  <c r="X352" i="720"/>
  <c r="E352" i="720"/>
  <c r="X352" i="721"/>
  <c r="E352" i="721"/>
  <c r="F352" i="721"/>
  <c r="X337" i="720"/>
  <c r="E337" i="720"/>
  <c r="X337" i="721"/>
  <c r="E337" i="721"/>
  <c r="F337" i="721"/>
  <c r="X254" i="720"/>
  <c r="E254" i="720"/>
  <c r="X254" i="721"/>
  <c r="E254" i="721"/>
  <c r="F254" i="721"/>
  <c r="X711" i="720"/>
  <c r="E711" i="720"/>
  <c r="L711" i="720"/>
  <c r="X711" i="721"/>
  <c r="E711" i="721"/>
  <c r="F711" i="721"/>
  <c r="X331" i="720"/>
  <c r="E331" i="720"/>
  <c r="L331" i="720"/>
  <c r="X331" i="721"/>
  <c r="E331" i="721"/>
  <c r="F331" i="721"/>
  <c r="X285" i="720"/>
  <c r="E285" i="720"/>
  <c r="R285" i="720"/>
  <c r="X285" i="721"/>
  <c r="E285" i="721"/>
  <c r="F285" i="721"/>
  <c r="X275" i="720"/>
  <c r="E275" i="720"/>
  <c r="L275" i="720"/>
  <c r="X275" i="721"/>
  <c r="E275" i="721"/>
  <c r="F275" i="721"/>
  <c r="X338" i="720"/>
  <c r="E338" i="720"/>
  <c r="L338" i="720"/>
  <c r="X338" i="721"/>
  <c r="E338" i="721"/>
  <c r="F338" i="721"/>
  <c r="X324" i="720"/>
  <c r="E324" i="720"/>
  <c r="X324" i="721"/>
  <c r="X284" i="720"/>
  <c r="X284" i="721"/>
  <c r="E284" i="721"/>
  <c r="F284" i="721"/>
  <c r="X274" i="720"/>
  <c r="E274" i="720"/>
  <c r="X274" i="721"/>
  <c r="E274" i="721"/>
  <c r="F274" i="721"/>
  <c r="F273" i="721"/>
  <c r="X770" i="720"/>
  <c r="E770" i="720"/>
  <c r="L770" i="720"/>
  <c r="X770" i="721"/>
  <c r="E770" i="721"/>
  <c r="F770" i="721"/>
  <c r="X333" i="720"/>
  <c r="E333" i="720"/>
  <c r="N333" i="720"/>
  <c r="X333" i="721"/>
  <c r="E333" i="721"/>
  <c r="F333" i="721"/>
  <c r="X318" i="720"/>
  <c r="E318" i="720"/>
  <c r="X318" i="721"/>
  <c r="E318" i="721"/>
  <c r="F318" i="721"/>
  <c r="X287" i="720"/>
  <c r="E287" i="720"/>
  <c r="X287" i="721"/>
  <c r="E287" i="721"/>
  <c r="F287" i="721"/>
  <c r="X264" i="720"/>
  <c r="X264" i="721"/>
  <c r="X91" i="720"/>
  <c r="E91" i="720"/>
  <c r="N91" i="720"/>
  <c r="X91" i="721"/>
  <c r="E91" i="721"/>
  <c r="F91" i="721"/>
  <c r="X353" i="720"/>
  <c r="E353" i="720"/>
  <c r="X353" i="721"/>
  <c r="E353" i="721"/>
  <c r="F353" i="721"/>
  <c r="X336" i="720"/>
  <c r="X336" i="721"/>
  <c r="E336" i="721"/>
  <c r="F336" i="721"/>
  <c r="X321" i="720"/>
  <c r="E321" i="720"/>
  <c r="P321" i="720"/>
  <c r="X321" i="721"/>
  <c r="E321" i="721"/>
  <c r="F321" i="721"/>
  <c r="X281" i="720"/>
  <c r="E281" i="720"/>
  <c r="P281" i="720"/>
  <c r="X281" i="721"/>
  <c r="E281" i="721"/>
  <c r="F281" i="721"/>
  <c r="X253" i="720"/>
  <c r="E253" i="720"/>
  <c r="X253" i="721"/>
  <c r="E253" i="721"/>
  <c r="F253" i="721"/>
  <c r="F252" i="721"/>
  <c r="X696" i="720"/>
  <c r="E696" i="720"/>
  <c r="P696" i="720"/>
  <c r="X696" i="721"/>
  <c r="E696" i="721"/>
  <c r="F696" i="721"/>
  <c r="X700" i="720"/>
  <c r="E700" i="720"/>
  <c r="P700" i="720"/>
  <c r="X700" i="721"/>
  <c r="E700" i="721"/>
  <c r="F700" i="721"/>
  <c r="X698" i="720"/>
  <c r="E698" i="720"/>
  <c r="N698" i="720"/>
  <c r="X698" i="721"/>
  <c r="E698" i="721"/>
  <c r="F698" i="721"/>
  <c r="X251" i="720"/>
  <c r="E251" i="720"/>
  <c r="X251" i="721"/>
  <c r="E251" i="721"/>
  <c r="F251" i="721"/>
  <c r="X701" i="720"/>
  <c r="E701" i="720"/>
  <c r="P701" i="720"/>
  <c r="X701" i="721"/>
  <c r="E701" i="721"/>
  <c r="F701" i="721"/>
  <c r="X250" i="720"/>
  <c r="E250" i="720"/>
  <c r="X250" i="721"/>
  <c r="E250" i="721"/>
  <c r="F250" i="721"/>
  <c r="X21" i="720"/>
  <c r="Y21" i="720"/>
  <c r="X21" i="721"/>
  <c r="E21" i="721"/>
  <c r="F21" i="721"/>
  <c r="F19" i="721"/>
  <c r="X550" i="720"/>
  <c r="E550" i="720"/>
  <c r="X550" i="721"/>
  <c r="E550" i="721"/>
  <c r="F550" i="721"/>
  <c r="X463" i="720"/>
  <c r="E463" i="720"/>
  <c r="X463" i="721"/>
  <c r="E463" i="721"/>
  <c r="F463" i="721"/>
  <c r="X332" i="720"/>
  <c r="E332" i="720"/>
  <c r="L332" i="720"/>
  <c r="X332" i="721"/>
  <c r="E332" i="721"/>
  <c r="F332" i="721"/>
  <c r="X319" i="720"/>
  <c r="E319" i="720"/>
  <c r="X319" i="721"/>
  <c r="E319" i="721"/>
  <c r="F319" i="721"/>
  <c r="X329" i="720"/>
  <c r="X329" i="721"/>
  <c r="E329" i="721"/>
  <c r="F329" i="721"/>
  <c r="F328" i="721"/>
  <c r="X303" i="720"/>
  <c r="E303" i="720"/>
  <c r="L303" i="720"/>
  <c r="X303" i="721"/>
  <c r="E303" i="721"/>
  <c r="F303" i="721"/>
  <c r="X283" i="720"/>
  <c r="E283" i="720"/>
  <c r="X283" i="721"/>
  <c r="E283" i="721"/>
  <c r="F283" i="721"/>
  <c r="X256" i="720"/>
  <c r="E256" i="720"/>
  <c r="P256" i="720"/>
  <c r="X256" i="721"/>
  <c r="E256" i="721"/>
  <c r="F256" i="721"/>
  <c r="X769" i="720"/>
  <c r="E769" i="720"/>
  <c r="X769" i="721"/>
  <c r="E769" i="721"/>
  <c r="F769" i="721"/>
  <c r="F768" i="721"/>
  <c r="X317" i="720"/>
  <c r="E317" i="720"/>
  <c r="N317" i="720"/>
  <c r="X317" i="721"/>
  <c r="E317" i="721"/>
  <c r="F317" i="721"/>
  <c r="F316" i="721"/>
  <c r="X276" i="720"/>
  <c r="E276" i="720"/>
  <c r="L276" i="720"/>
  <c r="X276" i="721"/>
  <c r="E276" i="721"/>
  <c r="F276" i="721"/>
  <c r="X90" i="720"/>
  <c r="E90" i="720"/>
  <c r="P90" i="720"/>
  <c r="X90" i="721"/>
  <c r="E90" i="721"/>
  <c r="F90" i="721"/>
  <c r="X697" i="720"/>
  <c r="E697" i="720"/>
  <c r="X697" i="721"/>
  <c r="E697" i="721"/>
  <c r="F697" i="721"/>
  <c r="X712" i="720"/>
  <c r="E712" i="720"/>
  <c r="P712" i="720"/>
  <c r="X712" i="721"/>
  <c r="E712" i="721"/>
  <c r="F712" i="721"/>
  <c r="X255" i="720"/>
  <c r="E255" i="720"/>
  <c r="X255" i="721"/>
  <c r="E255" i="721"/>
  <c r="F255" i="721"/>
  <c r="X356" i="720"/>
  <c r="E356" i="720"/>
  <c r="N356" i="720"/>
  <c r="N354" i="720"/>
  <c r="X356" i="721"/>
  <c r="E356" i="721"/>
  <c r="F356" i="721"/>
  <c r="R759" i="721"/>
  <c r="Y570" i="720"/>
  <c r="J49" i="720"/>
  <c r="J561" i="720"/>
  <c r="J20" i="720"/>
  <c r="F20" i="720"/>
  <c r="J393" i="720"/>
  <c r="J25" i="720"/>
  <c r="J24" i="720"/>
  <c r="J576" i="720"/>
  <c r="F576" i="720"/>
  <c r="E23" i="438"/>
  <c r="E42" i="438"/>
  <c r="F21" i="197"/>
  <c r="H21" i="197"/>
  <c r="F20" i="197"/>
  <c r="H20" i="197"/>
  <c r="F9" i="484"/>
  <c r="H9" i="484"/>
  <c r="I19" i="484"/>
  <c r="F9" i="473"/>
  <c r="H9" i="473"/>
  <c r="I19" i="473"/>
  <c r="V175" i="721"/>
  <c r="F9" i="648"/>
  <c r="H9" i="648"/>
  <c r="F9" i="579"/>
  <c r="H9" i="579"/>
  <c r="F9" i="237"/>
  <c r="H9" i="237"/>
  <c r="F9" i="485"/>
  <c r="H9" i="485"/>
  <c r="F9" i="585"/>
  <c r="H9" i="585"/>
  <c r="F9" i="605"/>
  <c r="H9" i="605"/>
  <c r="F8" i="273"/>
  <c r="H8" i="273"/>
  <c r="I19" i="273"/>
  <c r="V485" i="720"/>
  <c r="D485" i="720"/>
  <c r="W485" i="720"/>
  <c r="F8" i="425"/>
  <c r="H8" i="425"/>
  <c r="I19" i="425"/>
  <c r="F9" i="381"/>
  <c r="H9" i="381"/>
  <c r="F9" i="334"/>
  <c r="H9" i="334"/>
  <c r="I19" i="334"/>
  <c r="F9" i="329"/>
  <c r="H9" i="329"/>
  <c r="F9" i="507"/>
  <c r="H9" i="507"/>
  <c r="F9" i="395"/>
  <c r="H9" i="395"/>
  <c r="F9" i="508"/>
  <c r="H9" i="508"/>
  <c r="F10" i="337"/>
  <c r="H10" i="337"/>
  <c r="F14" i="494"/>
  <c r="H14" i="494"/>
  <c r="F11" i="626"/>
  <c r="H11" i="626"/>
  <c r="F11" i="625"/>
  <c r="H11" i="625"/>
  <c r="F11" i="497"/>
  <c r="H11" i="497"/>
  <c r="F13" i="504"/>
  <c r="H13" i="504"/>
  <c r="N74" i="720"/>
  <c r="F74" i="720"/>
  <c r="P74" i="720"/>
  <c r="J74" i="720"/>
  <c r="T74" i="720"/>
  <c r="Y74" i="720"/>
  <c r="R74" i="720"/>
  <c r="V30" i="720"/>
  <c r="E30" i="720"/>
  <c r="T30" i="720"/>
  <c r="V30" i="721"/>
  <c r="E30" i="721"/>
  <c r="V164" i="721"/>
  <c r="E164" i="721"/>
  <c r="F164" i="721"/>
  <c r="V164" i="720"/>
  <c r="E164" i="720"/>
  <c r="T164" i="720"/>
  <c r="V133" i="721"/>
  <c r="E133" i="721"/>
  <c r="F133" i="721"/>
  <c r="F132" i="721"/>
  <c r="P53" i="720"/>
  <c r="J53" i="720"/>
  <c r="L45" i="720"/>
  <c r="V143" i="720"/>
  <c r="W143" i="720"/>
  <c r="W142" i="720"/>
  <c r="J45" i="720"/>
  <c r="R45" i="720"/>
  <c r="P45" i="720"/>
  <c r="N45" i="720"/>
  <c r="V28" i="720"/>
  <c r="D28" i="720"/>
  <c r="W28" i="720"/>
  <c r="V28" i="721"/>
  <c r="E28" i="721"/>
  <c r="F28" i="721"/>
  <c r="V163" i="721"/>
  <c r="E163" i="721"/>
  <c r="V163" i="720"/>
  <c r="E163" i="720"/>
  <c r="R163" i="720"/>
  <c r="V27" i="720"/>
  <c r="V27" i="721"/>
  <c r="E27" i="721"/>
  <c r="F27" i="721"/>
  <c r="F9" i="236"/>
  <c r="H9" i="236"/>
  <c r="V29" i="720"/>
  <c r="E29" i="720"/>
  <c r="V29" i="721"/>
  <c r="E29" i="721"/>
  <c r="F29" i="721"/>
  <c r="V130" i="721"/>
  <c r="E130" i="721"/>
  <c r="F130" i="721"/>
  <c r="J451" i="720"/>
  <c r="P451" i="720"/>
  <c r="L451" i="720"/>
  <c r="T451" i="720"/>
  <c r="N451" i="720"/>
  <c r="V784" i="721"/>
  <c r="E784" i="721"/>
  <c r="V784" i="720"/>
  <c r="E784" i="720"/>
  <c r="J784" i="720"/>
  <c r="L784" i="720"/>
  <c r="N377" i="720"/>
  <c r="J384" i="720"/>
  <c r="P384" i="720"/>
  <c r="J383" i="720"/>
  <c r="L381" i="720"/>
  <c r="J381" i="720"/>
  <c r="R381" i="720"/>
  <c r="N384" i="720"/>
  <c r="N381" i="720"/>
  <c r="L383" i="720"/>
  <c r="T384" i="720"/>
  <c r="R384" i="720"/>
  <c r="T381" i="720"/>
  <c r="N428" i="720"/>
  <c r="N449" i="720"/>
  <c r="J434" i="720"/>
  <c r="R425" i="720"/>
  <c r="T435" i="720"/>
  <c r="T383" i="720"/>
  <c r="P425" i="720"/>
  <c r="L435" i="720"/>
  <c r="N383" i="720"/>
  <c r="J425" i="720"/>
  <c r="L425" i="720"/>
  <c r="P383" i="720"/>
  <c r="Y376" i="720"/>
  <c r="J574" i="720"/>
  <c r="R435" i="720"/>
  <c r="N435" i="720"/>
  <c r="P449" i="720"/>
  <c r="J435" i="720"/>
  <c r="J449" i="720"/>
  <c r="E731" i="720"/>
  <c r="L449" i="720"/>
  <c r="Y769" i="720"/>
  <c r="Y768" i="720"/>
  <c r="Y757" i="720"/>
  <c r="X84" i="721"/>
  <c r="E84" i="721"/>
  <c r="F84" i="721"/>
  <c r="X84" i="720"/>
  <c r="E84" i="720"/>
  <c r="T582" i="720"/>
  <c r="T581" i="720"/>
  <c r="P582" i="720"/>
  <c r="J582" i="720"/>
  <c r="L582" i="720"/>
  <c r="L581" i="720"/>
  <c r="N582" i="720"/>
  <c r="N581" i="720"/>
  <c r="V807" i="721"/>
  <c r="E807" i="721"/>
  <c r="F807" i="721"/>
  <c r="F728" i="721"/>
  <c r="D28" i="438"/>
  <c r="F302" i="721"/>
  <c r="F693" i="721"/>
  <c r="F335" i="721"/>
  <c r="F581" i="721"/>
  <c r="T700" i="720"/>
  <c r="R700" i="720"/>
  <c r="L700" i="720"/>
  <c r="N700" i="720"/>
  <c r="N281" i="720"/>
  <c r="L281" i="720"/>
  <c r="T275" i="720"/>
  <c r="N275" i="720"/>
  <c r="R275" i="720"/>
  <c r="P275" i="720"/>
  <c r="T331" i="720"/>
  <c r="R331" i="720"/>
  <c r="P331" i="720"/>
  <c r="P285" i="720"/>
  <c r="N285" i="720"/>
  <c r="L285" i="720"/>
  <c r="T285" i="720"/>
  <c r="T770" i="720"/>
  <c r="R770" i="720"/>
  <c r="N770" i="720"/>
  <c r="P770" i="720"/>
  <c r="P303" i="720"/>
  <c r="P302" i="720"/>
  <c r="R303" i="720"/>
  <c r="R302" i="720"/>
  <c r="P255" i="720"/>
  <c r="N255" i="720"/>
  <c r="T90" i="720"/>
  <c r="N90" i="720"/>
  <c r="N89" i="720"/>
  <c r="L90" i="720"/>
  <c r="R90" i="720"/>
  <c r="R89" i="720"/>
  <c r="P759" i="720"/>
  <c r="P758" i="720"/>
  <c r="N759" i="720"/>
  <c r="N758" i="720"/>
  <c r="L759" i="720"/>
  <c r="L758" i="720"/>
  <c r="T759" i="720"/>
  <c r="T758" i="720"/>
  <c r="R759" i="720"/>
  <c r="R758" i="720"/>
  <c r="R769" i="720"/>
  <c r="R768" i="720"/>
  <c r="R757" i="720"/>
  <c r="Y770" i="720"/>
  <c r="N352" i="720"/>
  <c r="L352" i="720"/>
  <c r="T352" i="720"/>
  <c r="P352" i="720"/>
  <c r="R352" i="720"/>
  <c r="T571" i="720"/>
  <c r="T570" i="720"/>
  <c r="R571" i="720"/>
  <c r="R570" i="720"/>
  <c r="P571" i="720"/>
  <c r="P570" i="720"/>
  <c r="N571" i="720"/>
  <c r="N570" i="720"/>
  <c r="L571" i="720"/>
  <c r="L570" i="720"/>
  <c r="N424" i="720"/>
  <c r="T424" i="720"/>
  <c r="N465" i="720"/>
  <c r="L465" i="720"/>
  <c r="P356" i="720"/>
  <c r="P354" i="720"/>
  <c r="R356" i="720"/>
  <c r="R354" i="720"/>
  <c r="T712" i="720"/>
  <c r="N712" i="720"/>
  <c r="P276" i="720"/>
  <c r="N276" i="720"/>
  <c r="R276" i="720"/>
  <c r="T276" i="720"/>
  <c r="L317" i="720"/>
  <c r="L316" i="720"/>
  <c r="P317" i="720"/>
  <c r="T317" i="720"/>
  <c r="R317" i="720"/>
  <c r="R316" i="720"/>
  <c r="R283" i="720"/>
  <c r="R282" i="720"/>
  <c r="R332" i="720"/>
  <c r="P332" i="720"/>
  <c r="N332" i="720"/>
  <c r="T332" i="720"/>
  <c r="R199" i="720"/>
  <c r="N199" i="720"/>
  <c r="T199" i="720"/>
  <c r="P199" i="720"/>
  <c r="L199" i="720"/>
  <c r="J569" i="720"/>
  <c r="P450" i="720"/>
  <c r="R450" i="720"/>
  <c r="T256" i="720"/>
  <c r="AE256" i="720"/>
  <c r="R256" i="720"/>
  <c r="L392" i="720"/>
  <c r="T392" i="720"/>
  <c r="T417" i="720"/>
  <c r="R417" i="720"/>
  <c r="P417" i="720"/>
  <c r="N417" i="720"/>
  <c r="L417" i="720"/>
  <c r="T443" i="720"/>
  <c r="P443" i="720"/>
  <c r="N443" i="720"/>
  <c r="L443" i="720"/>
  <c r="P250" i="720"/>
  <c r="N250" i="720"/>
  <c r="T698" i="720"/>
  <c r="R698" i="720"/>
  <c r="P698" i="720"/>
  <c r="L698" i="720"/>
  <c r="L696" i="720"/>
  <c r="T696" i="720"/>
  <c r="T693" i="720"/>
  <c r="N696" i="720"/>
  <c r="N693" i="720"/>
  <c r="R696" i="720"/>
  <c r="P91" i="720"/>
  <c r="L91" i="720"/>
  <c r="T91" i="720"/>
  <c r="R91" i="720"/>
  <c r="R287" i="720"/>
  <c r="P287" i="720"/>
  <c r="T333" i="720"/>
  <c r="R333" i="720"/>
  <c r="L333" i="720"/>
  <c r="P333" i="720"/>
  <c r="P338" i="720"/>
  <c r="N338" i="720"/>
  <c r="R338" i="720"/>
  <c r="T338" i="720"/>
  <c r="AE338" i="720"/>
  <c r="R711" i="720"/>
  <c r="P711" i="720"/>
  <c r="L254" i="720"/>
  <c r="F649" i="720"/>
  <c r="F648" i="720"/>
  <c r="L649" i="720"/>
  <c r="L648" i="720"/>
  <c r="R649" i="720"/>
  <c r="R648" i="720"/>
  <c r="T649" i="720"/>
  <c r="T648" i="720"/>
  <c r="P649" i="720"/>
  <c r="P648" i="720"/>
  <c r="N649" i="720"/>
  <c r="N648" i="720"/>
  <c r="N647" i="720"/>
  <c r="V488" i="720"/>
  <c r="E488" i="720"/>
  <c r="J488" i="720"/>
  <c r="T26" i="720"/>
  <c r="R26" i="720"/>
  <c r="P26" i="720"/>
  <c r="N26" i="720"/>
  <c r="L26" i="720"/>
  <c r="N559" i="720"/>
  <c r="T274" i="720"/>
  <c r="T273" i="720"/>
  <c r="L274" i="720"/>
  <c r="L273" i="720"/>
  <c r="L423" i="720"/>
  <c r="T423" i="720"/>
  <c r="R423" i="720"/>
  <c r="P423" i="720"/>
  <c r="R416" i="720"/>
  <c r="P416" i="720"/>
  <c r="N416" i="720"/>
  <c r="L416" i="720"/>
  <c r="T416" i="720"/>
  <c r="N769" i="720"/>
  <c r="L769" i="720"/>
  <c r="L768" i="720"/>
  <c r="T769" i="720"/>
  <c r="T768" i="720"/>
  <c r="AE768" i="720"/>
  <c r="P769" i="720"/>
  <c r="T701" i="720"/>
  <c r="N701" i="720"/>
  <c r="T321" i="720"/>
  <c r="R321" i="720"/>
  <c r="L321" i="720"/>
  <c r="T414" i="720"/>
  <c r="R414" i="720"/>
  <c r="P414" i="720"/>
  <c r="N414" i="720"/>
  <c r="L414" i="720"/>
  <c r="N378" i="720"/>
  <c r="L378" i="720"/>
  <c r="T378" i="720"/>
  <c r="R378" i="720"/>
  <c r="P378" i="720"/>
  <c r="T574" i="720"/>
  <c r="R574" i="720"/>
  <c r="P574" i="720"/>
  <c r="L574" i="720"/>
  <c r="N574" i="720"/>
  <c r="F571" i="720"/>
  <c r="F570" i="720"/>
  <c r="T430" i="720"/>
  <c r="R430" i="720"/>
  <c r="P430" i="720"/>
  <c r="N430" i="720"/>
  <c r="L430" i="720"/>
  <c r="R697" i="720"/>
  <c r="P697" i="720"/>
  <c r="T697" i="720"/>
  <c r="N550" i="720"/>
  <c r="L550" i="720"/>
  <c r="R550" i="720"/>
  <c r="P550" i="720"/>
  <c r="T550" i="720"/>
  <c r="T569" i="720"/>
  <c r="L569" i="720"/>
  <c r="R569" i="720"/>
  <c r="P569" i="720"/>
  <c r="N569" i="720"/>
  <c r="T379" i="720"/>
  <c r="R379" i="720"/>
  <c r="P379" i="720"/>
  <c r="N379" i="720"/>
  <c r="L379" i="720"/>
  <c r="T319" i="720"/>
  <c r="R319" i="720"/>
  <c r="L319" i="720"/>
  <c r="R456" i="720"/>
  <c r="P456" i="720"/>
  <c r="N456" i="720"/>
  <c r="L456" i="720"/>
  <c r="T456" i="720"/>
  <c r="L463" i="720"/>
  <c r="N463" i="720"/>
  <c r="T463" i="720"/>
  <c r="R463" i="720"/>
  <c r="P463" i="720"/>
  <c r="T251" i="720"/>
  <c r="R251" i="720"/>
  <c r="L251" i="720"/>
  <c r="L253" i="720"/>
  <c r="N253" i="720"/>
  <c r="T253" i="720"/>
  <c r="R253" i="720"/>
  <c r="P253" i="720"/>
  <c r="P252" i="720"/>
  <c r="P353" i="720"/>
  <c r="N353" i="720"/>
  <c r="R318" i="720"/>
  <c r="P318" i="720"/>
  <c r="N318" i="720"/>
  <c r="L318" i="720"/>
  <c r="T318" i="720"/>
  <c r="T324" i="720"/>
  <c r="R324" i="720"/>
  <c r="P324" i="720"/>
  <c r="N324" i="720"/>
  <c r="L324" i="720"/>
  <c r="T337" i="720"/>
  <c r="AE337" i="720"/>
  <c r="L337" i="720"/>
  <c r="R337" i="720"/>
  <c r="P337" i="720"/>
  <c r="N337" i="720"/>
  <c r="P429" i="720"/>
  <c r="N429" i="720"/>
  <c r="L429" i="720"/>
  <c r="R429" i="720"/>
  <c r="T429" i="720"/>
  <c r="N466" i="720"/>
  <c r="L466" i="720"/>
  <c r="P466" i="720"/>
  <c r="R466" i="720"/>
  <c r="T466" i="720"/>
  <c r="T382" i="720"/>
  <c r="R382" i="720"/>
  <c r="P382" i="720"/>
  <c r="N382" i="720"/>
  <c r="L382" i="720"/>
  <c r="J571" i="720"/>
  <c r="J570" i="720"/>
  <c r="E729" i="720"/>
  <c r="Y729" i="720"/>
  <c r="Y728" i="720"/>
  <c r="J199" i="720"/>
  <c r="V488" i="721"/>
  <c r="E488" i="721"/>
  <c r="F488" i="721"/>
  <c r="D25" i="438"/>
  <c r="E587" i="720"/>
  <c r="R587" i="720"/>
  <c r="Y338" i="720"/>
  <c r="J466" i="720"/>
  <c r="Y19" i="720"/>
  <c r="E584" i="720"/>
  <c r="R584" i="720"/>
  <c r="E589" i="720"/>
  <c r="J416" i="720"/>
  <c r="E17" i="720"/>
  <c r="R17" i="720"/>
  <c r="J649" i="720"/>
  <c r="J648" i="720"/>
  <c r="F199" i="720"/>
  <c r="Y253" i="720"/>
  <c r="Y252" i="720"/>
  <c r="E21" i="720"/>
  <c r="R21" i="720"/>
  <c r="J19" i="720"/>
  <c r="Y256" i="720"/>
  <c r="E284" i="720"/>
  <c r="J759" i="720"/>
  <c r="J758" i="720"/>
  <c r="F759" i="720"/>
  <c r="F758" i="720"/>
  <c r="F769" i="720"/>
  <c r="F768" i="720"/>
  <c r="G757" i="720"/>
  <c r="Y356" i="720"/>
  <c r="Y354" i="720"/>
  <c r="E329" i="720"/>
  <c r="J429" i="720"/>
  <c r="AE20" i="720"/>
  <c r="Y255" i="720"/>
  <c r="Y337" i="720"/>
  <c r="V503" i="720"/>
  <c r="W503" i="720"/>
  <c r="W502" i="720"/>
  <c r="E503" i="720"/>
  <c r="V503" i="721"/>
  <c r="E503" i="721"/>
  <c r="T503" i="721"/>
  <c r="F503" i="721"/>
  <c r="V518" i="721"/>
  <c r="E518" i="721"/>
  <c r="F518" i="721"/>
  <c r="F517" i="721"/>
  <c r="V516" i="721"/>
  <c r="V476" i="720"/>
  <c r="V476" i="721"/>
  <c r="E476" i="721"/>
  <c r="V472" i="720"/>
  <c r="W472" i="720"/>
  <c r="E472" i="720"/>
  <c r="V472" i="721"/>
  <c r="E472" i="721"/>
  <c r="F472" i="721"/>
  <c r="V125" i="720"/>
  <c r="E125" i="720"/>
  <c r="V125" i="721"/>
  <c r="E125" i="721"/>
  <c r="N125" i="721"/>
  <c r="N124" i="721"/>
  <c r="F125" i="721"/>
  <c r="F124" i="721"/>
  <c r="V58" i="720"/>
  <c r="W58" i="720"/>
  <c r="V58" i="721"/>
  <c r="E58" i="721"/>
  <c r="F58" i="721"/>
  <c r="V59" i="720"/>
  <c r="E59" i="720"/>
  <c r="R59" i="720"/>
  <c r="V59" i="721"/>
  <c r="W59" i="721"/>
  <c r="V783" i="720"/>
  <c r="E783" i="720"/>
  <c r="V783" i="721"/>
  <c r="E783" i="721"/>
  <c r="F783" i="721"/>
  <c r="F782" i="721"/>
  <c r="V182" i="720"/>
  <c r="E182" i="720"/>
  <c r="V182" i="721"/>
  <c r="E182" i="721"/>
  <c r="F182" i="721"/>
  <c r="F181" i="721"/>
  <c r="V184" i="720"/>
  <c r="E184" i="720"/>
  <c r="V184" i="721"/>
  <c r="E184" i="721"/>
  <c r="F184" i="721"/>
  <c r="T20" i="721"/>
  <c r="P20" i="721"/>
  <c r="L20" i="721"/>
  <c r="R20" i="721"/>
  <c r="N20" i="721"/>
  <c r="J20" i="721"/>
  <c r="R198" i="721"/>
  <c r="N198" i="721"/>
  <c r="J198" i="721"/>
  <c r="T198" i="721"/>
  <c r="P198" i="721"/>
  <c r="L198" i="721"/>
  <c r="T649" i="721"/>
  <c r="P649" i="721"/>
  <c r="J649" i="721"/>
  <c r="R649" i="721"/>
  <c r="N649" i="721"/>
  <c r="L649" i="721"/>
  <c r="V604" i="720"/>
  <c r="W604" i="720"/>
  <c r="E604" i="720"/>
  <c r="V605" i="720"/>
  <c r="V605" i="721"/>
  <c r="E605" i="721"/>
  <c r="F605" i="721"/>
  <c r="V547" i="720"/>
  <c r="V547" i="721"/>
  <c r="E547" i="721"/>
  <c r="F547" i="721"/>
  <c r="F546" i="721"/>
  <c r="V548" i="720"/>
  <c r="V548" i="721"/>
  <c r="E548" i="721"/>
  <c r="F548" i="721"/>
  <c r="V540" i="720"/>
  <c r="E540" i="720"/>
  <c r="V540" i="721"/>
  <c r="E540" i="721"/>
  <c r="V523" i="720"/>
  <c r="D523" i="720"/>
  <c r="W523" i="720"/>
  <c r="E523" i="720"/>
  <c r="V523" i="721"/>
  <c r="E523" i="721"/>
  <c r="F523" i="721"/>
  <c r="V55" i="720"/>
  <c r="E55" i="720"/>
  <c r="V55" i="721"/>
  <c r="E55" i="721"/>
  <c r="F55" i="721"/>
  <c r="F54" i="721"/>
  <c r="V473" i="720"/>
  <c r="E473" i="720"/>
  <c r="N473" i="720"/>
  <c r="V473" i="721"/>
  <c r="E473" i="721"/>
  <c r="F473" i="721"/>
  <c r="V56" i="720"/>
  <c r="W56" i="720"/>
  <c r="V56" i="721"/>
  <c r="V215" i="720"/>
  <c r="V215" i="721"/>
  <c r="E215" i="721"/>
  <c r="F215" i="721"/>
  <c r="V224" i="720"/>
  <c r="E224" i="720"/>
  <c r="V224" i="721"/>
  <c r="E224" i="721"/>
  <c r="F224" i="721"/>
  <c r="V471" i="720"/>
  <c r="W471" i="720"/>
  <c r="W470" i="720"/>
  <c r="V471" i="721"/>
  <c r="E471" i="721"/>
  <c r="V183" i="720"/>
  <c r="V183" i="721"/>
  <c r="E183" i="721"/>
  <c r="F183" i="721"/>
  <c r="N571" i="721"/>
  <c r="N570" i="721"/>
  <c r="T571" i="721"/>
  <c r="T570" i="721"/>
  <c r="L571" i="721"/>
  <c r="L570" i="721"/>
  <c r="AE576" i="720"/>
  <c r="V518" i="720"/>
  <c r="D518" i="720"/>
  <c r="W518" i="720"/>
  <c r="W517" i="720"/>
  <c r="V516" i="720"/>
  <c r="J417" i="720"/>
  <c r="J456" i="720"/>
  <c r="J392" i="720"/>
  <c r="J465" i="720"/>
  <c r="J463" i="720"/>
  <c r="J550" i="720"/>
  <c r="J701" i="720"/>
  <c r="J251" i="720"/>
  <c r="J698" i="720"/>
  <c r="J700" i="720"/>
  <c r="J696" i="720"/>
  <c r="J253" i="720"/>
  <c r="F253" i="720"/>
  <c r="J321" i="720"/>
  <c r="J353" i="720"/>
  <c r="J91" i="720"/>
  <c r="J318" i="720"/>
  <c r="J333" i="720"/>
  <c r="J770" i="720"/>
  <c r="F770" i="720"/>
  <c r="J324" i="720"/>
  <c r="J338" i="720"/>
  <c r="F338" i="720"/>
  <c r="F254" i="720"/>
  <c r="J337" i="720"/>
  <c r="F337" i="720"/>
  <c r="J352" i="720"/>
  <c r="J430" i="720"/>
  <c r="J414" i="720"/>
  <c r="J424" i="720"/>
  <c r="J443" i="720"/>
  <c r="J379" i="720"/>
  <c r="J450" i="720"/>
  <c r="J378" i="720"/>
  <c r="F356" i="720"/>
  <c r="F354" i="720"/>
  <c r="F255" i="720"/>
  <c r="J712" i="720"/>
  <c r="J90" i="720"/>
  <c r="J317" i="720"/>
  <c r="J769" i="720"/>
  <c r="J768" i="720"/>
  <c r="F256" i="720"/>
  <c r="J283" i="720"/>
  <c r="J332" i="720"/>
  <c r="J285" i="720"/>
  <c r="J331" i="720"/>
  <c r="E43" i="438"/>
  <c r="E44" i="438"/>
  <c r="F19" i="197"/>
  <c r="H19" i="197"/>
  <c r="AE74" i="720"/>
  <c r="N30" i="720"/>
  <c r="L30" i="720"/>
  <c r="J30" i="720"/>
  <c r="R30" i="720"/>
  <c r="J164" i="720"/>
  <c r="R164" i="720"/>
  <c r="P164" i="720"/>
  <c r="N164" i="720"/>
  <c r="L164" i="720"/>
  <c r="V133" i="720"/>
  <c r="E133" i="720"/>
  <c r="V143" i="721"/>
  <c r="E143" i="721"/>
  <c r="T143" i="721"/>
  <c r="F143" i="721"/>
  <c r="F142" i="721"/>
  <c r="V129" i="721"/>
  <c r="E129" i="721"/>
  <c r="T129" i="721"/>
  <c r="T128" i="721"/>
  <c r="V129" i="720"/>
  <c r="Y142" i="720"/>
  <c r="V130" i="720"/>
  <c r="E130" i="720"/>
  <c r="J130" i="720"/>
  <c r="T163" i="720"/>
  <c r="L163" i="720"/>
  <c r="P163" i="720"/>
  <c r="J163" i="720"/>
  <c r="N163" i="720"/>
  <c r="R29" i="720"/>
  <c r="P29" i="720"/>
  <c r="N29" i="720"/>
  <c r="J29" i="720"/>
  <c r="T29" i="720"/>
  <c r="L29" i="720"/>
  <c r="F23" i="721"/>
  <c r="F89" i="721"/>
  <c r="J282" i="720"/>
  <c r="R784" i="720"/>
  <c r="T784" i="720"/>
  <c r="P784" i="720"/>
  <c r="N784" i="720"/>
  <c r="V807" i="720"/>
  <c r="E807" i="720"/>
  <c r="R807" i="720"/>
  <c r="T807" i="720"/>
  <c r="F282" i="721"/>
  <c r="L731" i="720"/>
  <c r="L89" i="720"/>
  <c r="P731" i="720"/>
  <c r="T731" i="720"/>
  <c r="R84" i="720"/>
  <c r="L84" i="720"/>
  <c r="D37" i="438"/>
  <c r="G37" i="438"/>
  <c r="H37" i="438"/>
  <c r="D27" i="438"/>
  <c r="G27" i="438"/>
  <c r="H27" i="438"/>
  <c r="R252" i="720"/>
  <c r="N768" i="720"/>
  <c r="W540" i="720"/>
  <c r="F502" i="721"/>
  <c r="AE570" i="720"/>
  <c r="AE569" i="720"/>
  <c r="P768" i="720"/>
  <c r="AE574" i="720"/>
  <c r="P693" i="720"/>
  <c r="P329" i="720"/>
  <c r="N329" i="720"/>
  <c r="N328" i="720"/>
  <c r="T329" i="720"/>
  <c r="T328" i="720"/>
  <c r="L302" i="720"/>
  <c r="R693" i="720"/>
  <c r="P21" i="720"/>
  <c r="P19" i="720"/>
  <c r="N19" i="720"/>
  <c r="L21" i="720"/>
  <c r="T19" i="720"/>
  <c r="AE19" i="720"/>
  <c r="R19" i="720"/>
  <c r="L284" i="720"/>
  <c r="R473" i="720"/>
  <c r="L473" i="720"/>
  <c r="P473" i="720"/>
  <c r="T473" i="720"/>
  <c r="AE473" i="720"/>
  <c r="L59" i="720"/>
  <c r="P59" i="720"/>
  <c r="N59" i="720"/>
  <c r="T59" i="720"/>
  <c r="L729" i="720"/>
  <c r="L728" i="720"/>
  <c r="N729" i="720"/>
  <c r="P488" i="720"/>
  <c r="N488" i="720"/>
  <c r="L488" i="720"/>
  <c r="R488" i="720"/>
  <c r="T488" i="720"/>
  <c r="N540" i="720"/>
  <c r="L540" i="720"/>
  <c r="L537" i="720"/>
  <c r="T540" i="720"/>
  <c r="P540" i="720"/>
  <c r="R540" i="720"/>
  <c r="R537" i="720"/>
  <c r="T472" i="720"/>
  <c r="N472" i="720"/>
  <c r="L472" i="720"/>
  <c r="R503" i="720"/>
  <c r="J316" i="720"/>
  <c r="N316" i="720"/>
  <c r="P316" i="720"/>
  <c r="T316" i="720"/>
  <c r="N17" i="720"/>
  <c r="L17" i="720"/>
  <c r="T17" i="720"/>
  <c r="P17" i="720"/>
  <c r="P589" i="720"/>
  <c r="T589" i="720"/>
  <c r="R589" i="720"/>
  <c r="AE571" i="720"/>
  <c r="L252" i="720"/>
  <c r="P584" i="720"/>
  <c r="N584" i="720"/>
  <c r="N252" i="720"/>
  <c r="L693" i="720"/>
  <c r="R783" i="720"/>
  <c r="R782" i="720"/>
  <c r="P783" i="720"/>
  <c r="P782" i="720"/>
  <c r="R604" i="720"/>
  <c r="T252" i="720"/>
  <c r="AE252" i="720"/>
  <c r="D40" i="438"/>
  <c r="G40" i="438"/>
  <c r="H40" i="438"/>
  <c r="J587" i="720"/>
  <c r="W59" i="720"/>
  <c r="J729" i="721"/>
  <c r="L729" i="721"/>
  <c r="R729" i="721"/>
  <c r="N729" i="721"/>
  <c r="P729" i="721"/>
  <c r="T729" i="721"/>
  <c r="J17" i="720"/>
  <c r="J584" i="720"/>
  <c r="AE199" i="720"/>
  <c r="F19" i="720"/>
  <c r="AE759" i="720"/>
  <c r="E58" i="720"/>
  <c r="E547" i="720"/>
  <c r="N547" i="720"/>
  <c r="N546" i="720"/>
  <c r="E56" i="720"/>
  <c r="E183" i="720"/>
  <c r="L183" i="720"/>
  <c r="W473" i="720"/>
  <c r="AE253" i="720"/>
  <c r="E215" i="720"/>
  <c r="N215" i="720"/>
  <c r="AE770" i="720"/>
  <c r="AE649" i="720"/>
  <c r="AE648" i="720"/>
  <c r="E471" i="720"/>
  <c r="E548" i="720"/>
  <c r="W58" i="721"/>
  <c r="V185" i="720"/>
  <c r="E185" i="720"/>
  <c r="N185" i="720"/>
  <c r="V185" i="721"/>
  <c r="E185" i="721"/>
  <c r="V549" i="720"/>
  <c r="E549" i="720"/>
  <c r="V549" i="721"/>
  <c r="E549" i="721"/>
  <c r="F549" i="721"/>
  <c r="V227" i="720"/>
  <c r="E227" i="720"/>
  <c r="V227" i="721"/>
  <c r="E227" i="721"/>
  <c r="F227" i="721"/>
  <c r="R336" i="721"/>
  <c r="N336" i="721"/>
  <c r="J336" i="721"/>
  <c r="T336" i="721"/>
  <c r="L336" i="721"/>
  <c r="P336" i="721"/>
  <c r="R253" i="721"/>
  <c r="N253" i="721"/>
  <c r="J253" i="721"/>
  <c r="P253" i="721"/>
  <c r="L253" i="721"/>
  <c r="G375" i="721"/>
  <c r="AA376" i="721"/>
  <c r="AA375" i="721"/>
  <c r="Z375" i="721"/>
  <c r="P769" i="721"/>
  <c r="L769" i="721"/>
  <c r="J769" i="721"/>
  <c r="J783" i="720"/>
  <c r="J782" i="720"/>
  <c r="J252" i="720"/>
  <c r="J693" i="720"/>
  <c r="J473" i="720"/>
  <c r="F473" i="720"/>
  <c r="J55" i="720"/>
  <c r="J54" i="720"/>
  <c r="J540" i="720"/>
  <c r="J537" i="720"/>
  <c r="F540" i="720"/>
  <c r="F537" i="720"/>
  <c r="J59" i="720"/>
  <c r="F59" i="720"/>
  <c r="F472" i="720"/>
  <c r="W516" i="720"/>
  <c r="W515" i="720"/>
  <c r="F252" i="720"/>
  <c r="AE769" i="720"/>
  <c r="E45" i="438"/>
  <c r="D29" i="438"/>
  <c r="D24" i="438"/>
  <c r="D36" i="438"/>
  <c r="T130" i="720"/>
  <c r="AE130" i="720"/>
  <c r="N130" i="720"/>
  <c r="P23" i="720"/>
  <c r="T23" i="720"/>
  <c r="L23" i="720"/>
  <c r="N23" i="720"/>
  <c r="R23" i="720"/>
  <c r="J23" i="720"/>
  <c r="J807" i="720"/>
  <c r="N807" i="720"/>
  <c r="L807" i="720"/>
  <c r="P807" i="720"/>
  <c r="T89" i="720"/>
  <c r="J89" i="720"/>
  <c r="AE731" i="720"/>
  <c r="P89" i="720"/>
  <c r="N728" i="720"/>
  <c r="D22" i="438"/>
  <c r="D34" i="438"/>
  <c r="G34" i="438"/>
  <c r="H34" i="438"/>
  <c r="D20" i="438"/>
  <c r="P581" i="720"/>
  <c r="R581" i="720"/>
  <c r="T185" i="720"/>
  <c r="R185" i="720"/>
  <c r="L185" i="720"/>
  <c r="P185" i="720"/>
  <c r="R502" i="720"/>
  <c r="R184" i="720"/>
  <c r="P184" i="720"/>
  <c r="L184" i="720"/>
  <c r="L58" i="720"/>
  <c r="L547" i="720"/>
  <c r="L546" i="720"/>
  <c r="P547" i="720"/>
  <c r="P546" i="720"/>
  <c r="T547" i="720"/>
  <c r="D30" i="438"/>
  <c r="P471" i="720"/>
  <c r="P470" i="720"/>
  <c r="N56" i="720"/>
  <c r="L56" i="720"/>
  <c r="T548" i="720"/>
  <c r="R548" i="720"/>
  <c r="P548" i="720"/>
  <c r="N548" i="720"/>
  <c r="L548" i="720"/>
  <c r="J183" i="720"/>
  <c r="N183" i="720"/>
  <c r="T183" i="720"/>
  <c r="R183" i="720"/>
  <c r="P183" i="720"/>
  <c r="P328" i="720"/>
  <c r="P215" i="720"/>
  <c r="J581" i="720"/>
  <c r="J471" i="720"/>
  <c r="J470" i="720"/>
  <c r="J547" i="720"/>
  <c r="J546" i="720"/>
  <c r="J548" i="720"/>
  <c r="F58" i="720"/>
  <c r="L471" i="721"/>
  <c r="L470" i="721"/>
  <c r="R503" i="721"/>
  <c r="N503" i="721"/>
  <c r="J503" i="721"/>
  <c r="J502" i="721"/>
  <c r="P503" i="721"/>
  <c r="L503" i="721"/>
  <c r="R143" i="721"/>
  <c r="N143" i="721"/>
  <c r="N142" i="721"/>
  <c r="J143" i="721"/>
  <c r="P143" i="721"/>
  <c r="L143" i="721"/>
  <c r="L142" i="721"/>
  <c r="R129" i="721"/>
  <c r="P476" i="721"/>
  <c r="P475" i="721"/>
  <c r="R125" i="721"/>
  <c r="T125" i="721"/>
  <c r="P125" i="721"/>
  <c r="L125" i="721"/>
  <c r="AE472" i="720"/>
  <c r="AE59" i="720"/>
  <c r="J185" i="720"/>
  <c r="X757" i="720"/>
  <c r="AE540" i="720"/>
  <c r="D35" i="438"/>
  <c r="D39" i="438"/>
  <c r="D23" i="438"/>
  <c r="D21" i="438"/>
  <c r="D33" i="438"/>
  <c r="G33" i="438"/>
  <c r="H33" i="438"/>
  <c r="C20" i="438"/>
  <c r="V264" i="721"/>
  <c r="E264" i="721"/>
  <c r="F264" i="721"/>
  <c r="T546" i="720"/>
  <c r="R227" i="720"/>
  <c r="P227" i="720"/>
  <c r="D31" i="438"/>
  <c r="V264" i="720"/>
  <c r="D38" i="438"/>
  <c r="G38" i="438"/>
  <c r="H38" i="438"/>
  <c r="D26" i="438"/>
  <c r="C28" i="438"/>
  <c r="G28" i="438"/>
  <c r="H28" i="438"/>
  <c r="C26" i="438"/>
  <c r="G26" i="438"/>
  <c r="H26" i="438"/>
  <c r="D42" i="438"/>
  <c r="D43" i="438"/>
  <c r="C39" i="438"/>
  <c r="G39" i="438"/>
  <c r="H39" i="438"/>
  <c r="E264" i="720"/>
  <c r="P264" i="720"/>
  <c r="C24" i="438"/>
  <c r="G24" i="438"/>
  <c r="H24" i="438"/>
  <c r="C21" i="438"/>
  <c r="G21" i="438"/>
  <c r="C31" i="438"/>
  <c r="G31" i="438"/>
  <c r="H31" i="438"/>
  <c r="C29" i="438"/>
  <c r="G29" i="438"/>
  <c r="H29" i="438"/>
  <c r="C35" i="438"/>
  <c r="G35" i="438"/>
  <c r="H35" i="438"/>
  <c r="C36" i="438"/>
  <c r="G36" i="438"/>
  <c r="H36" i="438"/>
  <c r="C25" i="438"/>
  <c r="G25" i="438"/>
  <c r="H25" i="438"/>
  <c r="T264" i="720"/>
  <c r="R264" i="720"/>
  <c r="L264" i="720"/>
  <c r="N264" i="720"/>
  <c r="J264" i="720"/>
  <c r="C23" i="438"/>
  <c r="G23" i="438"/>
  <c r="H23" i="438"/>
  <c r="C30" i="438"/>
  <c r="G30" i="438"/>
  <c r="H30" i="438"/>
  <c r="H21" i="438"/>
  <c r="C22" i="438"/>
  <c r="G22" i="438"/>
  <c r="H22" i="438"/>
  <c r="D586" i="720"/>
  <c r="D420" i="720"/>
  <c r="D139" i="720"/>
  <c r="D589" i="720"/>
  <c r="F589" i="720"/>
  <c r="Y589" i="720"/>
  <c r="D452" i="720"/>
  <c r="Y28" i="720"/>
  <c r="AA28" i="720"/>
  <c r="D297" i="720"/>
  <c r="D792" i="720"/>
  <c r="AC792" i="720"/>
  <c r="W792" i="720"/>
  <c r="D451" i="720"/>
  <c r="D675" i="720"/>
  <c r="AA675" i="720"/>
  <c r="Y675" i="720"/>
  <c r="D422" i="720"/>
  <c r="D315" i="720"/>
  <c r="D177" i="720"/>
  <c r="W177" i="720"/>
  <c r="Y177" i="720"/>
  <c r="D793" i="720"/>
  <c r="W793" i="720"/>
  <c r="D301" i="720"/>
  <c r="AA301" i="720"/>
  <c r="D428" i="720"/>
  <c r="D404" i="720"/>
  <c r="D390" i="720"/>
  <c r="D215" i="720"/>
  <c r="AA215" i="720"/>
  <c r="D794" i="720"/>
  <c r="AA794" i="720"/>
  <c r="W794" i="720"/>
  <c r="D427" i="720"/>
  <c r="D464" i="720"/>
  <c r="W464" i="720"/>
  <c r="D804" i="720"/>
  <c r="AC804" i="720"/>
  <c r="D290" i="720"/>
  <c r="D271" i="720"/>
  <c r="F271" i="720"/>
  <c r="AA271" i="720"/>
  <c r="D798" i="720"/>
  <c r="D288" i="720"/>
  <c r="D163" i="720"/>
  <c r="AA163" i="720"/>
  <c r="D213" i="720"/>
  <c r="W213" i="720"/>
  <c r="D619" i="720"/>
  <c r="Y619" i="720"/>
  <c r="F619" i="720"/>
  <c r="D230" i="720"/>
  <c r="D180" i="720"/>
  <c r="D424" i="720"/>
  <c r="AC424" i="720"/>
  <c r="Y424" i="720"/>
  <c r="D803" i="720"/>
  <c r="D382" i="720"/>
  <c r="W382" i="720"/>
  <c r="AC382" i="720"/>
  <c r="D306" i="720"/>
  <c r="AC306" i="720"/>
  <c r="D17" i="720"/>
  <c r="AA17" i="720"/>
  <c r="D389" i="720"/>
  <c r="AC389" i="720"/>
  <c r="D684" i="720"/>
  <c r="W684" i="720"/>
  <c r="D70" i="720"/>
  <c r="D395" i="720"/>
  <c r="D587" i="720"/>
  <c r="D520" i="720"/>
  <c r="AC520" i="720"/>
  <c r="D484" i="720"/>
  <c r="Y484" i="720"/>
  <c r="D711" i="720"/>
  <c r="AC711" i="720"/>
  <c r="AA711" i="720"/>
  <c r="D109" i="720"/>
  <c r="AA109" i="720"/>
  <c r="D39" i="720"/>
  <c r="W39" i="720"/>
  <c r="D796" i="720"/>
  <c r="AA796" i="720"/>
  <c r="D135" i="720"/>
  <c r="AC135" i="720"/>
  <c r="D488" i="720"/>
  <c r="AA523" i="720"/>
  <c r="D426" i="720"/>
  <c r="D214" i="720"/>
  <c r="D98" i="720"/>
  <c r="D332" i="720"/>
  <c r="W332" i="720"/>
  <c r="D165" i="720"/>
  <c r="D311" i="720"/>
  <c r="F311" i="720"/>
  <c r="W311" i="720"/>
  <c r="D819" i="720"/>
  <c r="D136" i="720"/>
  <c r="D267" i="720"/>
  <c r="D600" i="720"/>
  <c r="F600" i="720"/>
  <c r="D552" i="720"/>
  <c r="AA552" i="720"/>
  <c r="D610" i="720"/>
  <c r="D423" i="720"/>
  <c r="AA423" i="720"/>
  <c r="D291" i="720"/>
  <c r="AA291" i="720"/>
  <c r="D305" i="720"/>
  <c r="AC305" i="720"/>
  <c r="D25" i="720"/>
  <c r="AA25" i="720"/>
  <c r="D833" i="720"/>
  <c r="AC833" i="720"/>
  <c r="D300" i="720"/>
  <c r="D106" i="720"/>
  <c r="D231" i="720"/>
  <c r="F231" i="720"/>
  <c r="D112" i="720"/>
  <c r="D832" i="720"/>
  <c r="AC832" i="720"/>
  <c r="AA832" i="720"/>
  <c r="D388" i="720"/>
  <c r="D368" i="720"/>
  <c r="D681" i="720"/>
  <c r="W681" i="720"/>
  <c r="F681" i="720"/>
  <c r="D462" i="720"/>
  <c r="D47" i="720"/>
  <c r="F47" i="720"/>
  <c r="D522" i="720"/>
  <c r="AC522" i="720"/>
  <c r="D784" i="720"/>
  <c r="D818" i="720"/>
  <c r="D251" i="720"/>
  <c r="W251" i="720"/>
  <c r="F251" i="720"/>
  <c r="D623" i="720"/>
  <c r="W623" i="720"/>
  <c r="D86" i="720"/>
  <c r="D413" i="720"/>
  <c r="D321" i="720"/>
  <c r="D418" i="720"/>
  <c r="D227" i="720"/>
  <c r="W227" i="720"/>
  <c r="D15" i="720"/>
  <c r="AA15" i="720"/>
  <c r="F15" i="720"/>
  <c r="D795" i="720"/>
  <c r="D410" i="720"/>
  <c r="D737" i="720"/>
  <c r="AA737" i="720"/>
  <c r="D700" i="720"/>
  <c r="D597" i="720"/>
  <c r="AC597" i="720"/>
  <c r="D412" i="720"/>
  <c r="AC412" i="720"/>
  <c r="D249" i="720"/>
  <c r="D218" i="720"/>
  <c r="F218" i="720"/>
  <c r="W218" i="720"/>
  <c r="D277" i="720"/>
  <c r="AC277" i="720"/>
  <c r="D385" i="720"/>
  <c r="D268" i="720"/>
  <c r="D837" i="720"/>
  <c r="AA837" i="720"/>
  <c r="D269" i="720"/>
  <c r="D361" i="720"/>
  <c r="D387" i="720"/>
  <c r="D563" i="720"/>
  <c r="D708" i="720"/>
  <c r="F708" i="720"/>
  <c r="D65" i="720"/>
  <c r="D639" i="720"/>
  <c r="F639" i="720"/>
  <c r="D141" i="720"/>
  <c r="AC141" i="720"/>
  <c r="D702" i="720"/>
  <c r="D443" i="720"/>
  <c r="D609" i="720"/>
  <c r="AC609" i="720"/>
  <c r="D164" i="720"/>
  <c r="W164" i="720"/>
  <c r="AC164" i="720"/>
  <c r="D415" i="720"/>
  <c r="D64" i="720"/>
  <c r="D383" i="720"/>
  <c r="W383" i="720"/>
  <c r="Y383" i="720"/>
  <c r="D49" i="720"/>
  <c r="AC49" i="720"/>
  <c r="D668" i="720"/>
  <c r="AA668" i="720"/>
  <c r="D162" i="720"/>
  <c r="D34" i="720"/>
  <c r="D185" i="720"/>
  <c r="AA185" i="720"/>
  <c r="D263" i="720"/>
  <c r="AA263" i="720"/>
  <c r="D307" i="720"/>
  <c r="D640" i="720"/>
  <c r="AA640" i="720"/>
  <c r="D805" i="720"/>
  <c r="AA805" i="720"/>
  <c r="W805" i="720"/>
  <c r="D402" i="720"/>
  <c r="D264" i="720"/>
  <c r="W264" i="720"/>
  <c r="D551" i="720"/>
  <c r="AC551" i="720"/>
  <c r="F551" i="720"/>
  <c r="D590" i="720"/>
  <c r="D436" i="720"/>
  <c r="D262" i="720"/>
  <c r="AA262" i="720"/>
  <c r="D706" i="720"/>
  <c r="D66" i="720"/>
  <c r="D270" i="720"/>
  <c r="AA270" i="720"/>
  <c r="D676" i="720"/>
  <c r="Y676" i="720"/>
  <c r="D285" i="720"/>
  <c r="W285" i="720"/>
  <c r="D140" i="720"/>
  <c r="D333" i="720"/>
  <c r="Y333" i="720"/>
  <c r="AA333" i="720"/>
  <c r="D612" i="720"/>
  <c r="D45" i="720"/>
  <c r="F45" i="720"/>
  <c r="D438" i="720"/>
  <c r="D137" i="720"/>
  <c r="W137" i="720"/>
  <c r="F137" i="720"/>
  <c r="D289" i="720"/>
  <c r="D348" i="720"/>
  <c r="AC348" i="720"/>
  <c r="AA348" i="720"/>
  <c r="Y348" i="720"/>
  <c r="W348" i="720"/>
  <c r="AE348" i="720"/>
  <c r="D250" i="720"/>
  <c r="Y250" i="720"/>
  <c r="D92" i="720"/>
  <c r="D466" i="720"/>
  <c r="AA466" i="720"/>
  <c r="F466" i="720"/>
  <c r="D161" i="720"/>
  <c r="D157" i="720"/>
  <c r="AC157" i="720"/>
  <c r="W157" i="720"/>
  <c r="D364" i="720"/>
  <c r="AA364" i="720"/>
  <c r="D741" i="720"/>
  <c r="AA741" i="720"/>
  <c r="AC741" i="720"/>
  <c r="D399" i="720"/>
  <c r="D789" i="720"/>
  <c r="F789" i="720"/>
  <c r="D211" i="720"/>
  <c r="AA211" i="720"/>
  <c r="D588" i="720"/>
  <c r="D156" i="720"/>
  <c r="W156" i="720"/>
  <c r="D409" i="720"/>
  <c r="D740" i="720"/>
  <c r="Y740" i="720"/>
  <c r="F740" i="720"/>
  <c r="D93" i="720"/>
  <c r="D299" i="720"/>
  <c r="D467" i="720"/>
  <c r="AC467" i="720"/>
  <c r="D101" i="720"/>
  <c r="D613" i="720"/>
  <c r="AC613" i="720"/>
  <c r="D637" i="720"/>
  <c r="F637" i="720"/>
  <c r="Y637" i="720"/>
  <c r="D549" i="720"/>
  <c r="D416" i="720"/>
  <c r="Y416" i="720"/>
  <c r="F416" i="720"/>
  <c r="D272" i="720"/>
  <c r="Y272" i="720"/>
  <c r="D111" i="720"/>
  <c r="D698" i="720"/>
  <c r="D564" i="720"/>
  <c r="W564" i="720"/>
  <c r="D208" i="720"/>
  <c r="D670" i="720"/>
  <c r="AA670" i="720"/>
  <c r="AC670" i="720"/>
  <c r="Y670" i="720"/>
  <c r="W670" i="720"/>
  <c r="AE670" i="720"/>
  <c r="D223" i="720"/>
  <c r="F223" i="720"/>
  <c r="D414" i="720"/>
  <c r="W414" i="720"/>
  <c r="D362" i="720"/>
  <c r="AC362" i="720"/>
  <c r="D393" i="720"/>
  <c r="AC393" i="720"/>
  <c r="AE393" i="720"/>
  <c r="D456" i="720"/>
  <c r="F456" i="720"/>
  <c r="D449" i="720"/>
  <c r="AC449" i="720"/>
  <c r="D405" i="720"/>
  <c r="D667" i="720"/>
  <c r="D178" i="720"/>
  <c r="D85" i="720"/>
  <c r="D434" i="720"/>
  <c r="AA434" i="720"/>
  <c r="D304" i="720"/>
  <c r="D365" i="720"/>
  <c r="AC365" i="720"/>
  <c r="D565" i="720"/>
  <c r="AA565" i="720"/>
  <c r="D787" i="720"/>
  <c r="Y787" i="720"/>
  <c r="D84" i="720"/>
  <c r="D18" i="720"/>
  <c r="AC18" i="720"/>
  <c r="D686" i="720"/>
  <c r="Y686" i="720"/>
  <c r="D615" i="720"/>
  <c r="D411" i="720"/>
  <c r="D279" i="720"/>
  <c r="D14" i="720"/>
  <c r="D50" i="720"/>
  <c r="AC50" i="720"/>
  <c r="D746" i="720"/>
  <c r="Y746" i="720"/>
  <c r="D26" i="720"/>
  <c r="F26" i="720"/>
  <c r="D293" i="720"/>
  <c r="AC293" i="720"/>
  <c r="D450" i="720"/>
  <c r="AA450" i="720"/>
  <c r="D344" i="720"/>
  <c r="W344" i="720"/>
  <c r="D325" i="720"/>
  <c r="D322" i="720"/>
  <c r="W322" i="720"/>
  <c r="D677" i="720"/>
  <c r="W677" i="720"/>
  <c r="AC677" i="720"/>
  <c r="D453" i="720"/>
  <c r="D226" i="720"/>
  <c r="D678" i="720"/>
  <c r="Y678" i="720"/>
  <c r="D465" i="720"/>
  <c r="D97" i="720"/>
  <c r="AC97" i="720"/>
  <c r="D240" i="720"/>
  <c r="AA240" i="720"/>
  <c r="W240" i="720"/>
  <c r="D835" i="720"/>
  <c r="F835" i="720"/>
  <c r="D318" i="720"/>
  <c r="F318" i="720"/>
  <c r="Y318" i="720"/>
  <c r="D248" i="720"/>
  <c r="AC248" i="720"/>
  <c r="D396" i="720"/>
  <c r="D380" i="720"/>
  <c r="D378" i="720"/>
  <c r="F378" i="720"/>
  <c r="D432" i="720"/>
  <c r="D16" i="720"/>
  <c r="D673" i="720"/>
  <c r="D703" i="720"/>
  <c r="W703" i="720"/>
  <c r="D669" i="720"/>
  <c r="W669" i="720"/>
  <c r="D155" i="720"/>
  <c r="D624" i="720"/>
  <c r="AC624" i="720"/>
  <c r="D349" i="720"/>
  <c r="D292" i="720"/>
  <c r="D598" i="720"/>
  <c r="AA598" i="720"/>
  <c r="D241" i="720"/>
  <c r="F241" i="720"/>
  <c r="D710" i="720"/>
  <c r="AC710" i="720"/>
  <c r="D392" i="720"/>
  <c r="D334" i="720"/>
  <c r="AC334" i="720"/>
  <c r="D585" i="720"/>
  <c r="D239" i="720"/>
  <c r="W239" i="720"/>
  <c r="D616" i="720"/>
  <c r="Y616" i="720"/>
  <c r="D247" i="720"/>
  <c r="D439" i="720"/>
  <c r="D29" i="720"/>
  <c r="Y29" i="720"/>
  <c r="D666" i="720"/>
  <c r="F666" i="720"/>
  <c r="D431" i="720"/>
  <c r="D394" i="720"/>
  <c r="D323" i="720"/>
  <c r="Y323" i="720"/>
  <c r="D102" i="720"/>
  <c r="D343" i="720"/>
  <c r="AC343" i="720"/>
  <c r="D738" i="720"/>
  <c r="F738" i="720"/>
  <c r="D457" i="720"/>
  <c r="D266" i="720"/>
  <c r="D701" i="720"/>
  <c r="D27" i="720"/>
  <c r="AA27" i="720"/>
  <c r="D595" i="720"/>
  <c r="AC595" i="720"/>
  <c r="D384" i="720"/>
  <c r="W384" i="720"/>
  <c r="AA384" i="720"/>
  <c r="D158" i="720"/>
  <c r="D310" i="720"/>
  <c r="D620" i="720"/>
  <c r="AC620" i="720"/>
  <c r="W620" i="720"/>
  <c r="D745" i="720"/>
  <c r="AC745" i="720"/>
  <c r="D236" i="720"/>
  <c r="Y236" i="720"/>
  <c r="D709" i="720"/>
  <c r="AA709" i="720"/>
  <c r="D182" i="720"/>
  <c r="Y182" i="720"/>
  <c r="Y181" i="720"/>
  <c r="AA182" i="720"/>
  <c r="D283" i="720"/>
  <c r="AC283" i="720"/>
  <c r="D258" i="720"/>
  <c r="AA258" i="720"/>
  <c r="D233" i="720"/>
  <c r="D220" i="720"/>
  <c r="Y220" i="720"/>
  <c r="D345" i="720"/>
  <c r="AA345" i="720"/>
  <c r="Y345" i="720"/>
  <c r="D455" i="720"/>
  <c r="D351" i="720"/>
  <c r="W351" i="720"/>
  <c r="F351" i="720"/>
  <c r="D802" i="720"/>
  <c r="D346" i="720"/>
  <c r="AA346" i="720"/>
  <c r="D699" i="720"/>
  <c r="D88" i="720"/>
  <c r="D324" i="720"/>
  <c r="AC324" i="720"/>
  <c r="AA324" i="720"/>
  <c r="AE324" i="720"/>
  <c r="D377" i="720"/>
  <c r="F377" i="720"/>
  <c r="D228" i="720"/>
  <c r="AC228" i="720"/>
  <c r="D260" i="720"/>
  <c r="D94" i="720"/>
  <c r="D91" i="720"/>
  <c r="AA91" i="720"/>
  <c r="D308" i="720"/>
  <c r="D295" i="720"/>
  <c r="D599" i="720"/>
  <c r="Y599" i="720"/>
  <c r="F599" i="720"/>
  <c r="D183" i="720"/>
  <c r="Y183" i="720"/>
  <c r="D429" i="720"/>
  <c r="F429" i="720"/>
  <c r="AC429" i="720"/>
  <c r="AE429" i="720"/>
  <c r="D35" i="720"/>
  <c r="W35" i="720"/>
  <c r="D352" i="720"/>
  <c r="F352" i="720"/>
  <c r="D68" i="720"/>
  <c r="D69" i="720"/>
  <c r="D105" i="720"/>
  <c r="D38" i="720"/>
  <c r="AA38" i="720"/>
  <c r="F38" i="720"/>
  <c r="D707" i="720"/>
  <c r="AC707" i="720"/>
  <c r="D276" i="720"/>
  <c r="W276" i="720"/>
  <c r="F276" i="720"/>
  <c r="D100" i="720"/>
  <c r="D403" i="720"/>
  <c r="D207" i="720"/>
  <c r="D806" i="720"/>
  <c r="AC806" i="720"/>
  <c r="D799" i="720"/>
  <c r="Y799" i="720"/>
  <c r="D748" i="720"/>
  <c r="Y748" i="720"/>
  <c r="F748" i="720"/>
  <c r="D441" i="720"/>
  <c r="D261" i="720"/>
  <c r="D816" i="720"/>
  <c r="D800" i="720"/>
  <c r="W800" i="720"/>
  <c r="D317" i="720"/>
  <c r="W317" i="720"/>
  <c r="D445" i="720"/>
  <c r="AC445" i="720"/>
  <c r="D797" i="720"/>
  <c r="Y797" i="720"/>
  <c r="D562" i="720"/>
  <c r="Y562" i="720"/>
  <c r="F562" i="720"/>
  <c r="D319" i="720"/>
  <c r="AC319" i="720"/>
  <c r="D359" i="720"/>
  <c r="D312" i="720"/>
  <c r="D695" i="720"/>
  <c r="Y695" i="720"/>
  <c r="D621" i="720"/>
  <c r="Y621" i="720"/>
  <c r="D397" i="720"/>
  <c r="D433" i="720"/>
  <c r="D584" i="720"/>
  <c r="W584" i="720"/>
  <c r="AA584" i="720"/>
  <c r="D138" i="720"/>
  <c r="D320" i="720"/>
  <c r="D187" i="720"/>
  <c r="D298" i="720"/>
  <c r="D486" i="720"/>
  <c r="D278" i="720"/>
  <c r="D487" i="720"/>
  <c r="D641" i="720"/>
  <c r="W641" i="720"/>
  <c r="D87" i="720"/>
  <c r="D712" i="720"/>
  <c r="F712" i="720"/>
  <c r="D786" i="720"/>
  <c r="Y786" i="720"/>
  <c r="AA786" i="720"/>
  <c r="D48" i="720"/>
  <c r="D24" i="720"/>
  <c r="F24" i="720"/>
  <c r="F23" i="720"/>
  <c r="D820" i="720"/>
  <c r="D743" i="720"/>
  <c r="D62" i="720"/>
  <c r="D447" i="720"/>
  <c r="D680" i="720"/>
  <c r="D704" i="720"/>
  <c r="D366" i="720"/>
  <c r="AA366" i="720"/>
  <c r="Y366" i="720"/>
  <c r="D216" i="720"/>
  <c r="D458" i="720"/>
  <c r="D454" i="720"/>
  <c r="D133" i="720"/>
  <c r="W133" i="720"/>
  <c r="W132" i="720"/>
  <c r="D381" i="720"/>
  <c r="AC381" i="720"/>
  <c r="D367" i="720"/>
  <c r="D176" i="720"/>
  <c r="W176" i="720"/>
  <c r="D635" i="720"/>
  <c r="D638" i="720"/>
  <c r="AC638" i="720"/>
  <c r="F638" i="720"/>
  <c r="D444" i="720"/>
  <c r="D160" i="720"/>
  <c r="F160" i="720"/>
  <c r="D435" i="720"/>
  <c r="Y435" i="720"/>
  <c r="D107" i="720"/>
  <c r="D583" i="720"/>
  <c r="D519" i="720"/>
  <c r="AC519" i="720"/>
  <c r="D785" i="720"/>
  <c r="W785" i="720"/>
  <c r="D437" i="720"/>
  <c r="D407" i="720"/>
  <c r="D46" i="720"/>
  <c r="AA46" i="720"/>
  <c r="D209" i="720"/>
  <c r="D400" i="720"/>
  <c r="D594" i="720"/>
  <c r="D37" i="720"/>
  <c r="W37" i="720"/>
  <c r="D398" i="720"/>
  <c r="D52" i="720"/>
  <c r="D442" i="720"/>
  <c r="D212" i="720"/>
  <c r="AC212" i="720"/>
  <c r="D360" i="720"/>
  <c r="D807" i="720"/>
  <c r="Y807" i="720"/>
  <c r="D51" i="720"/>
  <c r="AC51" i="720"/>
  <c r="D401" i="720"/>
  <c r="AC401" i="720"/>
  <c r="D617" i="720"/>
  <c r="F617" i="720"/>
  <c r="AA617" i="720"/>
  <c r="D788" i="720"/>
  <c r="AA788" i="720"/>
  <c r="D622" i="720"/>
  <c r="AA622" i="720"/>
  <c r="AC622" i="720"/>
  <c r="Y622" i="720"/>
  <c r="W622" i="720"/>
  <c r="AE622" i="720"/>
  <c r="D99" i="720"/>
  <c r="D425" i="720"/>
  <c r="AC425" i="720"/>
  <c r="AE425" i="720"/>
  <c r="D421" i="720"/>
  <c r="D235" i="720"/>
  <c r="F235" i="720"/>
  <c r="D749" i="720"/>
  <c r="D601" i="720"/>
  <c r="D596" i="720"/>
  <c r="AA596" i="720"/>
  <c r="D440" i="720"/>
  <c r="D108" i="720"/>
  <c r="F108" i="720"/>
  <c r="D331" i="720"/>
  <c r="Y331" i="720"/>
  <c r="F331" i="720"/>
  <c r="D61" i="720"/>
  <c r="D419" i="720"/>
  <c r="D448" i="720"/>
  <c r="D751" i="720"/>
  <c r="D682" i="720"/>
  <c r="Y682" i="720"/>
  <c r="D560" i="720"/>
  <c r="D314" i="720"/>
  <c r="D821" i="720"/>
  <c r="W821" i="720"/>
  <c r="D53" i="720"/>
  <c r="AA53" i="720"/>
  <c r="D696" i="720"/>
  <c r="D790" i="720"/>
  <c r="AA790" i="720"/>
  <c r="D461" i="720"/>
  <c r="D417" i="720"/>
  <c r="AC417" i="720"/>
  <c r="AE417" i="720"/>
  <c r="D174" i="720"/>
  <c r="D379" i="720"/>
  <c r="D275" i="720"/>
  <c r="Y275" i="720"/>
  <c r="W275" i="720"/>
  <c r="D697" i="720"/>
  <c r="F697" i="720"/>
  <c r="D33" i="720"/>
  <c r="AC33" i="720"/>
  <c r="W33" i="720"/>
  <c r="D217" i="720"/>
  <c r="D67" i="720"/>
  <c r="D303" i="720"/>
  <c r="F303" i="720"/>
  <c r="F302" i="720"/>
  <c r="W303" i="720"/>
  <c r="W302" i="720"/>
  <c r="D237" i="720"/>
  <c r="F237" i="720"/>
  <c r="D90" i="720"/>
  <c r="Y90" i="720"/>
  <c r="D63" i="720"/>
  <c r="D259" i="720"/>
  <c r="D430" i="720"/>
  <c r="AA430" i="720"/>
  <c r="D483" i="720"/>
  <c r="D408" i="720"/>
  <c r="D736" i="720"/>
  <c r="W736" i="720"/>
  <c r="D219" i="720"/>
  <c r="AA219" i="720"/>
  <c r="D735" i="720"/>
  <c r="D330" i="720"/>
  <c r="AA330" i="720"/>
  <c r="D154" i="720"/>
  <c r="W154" i="720"/>
  <c r="F154" i="720"/>
  <c r="D232" i="720"/>
  <c r="AA518" i="720"/>
  <c r="AA517" i="720"/>
  <c r="D221" i="720"/>
  <c r="AC221" i="720"/>
  <c r="D238" i="720"/>
  <c r="F238" i="720"/>
  <c r="D593" i="720"/>
  <c r="AC593" i="720"/>
  <c r="D618" i="720"/>
  <c r="D353" i="720"/>
  <c r="F353" i="720"/>
  <c r="D347" i="720"/>
  <c r="D184" i="720"/>
  <c r="AC184" i="720"/>
  <c r="F184" i="720"/>
  <c r="D313" i="720"/>
  <c r="D222" i="720"/>
  <c r="AA222" i="720"/>
  <c r="D104" i="720"/>
  <c r="AC104" i="720"/>
  <c r="D350" i="720"/>
  <c r="AC350" i="720"/>
  <c r="D134" i="720"/>
  <c r="D309" i="720"/>
  <c r="AC309" i="720"/>
  <c r="D329" i="720"/>
  <c r="Y329" i="720"/>
  <c r="D274" i="720"/>
  <c r="W274" i="720"/>
  <c r="Y274" i="720"/>
  <c r="Y273" i="720"/>
  <c r="D460" i="720"/>
  <c r="D296" i="720"/>
  <c r="D459" i="720"/>
  <c r="W459" i="720"/>
  <c r="D561" i="720"/>
  <c r="W561" i="720"/>
  <c r="D521" i="720"/>
  <c r="AC521" i="720"/>
  <c r="F521" i="720"/>
  <c r="D153" i="720"/>
  <c r="D739" i="720"/>
  <c r="Y739" i="720"/>
  <c r="D750" i="720"/>
  <c r="AA750" i="720"/>
  <c r="D446" i="720"/>
  <c r="D742" i="720"/>
  <c r="F742" i="720"/>
  <c r="D783" i="720"/>
  <c r="W783" i="720"/>
  <c r="D342" i="720"/>
  <c r="AC342" i="720"/>
  <c r="D246" i="720"/>
  <c r="D582" i="720"/>
  <c r="AC582" i="720"/>
  <c r="AC581" i="720"/>
  <c r="D32" i="720"/>
  <c r="AC32" i="720"/>
  <c r="D611" i="720"/>
  <c r="D386" i="720"/>
  <c r="D547" i="720"/>
  <c r="D836" i="720"/>
  <c r="W836" i="720"/>
  <c r="F836" i="720"/>
  <c r="D286" i="720"/>
  <c r="AC286" i="720"/>
  <c r="D636" i="720"/>
  <c r="W636" i="720"/>
  <c r="F636" i="720"/>
  <c r="D44" i="720"/>
  <c r="D110" i="720"/>
  <c r="AC110" i="720"/>
  <c r="D674" i="720"/>
  <c r="W674" i="720"/>
  <c r="Y674" i="720"/>
  <c r="Y673" i="720"/>
  <c r="Y677" i="720"/>
  <c r="Y672" i="720"/>
  <c r="D671" i="720"/>
  <c r="AA671" i="720"/>
  <c r="D550" i="720"/>
  <c r="Y550" i="720"/>
  <c r="F550" i="720"/>
  <c r="D280" i="720"/>
  <c r="D281" i="720"/>
  <c r="Y281" i="720"/>
  <c r="D30" i="720"/>
  <c r="AC30" i="720"/>
  <c r="AA30" i="720"/>
  <c r="D694" i="720"/>
  <c r="Y694" i="720"/>
  <c r="D747" i="720"/>
  <c r="AC747" i="720"/>
  <c r="Y747" i="720"/>
  <c r="D608" i="720"/>
  <c r="D36" i="720"/>
  <c r="D83" i="720"/>
  <c r="AC83" i="720"/>
  <c r="D229" i="720"/>
  <c r="D685" i="720"/>
  <c r="W685" i="720"/>
  <c r="D548" i="720"/>
  <c r="D95" i="720"/>
  <c r="D808" i="720"/>
  <c r="F808" i="720"/>
  <c r="D224" i="720"/>
  <c r="D817" i="720"/>
  <c r="D210" i="720"/>
  <c r="Y210" i="720"/>
  <c r="D831" i="720"/>
  <c r="AA831" i="720"/>
  <c r="AC831" i="720"/>
  <c r="D463" i="720"/>
  <c r="AC463" i="720"/>
  <c r="D683" i="720"/>
  <c r="F683" i="720"/>
  <c r="D791" i="720"/>
  <c r="F791" i="720"/>
  <c r="D834" i="720"/>
  <c r="Y834" i="720"/>
  <c r="D284" i="720"/>
  <c r="D179" i="720"/>
  <c r="D186" i="720"/>
  <c r="Y186" i="720"/>
  <c r="D13" i="720"/>
  <c r="D287" i="720"/>
  <c r="W287" i="720"/>
  <c r="F287" i="720"/>
  <c r="D634" i="720"/>
  <c r="AA634" i="720"/>
  <c r="D369" i="720"/>
  <c r="F369" i="720"/>
  <c r="AC416" i="720"/>
  <c r="AE416" i="720"/>
  <c r="AC378" i="720"/>
  <c r="AC290" i="720"/>
  <c r="AC307" i="720"/>
  <c r="AC308" i="720"/>
  <c r="AC697" i="720"/>
  <c r="AC584" i="720"/>
  <c r="AC183" i="720"/>
  <c r="AE183" i="720"/>
  <c r="AC802" i="720"/>
  <c r="AC345" i="720"/>
  <c r="F210" i="720"/>
  <c r="F747" i="720"/>
  <c r="F30" i="720"/>
  <c r="F674" i="720"/>
  <c r="F329" i="720"/>
  <c r="F328" i="720"/>
  <c r="F222" i="720"/>
  <c r="F430" i="720"/>
  <c r="F379" i="720"/>
  <c r="F417" i="720"/>
  <c r="F682" i="720"/>
  <c r="F751" i="720"/>
  <c r="F622" i="720"/>
  <c r="F788" i="720"/>
  <c r="F807" i="720"/>
  <c r="F635" i="720"/>
  <c r="F367" i="720"/>
  <c r="F680" i="720"/>
  <c r="F319" i="720"/>
  <c r="F317" i="720"/>
  <c r="F316" i="720"/>
  <c r="F799" i="720"/>
  <c r="F183" i="720"/>
  <c r="F91" i="720"/>
  <c r="F324" i="720"/>
  <c r="F345" i="720"/>
  <c r="F283" i="720"/>
  <c r="F323" i="720"/>
  <c r="F239" i="720"/>
  <c r="AC669" i="720"/>
  <c r="F240" i="720"/>
  <c r="F678" i="720"/>
  <c r="F677" i="720"/>
  <c r="AC240" i="720"/>
  <c r="F84" i="720"/>
  <c r="AC295" i="720"/>
  <c r="F393" i="720"/>
  <c r="F414" i="720"/>
  <c r="F670" i="720"/>
  <c r="F272" i="720"/>
  <c r="AC596" i="720"/>
  <c r="F156" i="720"/>
  <c r="AC247" i="720"/>
  <c r="F348" i="720"/>
  <c r="F285" i="720"/>
  <c r="F262" i="720"/>
  <c r="F805" i="720"/>
  <c r="W329" i="720"/>
  <c r="AC678" i="720"/>
  <c r="F623" i="720"/>
  <c r="F423" i="720"/>
  <c r="AC46" i="720"/>
  <c r="F109" i="720"/>
  <c r="F382" i="720"/>
  <c r="F424" i="720"/>
  <c r="AC484" i="720"/>
  <c r="W678" i="720"/>
  <c r="F451" i="720"/>
  <c r="Y163" i="720"/>
  <c r="AC600" i="720"/>
  <c r="AC675" i="720"/>
  <c r="Y743" i="720"/>
  <c r="Y600" i="720"/>
  <c r="W91" i="720"/>
  <c r="AA712" i="720"/>
  <c r="AC297" i="720"/>
  <c r="Y319" i="720"/>
  <c r="AA464" i="720"/>
  <c r="W301" i="720"/>
  <c r="W262" i="720"/>
  <c r="AA284" i="720"/>
  <c r="W49" i="720"/>
  <c r="W807" i="720"/>
  <c r="AA107" i="720"/>
  <c r="W438" i="720"/>
  <c r="Y792" i="720"/>
  <c r="AC275" i="720"/>
  <c r="W318" i="720"/>
  <c r="AC318" i="720"/>
  <c r="AC617" i="720"/>
  <c r="Y617" i="720"/>
  <c r="W617" i="720"/>
  <c r="AE617" i="720"/>
  <c r="AA676" i="720"/>
  <c r="Y344" i="720"/>
  <c r="AC291" i="720"/>
  <c r="W799" i="720"/>
  <c r="W484" i="720"/>
  <c r="AA318" i="720"/>
  <c r="F582" i="720"/>
  <c r="AC222" i="720"/>
  <c r="AC682" i="720"/>
  <c r="F641" i="720"/>
  <c r="F695" i="720"/>
  <c r="F248" i="720"/>
  <c r="AC29" i="720"/>
  <c r="AA274" i="720"/>
  <c r="F449" i="720"/>
  <c r="AC272" i="720"/>
  <c r="AA272" i="720"/>
  <c r="W272" i="720"/>
  <c r="AE272" i="720"/>
  <c r="AC250" i="720"/>
  <c r="AC695" i="720"/>
  <c r="F832" i="720"/>
  <c r="AA250" i="720"/>
  <c r="F484" i="720"/>
  <c r="AC684" i="720"/>
  <c r="AC612" i="720"/>
  <c r="F301" i="720"/>
  <c r="AC793" i="720"/>
  <c r="AA344" i="720"/>
  <c r="W743" i="720"/>
  <c r="W600" i="720"/>
  <c r="Y215" i="720"/>
  <c r="AA798" i="720"/>
  <c r="Y311" i="720"/>
  <c r="AA484" i="720"/>
  <c r="AA637" i="720"/>
  <c r="W711" i="720"/>
  <c r="AC836" i="720"/>
  <c r="W582" i="720"/>
  <c r="W581" i="720"/>
  <c r="F696" i="720"/>
  <c r="F694" i="720"/>
  <c r="F693" i="720"/>
  <c r="AC594" i="720"/>
  <c r="AC233" i="720"/>
  <c r="F745" i="720"/>
  <c r="AA317" i="720"/>
  <c r="AA316" i="720"/>
  <c r="AC436" i="720"/>
  <c r="W90" i="720"/>
  <c r="W89" i="720"/>
  <c r="W560" i="720"/>
  <c r="AC344" i="720"/>
  <c r="AC610" i="720"/>
  <c r="AC608" i="720"/>
  <c r="AC611" i="720"/>
  <c r="AC607" i="720"/>
  <c r="F213" i="720"/>
  <c r="AC488" i="720"/>
  <c r="AE488" i="720"/>
  <c r="AA678" i="720"/>
  <c r="Y523" i="720"/>
  <c r="W183" i="720"/>
  <c r="AA620" i="720"/>
  <c r="Y794" i="720"/>
  <c r="Y84" i="720"/>
  <c r="AA33" i="720"/>
  <c r="W271" i="720"/>
  <c r="W434" i="720"/>
  <c r="AA438" i="720"/>
  <c r="W223" i="720"/>
  <c r="W430" i="720"/>
  <c r="AC483" i="720"/>
  <c r="Y832" i="720"/>
  <c r="AA694" i="720"/>
  <c r="AC182" i="720"/>
  <c r="AC258" i="720"/>
  <c r="AC457" i="720"/>
  <c r="F552" i="720"/>
  <c r="AC311" i="720"/>
  <c r="AC102" i="720"/>
  <c r="W750" i="720"/>
  <c r="AC213" i="720"/>
  <c r="W25" i="720"/>
  <c r="AA183" i="720"/>
  <c r="AA210" i="720"/>
  <c r="AA414" i="720"/>
  <c r="W424" i="720"/>
  <c r="Y552" i="720"/>
  <c r="Y789" i="720"/>
  <c r="Y211" i="720"/>
  <c r="AC797" i="720"/>
  <c r="AA90" i="720"/>
  <c r="AC615" i="720"/>
  <c r="AC215" i="720"/>
  <c r="W84" i="720"/>
  <c r="AA783" i="720"/>
  <c r="F831" i="720"/>
  <c r="AC835" i="720"/>
  <c r="AC712" i="720"/>
  <c r="AE712" i="720"/>
  <c r="F157" i="720"/>
  <c r="F333" i="720"/>
  <c r="AC264" i="720"/>
  <c r="F49" i="720"/>
  <c r="AC666" i="720"/>
  <c r="AC414" i="720"/>
  <c r="AE414" i="720"/>
  <c r="Y709" i="720"/>
  <c r="AC464" i="720"/>
  <c r="Y25" i="720"/>
  <c r="Y264" i="720"/>
  <c r="AC428" i="720"/>
  <c r="Y793" i="720"/>
  <c r="Y586" i="720"/>
  <c r="W210" i="720"/>
  <c r="AA157" i="720"/>
  <c r="AA251" i="720"/>
  <c r="AA424" i="720"/>
  <c r="AA684" i="720"/>
  <c r="W695" i="720"/>
  <c r="Y240" i="720"/>
  <c r="AC137" i="720"/>
  <c r="W676" i="720"/>
  <c r="Y667" i="720"/>
  <c r="AC750" i="720"/>
  <c r="F274" i="720"/>
  <c r="F90" i="720"/>
  <c r="F89" i="720"/>
  <c r="F785" i="720"/>
  <c r="F435" i="720"/>
  <c r="F381" i="720"/>
  <c r="F797" i="720"/>
  <c r="AC699" i="720"/>
  <c r="AC90" i="720"/>
  <c r="AC89" i="720"/>
  <c r="AE89" i="720"/>
  <c r="AC323" i="720"/>
  <c r="W666" i="720"/>
  <c r="AC405" i="720"/>
  <c r="F698" i="720"/>
  <c r="F676" i="720"/>
  <c r="F25" i="720"/>
  <c r="AC552" i="720"/>
  <c r="AA264" i="720"/>
  <c r="Y237" i="720"/>
  <c r="Y15" i="720"/>
  <c r="W833" i="720"/>
  <c r="Y301" i="720"/>
  <c r="Y684" i="720"/>
  <c r="AA695" i="720"/>
  <c r="AA792" i="720"/>
  <c r="AE792" i="720"/>
  <c r="W323" i="720"/>
  <c r="AC220" i="720"/>
  <c r="AC289" i="720"/>
  <c r="W791" i="720"/>
  <c r="AA791" i="720"/>
  <c r="W747" i="720"/>
  <c r="W235" i="720"/>
  <c r="AC235" i="720"/>
  <c r="Y235" i="720"/>
  <c r="AA738" i="720"/>
  <c r="W738" i="720"/>
  <c r="AC738" i="720"/>
  <c r="Y738" i="720"/>
  <c r="AE738" i="720"/>
  <c r="AA703" i="720"/>
  <c r="AA165" i="720"/>
  <c r="W165" i="720"/>
  <c r="Y165" i="720"/>
  <c r="F165" i="720"/>
  <c r="W519" i="720"/>
  <c r="AA280" i="720"/>
  <c r="AC280" i="720"/>
  <c r="W280" i="720"/>
  <c r="W613" i="720"/>
  <c r="Y613" i="720"/>
  <c r="AA369" i="720"/>
  <c r="Y369" i="720"/>
  <c r="AC369" i="720"/>
  <c r="W369" i="720"/>
  <c r="Y229" i="720"/>
  <c r="W521" i="720"/>
  <c r="Y521" i="720"/>
  <c r="AA521" i="720"/>
  <c r="W184" i="720"/>
  <c r="Y184" i="720"/>
  <c r="AA736" i="720"/>
  <c r="Y736" i="720"/>
  <c r="F736" i="720"/>
  <c r="AC736" i="720"/>
  <c r="AC303" i="720"/>
  <c r="Y303" i="720"/>
  <c r="Y302" i="720"/>
  <c r="Y749" i="720"/>
  <c r="AA749" i="720"/>
  <c r="F749" i="720"/>
  <c r="W786" i="720"/>
  <c r="F786" i="720"/>
  <c r="AA641" i="720"/>
  <c r="AC641" i="720"/>
  <c r="AA351" i="720"/>
  <c r="AC351" i="720"/>
  <c r="Y351" i="720"/>
  <c r="AE351" i="720"/>
  <c r="W709" i="720"/>
  <c r="F709" i="720"/>
  <c r="W158" i="720"/>
  <c r="AA158" i="720"/>
  <c r="W155" i="720"/>
  <c r="F155" i="720"/>
  <c r="AA449" i="720"/>
  <c r="Y449" i="720"/>
  <c r="W449" i="720"/>
  <c r="AC588" i="720"/>
  <c r="W270" i="720"/>
  <c r="F270" i="720"/>
  <c r="W551" i="720"/>
  <c r="AA551" i="720"/>
  <c r="Y551" i="720"/>
  <c r="Y805" i="720"/>
  <c r="AC805" i="720"/>
  <c r="AA321" i="720"/>
  <c r="AC321" i="720"/>
  <c r="F321" i="720"/>
  <c r="AA681" i="720"/>
  <c r="Y681" i="720"/>
  <c r="AC681" i="720"/>
  <c r="F428" i="720"/>
  <c r="Y428" i="720"/>
  <c r="W547" i="720"/>
  <c r="AC100" i="720"/>
  <c r="F280" i="720"/>
  <c r="AA547" i="720"/>
  <c r="AC694" i="720"/>
  <c r="W694" i="720"/>
  <c r="AE694" i="720"/>
  <c r="Y280" i="720"/>
  <c r="AA821" i="720"/>
  <c r="AC210" i="720"/>
  <c r="AE210" i="720"/>
  <c r="Y321" i="720"/>
  <c r="W548" i="720"/>
  <c r="Y346" i="720"/>
  <c r="Y392" i="720"/>
  <c r="W639" i="720"/>
  <c r="AA18" i="720"/>
  <c r="AC459" i="720"/>
  <c r="Y232" i="720"/>
  <c r="W232" i="720"/>
  <c r="AA232" i="720"/>
  <c r="AC590" i="720"/>
  <c r="AA24" i="720"/>
  <c r="AA23" i="720"/>
  <c r="AC24" i="720"/>
  <c r="AE24" i="720"/>
  <c r="W741" i="720"/>
  <c r="Y741" i="720"/>
  <c r="AE741" i="720"/>
  <c r="F741" i="720"/>
  <c r="AC561" i="720"/>
  <c r="W352" i="720"/>
  <c r="AA352" i="720"/>
  <c r="Y352" i="720"/>
  <c r="AC352" i="720"/>
  <c r="W751" i="720"/>
  <c r="AC317" i="720"/>
  <c r="AE317" i="720"/>
  <c r="Y317" i="720"/>
  <c r="Y316" i="720"/>
  <c r="W707" i="720"/>
  <c r="AA707" i="720"/>
  <c r="Y707" i="720"/>
  <c r="AE707" i="720"/>
  <c r="F707" i="720"/>
  <c r="AA283" i="720"/>
  <c r="W283" i="720"/>
  <c r="Y283" i="720"/>
  <c r="W26" i="720"/>
  <c r="AA26" i="720"/>
  <c r="Y26" i="720"/>
  <c r="AC26" i="720"/>
  <c r="AE26" i="720"/>
  <c r="AC136" i="720"/>
  <c r="W619" i="720"/>
  <c r="AC619" i="720"/>
  <c r="W186" i="720"/>
  <c r="Y683" i="720"/>
  <c r="W683" i="720"/>
  <c r="AA683" i="720"/>
  <c r="Y742" i="720"/>
  <c r="W742" i="720"/>
  <c r="W219" i="720"/>
  <c r="Y219" i="720"/>
  <c r="F219" i="720"/>
  <c r="Y635" i="720"/>
  <c r="AA701" i="720"/>
  <c r="AC701" i="720"/>
  <c r="W701" i="720"/>
  <c r="F701" i="720"/>
  <c r="AA322" i="720"/>
  <c r="Y322" i="720"/>
  <c r="AC140" i="720"/>
  <c r="W263" i="720"/>
  <c r="Y263" i="720"/>
  <c r="F263" i="720"/>
  <c r="W668" i="720"/>
  <c r="Y708" i="720"/>
  <c r="AC837" i="720"/>
  <c r="AA227" i="720"/>
  <c r="Y17" i="720"/>
  <c r="W17" i="720"/>
  <c r="F17" i="720"/>
  <c r="AC17" i="720"/>
  <c r="AE17" i="720"/>
  <c r="AA220" i="720"/>
  <c r="AC333" i="720"/>
  <c r="AA235" i="720"/>
  <c r="AC165" i="720"/>
  <c r="AC296" i="720"/>
  <c r="AC444" i="720"/>
  <c r="AC786" i="720"/>
  <c r="AC709" i="720"/>
  <c r="AE709" i="720"/>
  <c r="AA32" i="720"/>
  <c r="AC618" i="720"/>
  <c r="AC239" i="720"/>
  <c r="AC598" i="720"/>
  <c r="AA329" i="720"/>
  <c r="AA239" i="720"/>
  <c r="W321" i="720"/>
  <c r="AA548" i="720"/>
  <c r="W392" i="720"/>
  <c r="AA785" i="720"/>
  <c r="Y332" i="720"/>
  <c r="W634" i="720"/>
  <c r="AC634" i="720"/>
  <c r="Y634" i="720"/>
  <c r="AE634" i="720"/>
  <c r="Y700" i="720"/>
  <c r="AC700" i="720"/>
  <c r="AA700" i="720"/>
  <c r="AE700" i="720"/>
  <c r="AA368" i="720"/>
  <c r="Y368" i="720"/>
  <c r="W368" i="720"/>
  <c r="AC368" i="720"/>
  <c r="Y300" i="720"/>
  <c r="AC300" i="720"/>
  <c r="AA300" i="720"/>
  <c r="W300" i="720"/>
  <c r="AE300" i="720"/>
  <c r="AC288" i="720"/>
  <c r="AC735" i="720"/>
  <c r="W735" i="720"/>
  <c r="AA14" i="720"/>
  <c r="Y14" i="720"/>
  <c r="W563" i="720"/>
  <c r="AA563" i="720"/>
  <c r="AC563" i="720"/>
  <c r="W381" i="720"/>
  <c r="AA381" i="720"/>
  <c r="Y381" i="720"/>
  <c r="AA429" i="720"/>
  <c r="W429" i="720"/>
  <c r="Y429" i="720"/>
  <c r="Y325" i="720"/>
  <c r="AC462" i="720"/>
  <c r="W589" i="720"/>
  <c r="AC589" i="720"/>
  <c r="AC834" i="720"/>
  <c r="Y224" i="720"/>
  <c r="AA224" i="720"/>
  <c r="F281" i="720"/>
  <c r="AA281" i="720"/>
  <c r="W281" i="720"/>
  <c r="AA287" i="720"/>
  <c r="Y287" i="720"/>
  <c r="AC284" i="720"/>
  <c r="Y685" i="720"/>
  <c r="AC685" i="720"/>
  <c r="AA674" i="720"/>
  <c r="AC674" i="720"/>
  <c r="Y153" i="720"/>
  <c r="AC313" i="720"/>
  <c r="AA154" i="720"/>
  <c r="AC154" i="720"/>
  <c r="Y154" i="720"/>
  <c r="W682" i="720"/>
  <c r="AA682" i="720"/>
  <c r="AE682" i="720"/>
  <c r="AA680" i="720"/>
  <c r="AA599" i="720"/>
  <c r="W599" i="720"/>
  <c r="W241" i="720"/>
  <c r="AC241" i="720"/>
  <c r="Y241" i="720"/>
  <c r="AA241" i="720"/>
  <c r="Y624" i="720"/>
  <c r="AA248" i="720"/>
  <c r="W248" i="720"/>
  <c r="Y248" i="720"/>
  <c r="Y223" i="720"/>
  <c r="AC223" i="720"/>
  <c r="W416" i="720"/>
  <c r="AA416" i="720"/>
  <c r="AC443" i="720"/>
  <c r="AE443" i="720"/>
  <c r="W443" i="720"/>
  <c r="F443" i="720"/>
  <c r="AA249" i="720"/>
  <c r="W249" i="720"/>
  <c r="Y249" i="720"/>
  <c r="AC485" i="720"/>
  <c r="AA47" i="720"/>
  <c r="AC47" i="720"/>
  <c r="Y47" i="720"/>
  <c r="W231" i="720"/>
  <c r="Y587" i="720"/>
  <c r="AC450" i="720"/>
  <c r="AE450" i="720"/>
  <c r="W24" i="720"/>
  <c r="W23" i="720"/>
  <c r="AC329" i="720"/>
  <c r="W30" i="720"/>
  <c r="W788" i="720"/>
  <c r="Y30" i="720"/>
  <c r="W333" i="720"/>
  <c r="W831" i="720"/>
  <c r="AC224" i="720"/>
  <c r="AC683" i="720"/>
  <c r="AC281" i="720"/>
  <c r="AA582" i="720"/>
  <c r="F783" i="720"/>
  <c r="F782" i="720"/>
  <c r="F750" i="720"/>
  <c r="Y831" i="720"/>
  <c r="AC219" i="720"/>
  <c r="AC635" i="720"/>
  <c r="Y582" i="720"/>
  <c r="F392" i="720"/>
  <c r="AC226" i="720"/>
  <c r="AC263" i="720"/>
  <c r="AC708" i="720"/>
  <c r="F332" i="720"/>
  <c r="Y239" i="720"/>
  <c r="W47" i="720"/>
  <c r="W14" i="720"/>
  <c r="AA619" i="720"/>
  <c r="Y785" i="720"/>
  <c r="Y808" i="720"/>
  <c r="AA443" i="720"/>
  <c r="Y671" i="720"/>
  <c r="AC671" i="720"/>
  <c r="AA564" i="720"/>
  <c r="Y564" i="720"/>
  <c r="AA467" i="720"/>
  <c r="W467" i="720"/>
  <c r="Y467" i="720"/>
  <c r="W185" i="720"/>
  <c r="AA331" i="720"/>
  <c r="AC331" i="720"/>
  <c r="AE331" i="720"/>
  <c r="W331" i="720"/>
  <c r="W366" i="720"/>
  <c r="F366" i="720"/>
  <c r="Y745" i="720"/>
  <c r="W745" i="720"/>
  <c r="AA745" i="720"/>
  <c r="AA161" i="720"/>
  <c r="Y161" i="720"/>
  <c r="AA550" i="720"/>
  <c r="W550" i="720"/>
  <c r="AC550" i="720"/>
  <c r="Y347" i="720"/>
  <c r="AC347" i="720"/>
  <c r="AC384" i="720"/>
  <c r="F384" i="720"/>
  <c r="Y434" i="720"/>
  <c r="W211" i="720"/>
  <c r="AC211" i="720"/>
  <c r="F211" i="720"/>
  <c r="Y784" i="720"/>
  <c r="W784" i="720"/>
  <c r="AA784" i="720"/>
  <c r="AC112" i="720"/>
  <c r="Y423" i="720"/>
  <c r="AC423" i="720"/>
  <c r="W739" i="720"/>
  <c r="W737" i="720"/>
  <c r="W740" i="720"/>
  <c r="W734" i="720"/>
  <c r="AA417" i="720"/>
  <c r="W417" i="720"/>
  <c r="Y417" i="720"/>
  <c r="AA176" i="720"/>
  <c r="AC176" i="720"/>
  <c r="AC562" i="720"/>
  <c r="AA562" i="720"/>
  <c r="W562" i="720"/>
  <c r="AC68" i="720"/>
  <c r="Y157" i="720"/>
  <c r="Y737" i="720"/>
  <c r="AC737" i="720"/>
  <c r="AE737" i="720"/>
  <c r="F737" i="720"/>
  <c r="AA636" i="720"/>
  <c r="Y636" i="720"/>
  <c r="AA836" i="720"/>
  <c r="Y836" i="720"/>
  <c r="AE836" i="720"/>
  <c r="AC783" i="720"/>
  <c r="Y783" i="720"/>
  <c r="Y782" i="720"/>
  <c r="W353" i="720"/>
  <c r="Y353" i="720"/>
  <c r="AA238" i="720"/>
  <c r="Y238" i="720"/>
  <c r="W238" i="720"/>
  <c r="AC238" i="720"/>
  <c r="Y620" i="720"/>
  <c r="F620" i="720"/>
  <c r="AC673" i="720"/>
  <c r="W673" i="720"/>
  <c r="AA673" i="720"/>
  <c r="AE673" i="720"/>
  <c r="F673" i="720"/>
  <c r="AA835" i="720"/>
  <c r="Y835" i="720"/>
  <c r="W835" i="720"/>
  <c r="W45" i="720"/>
  <c r="AA45" i="720"/>
  <c r="Y639" i="720"/>
  <c r="AC639" i="720"/>
  <c r="AA639" i="720"/>
  <c r="AC15" i="720"/>
  <c r="AC251" i="720"/>
  <c r="AE251" i="720"/>
  <c r="Y251" i="720"/>
  <c r="AA332" i="720"/>
  <c r="AC332" i="720"/>
  <c r="AC232" i="720"/>
  <c r="AA180" i="720"/>
  <c r="AC162" i="720"/>
  <c r="Y788" i="720"/>
  <c r="W423" i="720"/>
  <c r="AA347" i="720"/>
  <c r="AC440" i="720"/>
  <c r="AC788" i="720"/>
  <c r="F634" i="720"/>
  <c r="F548" i="720"/>
  <c r="F671" i="720"/>
  <c r="F232" i="720"/>
  <c r="AC636" i="720"/>
  <c r="AC448" i="720"/>
  <c r="F467" i="720"/>
  <c r="F368" i="720"/>
  <c r="F300" i="720"/>
  <c r="AC161" i="720"/>
  <c r="AA303" i="720"/>
  <c r="AC785" i="720"/>
  <c r="AC231" i="720"/>
  <c r="AA834" i="720"/>
  <c r="W15" i="720"/>
  <c r="AC134" i="720"/>
  <c r="W36" i="720"/>
  <c r="Y384" i="720"/>
  <c r="AA459" i="720"/>
  <c r="W671" i="720"/>
  <c r="Y443" i="720"/>
  <c r="Y222" i="720"/>
  <c r="W222" i="720"/>
  <c r="Y697" i="720"/>
  <c r="W697" i="720"/>
  <c r="AA697" i="720"/>
  <c r="W379" i="720"/>
  <c r="AA696" i="720"/>
  <c r="AA693" i="720"/>
  <c r="W212" i="720"/>
  <c r="Y800" i="720"/>
  <c r="AA799" i="720"/>
  <c r="AC799" i="720"/>
  <c r="AC276" i="720"/>
  <c r="AE276" i="720"/>
  <c r="AA276" i="720"/>
  <c r="W345" i="720"/>
  <c r="AA746" i="720"/>
  <c r="W456" i="720"/>
  <c r="Y218" i="720"/>
  <c r="AA382" i="720"/>
  <c r="Y382" i="720"/>
  <c r="AC743" i="720"/>
  <c r="AA666" i="720"/>
  <c r="AA667" i="720"/>
  <c r="AA665" i="720"/>
  <c r="AC486" i="720"/>
  <c r="AC565" i="720"/>
  <c r="AC208" i="720"/>
  <c r="AC285" i="720"/>
  <c r="AA285" i="720"/>
  <c r="AE285" i="720"/>
  <c r="AA212" i="720"/>
  <c r="Y669" i="720"/>
  <c r="AC28" i="720"/>
  <c r="AA612" i="720"/>
  <c r="Y565" i="720"/>
  <c r="Y584" i="720"/>
  <c r="W435" i="720"/>
  <c r="AA789" i="720"/>
  <c r="Y108" i="720"/>
  <c r="AA108" i="720"/>
  <c r="W108" i="720"/>
  <c r="Y601" i="720"/>
  <c r="W48" i="720"/>
  <c r="W748" i="720"/>
  <c r="AA748" i="720"/>
  <c r="AA616" i="720"/>
  <c r="W616" i="720"/>
  <c r="AA677" i="720"/>
  <c r="AA411" i="720"/>
  <c r="AA787" i="720"/>
  <c r="W698" i="720"/>
  <c r="AA698" i="720"/>
  <c r="AA740" i="720"/>
  <c r="F794" i="720"/>
  <c r="AC794" i="720"/>
  <c r="AC101" i="720"/>
  <c r="Y666" i="720"/>
  <c r="AA797" i="720"/>
  <c r="W638" i="720"/>
  <c r="Y379" i="720"/>
  <c r="AC637" i="720"/>
  <c r="AA387" i="720"/>
  <c r="Y414" i="720"/>
  <c r="W364" i="720"/>
  <c r="W832" i="720"/>
  <c r="W236" i="720"/>
  <c r="W637" i="720"/>
  <c r="AA323" i="720"/>
  <c r="AA560" i="720"/>
  <c r="AA559" i="720"/>
  <c r="AC560" i="720"/>
  <c r="Y425" i="720"/>
  <c r="W425" i="720"/>
  <c r="AC807" i="720"/>
  <c r="AE807" i="720"/>
  <c r="AA807" i="720"/>
  <c r="Y160" i="720"/>
  <c r="W160" i="720"/>
  <c r="AA319" i="720"/>
  <c r="AE319" i="720"/>
  <c r="W319" i="720"/>
  <c r="W377" i="720"/>
  <c r="AC377" i="720"/>
  <c r="W699" i="720"/>
  <c r="W378" i="720"/>
  <c r="Y378" i="720"/>
  <c r="AA378" i="720"/>
  <c r="AA686" i="720"/>
  <c r="W686" i="720"/>
  <c r="Y393" i="720"/>
  <c r="AA393" i="720"/>
  <c r="W393" i="720"/>
  <c r="AC262" i="720"/>
  <c r="Y262" i="720"/>
  <c r="AC230" i="720"/>
  <c r="Y271" i="720"/>
  <c r="AC271" i="720"/>
  <c r="AC108" i="720"/>
  <c r="F46" i="720"/>
  <c r="AC48" i="720"/>
  <c r="AC38" i="720"/>
  <c r="F669" i="720"/>
  <c r="F344" i="720"/>
  <c r="AC787" i="720"/>
  <c r="AC740" i="720"/>
  <c r="AE740" i="720"/>
  <c r="AC466" i="720"/>
  <c r="AE466" i="720"/>
  <c r="AC623" i="720"/>
  <c r="AC819" i="720"/>
  <c r="W46" i="720"/>
  <c r="W797" i="720"/>
  <c r="Y156" i="720"/>
  <c r="Y638" i="720"/>
  <c r="AA377" i="720"/>
  <c r="AA621" i="720"/>
  <c r="AA623" i="720"/>
  <c r="AA236" i="720"/>
  <c r="Y487" i="720"/>
  <c r="Y712" i="720"/>
  <c r="W712" i="720"/>
  <c r="AC16" i="720"/>
  <c r="W667" i="720"/>
  <c r="Y549" i="720"/>
  <c r="AC549" i="720"/>
  <c r="W549" i="720"/>
  <c r="AA549" i="720"/>
  <c r="W789" i="720"/>
  <c r="AC789" i="720"/>
  <c r="AA49" i="720"/>
  <c r="Y49" i="720"/>
  <c r="Y164" i="720"/>
  <c r="AC109" i="720"/>
  <c r="Y109" i="720"/>
  <c r="W109" i="720"/>
  <c r="AE109" i="720"/>
  <c r="F177" i="720"/>
  <c r="AA451" i="720"/>
  <c r="AC451" i="720"/>
  <c r="AC160" i="720"/>
  <c r="AC361" i="720"/>
  <c r="AC292" i="720"/>
  <c r="AC25" i="720"/>
  <c r="AE25" i="720"/>
  <c r="AC676" i="720"/>
  <c r="Y46" i="720"/>
  <c r="AC177" i="720"/>
  <c r="Y377" i="720"/>
  <c r="Y640" i="720"/>
  <c r="W34" i="720"/>
  <c r="Y623" i="720"/>
  <c r="Y285" i="720"/>
  <c r="AA160" i="720"/>
  <c r="AC796" i="720"/>
  <c r="AC301" i="720"/>
  <c r="F464" i="720"/>
  <c r="F215" i="720"/>
  <c r="F793" i="720"/>
  <c r="W163" i="720"/>
  <c r="AA600" i="720"/>
  <c r="AA297" i="720"/>
  <c r="W675" i="720"/>
  <c r="Y213" i="720"/>
  <c r="W552" i="720"/>
  <c r="F523" i="720"/>
  <c r="F684" i="720"/>
  <c r="F163" i="720"/>
  <c r="AC523" i="720"/>
  <c r="F675" i="720"/>
  <c r="AC163" i="720"/>
  <c r="AA793" i="720"/>
  <c r="W215" i="720"/>
  <c r="AA213" i="720"/>
  <c r="AA311" i="720"/>
  <c r="W796" i="720"/>
  <c r="Y711" i="720"/>
  <c r="AA181" i="720"/>
  <c r="AE675" i="720"/>
  <c r="AE786" i="720"/>
  <c r="F282" i="720"/>
  <c r="Y328" i="720"/>
  <c r="X328" i="720"/>
  <c r="AE484" i="720"/>
  <c r="AE163" i="720"/>
  <c r="AE451" i="720"/>
  <c r="AE160" i="720"/>
  <c r="AE623" i="720"/>
  <c r="AE797" i="720"/>
  <c r="AA54" i="720"/>
  <c r="W782" i="720"/>
  <c r="AE467" i="720"/>
  <c r="AE239" i="720"/>
  <c r="AE344" i="720"/>
  <c r="AE275" i="720"/>
  <c r="F581" i="720"/>
  <c r="AE463" i="720"/>
  <c r="W559" i="720"/>
  <c r="AE381" i="720"/>
  <c r="AA782" i="720"/>
  <c r="W665" i="720"/>
  <c r="AA273" i="720"/>
  <c r="AE835" i="720"/>
  <c r="AE521" i="720"/>
  <c r="AE695" i="720"/>
  <c r="AE378" i="720"/>
  <c r="W316" i="720"/>
  <c r="AE318" i="720"/>
  <c r="AE794" i="720"/>
  <c r="F273" i="720"/>
  <c r="AE832" i="720"/>
  <c r="AE29" i="720"/>
  <c r="Y89" i="720"/>
  <c r="AE424" i="720"/>
  <c r="AE164" i="720"/>
  <c r="W328" i="720"/>
  <c r="AA89" i="720"/>
  <c r="AE382" i="720"/>
  <c r="Y54" i="720"/>
  <c r="AE264" i="720"/>
  <c r="AC375" i="720"/>
  <c r="AE235" i="720"/>
  <c r="AA581" i="720"/>
  <c r="AA375" i="720"/>
  <c r="F672" i="720"/>
  <c r="AA328" i="720"/>
  <c r="Z328" i="720"/>
  <c r="Y581" i="720"/>
  <c r="AE589" i="720"/>
  <c r="AE701" i="720"/>
  <c r="AA546" i="720"/>
  <c r="AE369" i="720"/>
  <c r="AE329" i="720"/>
  <c r="Y282" i="720"/>
  <c r="AE636" i="720"/>
  <c r="AE271" i="720"/>
  <c r="W273" i="720"/>
  <c r="AE619" i="720"/>
  <c r="AE154" i="720"/>
  <c r="AC23" i="720"/>
  <c r="AE23" i="720"/>
  <c r="AE352" i="720"/>
  <c r="AE831" i="720"/>
  <c r="Y375" i="720"/>
  <c r="AA302" i="720"/>
  <c r="AE332" i="720"/>
  <c r="W672" i="720"/>
  <c r="AE423" i="720"/>
  <c r="AE384" i="720"/>
  <c r="AE219" i="720"/>
  <c r="AE683" i="720"/>
  <c r="AE333" i="720"/>
  <c r="AA282" i="720"/>
  <c r="W546" i="720"/>
  <c r="AE321" i="720"/>
  <c r="AC181" i="720"/>
  <c r="AE788" i="720"/>
  <c r="AE550" i="720"/>
  <c r="AE805" i="720"/>
  <c r="AE108" i="720"/>
  <c r="AE15" i="720"/>
  <c r="AA672" i="720"/>
  <c r="W282" i="720"/>
  <c r="AE30" i="720"/>
  <c r="AA827" i="721"/>
  <c r="Y827" i="721"/>
  <c r="AC828" i="721"/>
  <c r="AA812" i="721"/>
  <c r="AC812" i="721"/>
  <c r="Y812" i="721"/>
  <c r="W812" i="721"/>
  <c r="T812" i="721"/>
  <c r="R812" i="721"/>
  <c r="P812" i="721"/>
  <c r="N812" i="721"/>
  <c r="L812" i="721"/>
  <c r="AE812" i="721"/>
  <c r="AA780" i="721"/>
  <c r="Y780" i="721"/>
  <c r="AA779" i="721"/>
  <c r="Y779" i="721"/>
  <c r="AC780" i="721"/>
  <c r="AA771" i="721"/>
  <c r="Y771" i="721"/>
  <c r="AA770" i="721"/>
  <c r="Y770" i="721"/>
  <c r="AA766" i="721"/>
  <c r="AA765" i="721"/>
  <c r="AA767" i="721"/>
  <c r="AA764" i="721"/>
  <c r="Y766" i="721"/>
  <c r="AA762" i="721"/>
  <c r="Y762" i="721"/>
  <c r="AC762" i="721"/>
  <c r="W762" i="721"/>
  <c r="T762" i="721"/>
  <c r="R762" i="721"/>
  <c r="P762" i="721"/>
  <c r="N762" i="721"/>
  <c r="L762" i="721"/>
  <c r="AE762" i="721"/>
  <c r="AA761" i="721"/>
  <c r="Y761" i="721"/>
  <c r="AA731" i="721"/>
  <c r="Y731" i="721"/>
  <c r="AC730" i="721"/>
  <c r="AA719" i="721"/>
  <c r="Y719" i="721"/>
  <c r="AA718" i="721"/>
  <c r="Y718" i="721"/>
  <c r="AA660" i="721"/>
  <c r="Y660" i="721"/>
  <c r="AA656" i="721"/>
  <c r="Y656" i="721"/>
  <c r="Y654" i="721"/>
  <c r="Y655" i="721"/>
  <c r="Y657" i="721"/>
  <c r="Y653" i="721"/>
  <c r="Y649" i="721"/>
  <c r="Y648" i="721"/>
  <c r="Y659" i="721"/>
  <c r="Y661" i="721"/>
  <c r="Y658" i="721"/>
  <c r="Y647" i="721"/>
  <c r="AA655" i="721"/>
  <c r="AA651" i="721"/>
  <c r="Y651" i="721"/>
  <c r="AA650" i="721"/>
  <c r="Y650" i="721"/>
  <c r="AA631" i="721"/>
  <c r="Y631" i="721"/>
  <c r="Y629" i="721"/>
  <c r="Y630" i="721"/>
  <c r="Y632" i="721"/>
  <c r="Y628" i="721"/>
  <c r="AA630" i="721"/>
  <c r="AA605" i="721"/>
  <c r="AC605" i="721"/>
  <c r="T605" i="721"/>
  <c r="AE605" i="721"/>
  <c r="Y605" i="721"/>
  <c r="AA604" i="721"/>
  <c r="Y604" i="721"/>
  <c r="AA574" i="721"/>
  <c r="Y574" i="721"/>
  <c r="AA557" i="721"/>
  <c r="Y557" i="721"/>
  <c r="AA556" i="721"/>
  <c r="Y556" i="721"/>
  <c r="AA541" i="721"/>
  <c r="Y541" i="721"/>
  <c r="AA540" i="721"/>
  <c r="Y540" i="721"/>
  <c r="AA539" i="721"/>
  <c r="Y539" i="721"/>
  <c r="Y538" i="721"/>
  <c r="Y537" i="721"/>
  <c r="AC539" i="721"/>
  <c r="AA535" i="721"/>
  <c r="Y535" i="721"/>
  <c r="AA534" i="721"/>
  <c r="Y534" i="721"/>
  <c r="AA512" i="721"/>
  <c r="AA511" i="721"/>
  <c r="AA504" i="721"/>
  <c r="Y504" i="721"/>
  <c r="AA497" i="721"/>
  <c r="Y497" i="721"/>
  <c r="AC497" i="721"/>
  <c r="W497" i="721"/>
  <c r="T497" i="721"/>
  <c r="R497" i="721"/>
  <c r="P497" i="721"/>
  <c r="N497" i="721"/>
  <c r="L497" i="721"/>
  <c r="AE497" i="721"/>
  <c r="AA492" i="721"/>
  <c r="AC492" i="721"/>
  <c r="Y492" i="721"/>
  <c r="W492" i="721"/>
  <c r="T492" i="721"/>
  <c r="R492" i="721"/>
  <c r="P492" i="721"/>
  <c r="N492" i="721"/>
  <c r="L492" i="721"/>
  <c r="AE492" i="721"/>
  <c r="AA477" i="721"/>
  <c r="Y477" i="721"/>
  <c r="AA473" i="721"/>
  <c r="Y473" i="721"/>
  <c r="AA472" i="721"/>
  <c r="Y472" i="721"/>
  <c r="AA338" i="721"/>
  <c r="Y338" i="721"/>
  <c r="AA337" i="721"/>
  <c r="Y337" i="721"/>
  <c r="AA255" i="721"/>
  <c r="Y255" i="721"/>
  <c r="AA254" i="721"/>
  <c r="Y254" i="721"/>
  <c r="AA199" i="721"/>
  <c r="Y199" i="721"/>
  <c r="AA190" i="721"/>
  <c r="Y190" i="721"/>
  <c r="AC144" i="721"/>
  <c r="AA130" i="721"/>
  <c r="Y130" i="721"/>
  <c r="AC78" i="721"/>
  <c r="AA21" i="721"/>
  <c r="Y21" i="721"/>
  <c r="AA15" i="721"/>
  <c r="Y15" i="721"/>
  <c r="AA17" i="721"/>
  <c r="AC17" i="721"/>
  <c r="T17" i="721"/>
  <c r="AE17" i="721"/>
  <c r="Y17" i="721"/>
  <c r="AA25" i="721"/>
  <c r="Y25" i="721"/>
  <c r="P576" i="721"/>
  <c r="L576" i="721"/>
  <c r="R576" i="721"/>
  <c r="N576" i="721"/>
  <c r="J576" i="721"/>
  <c r="AA711" i="721"/>
  <c r="Y711" i="721"/>
  <c r="Y512" i="721"/>
  <c r="Y511" i="721"/>
  <c r="R837" i="721"/>
  <c r="L837" i="721"/>
  <c r="P837" i="721"/>
  <c r="T837" i="721"/>
  <c r="N837" i="721"/>
  <c r="J837" i="721"/>
  <c r="AA837" i="721"/>
  <c r="Y837" i="721"/>
  <c r="AC837" i="721"/>
  <c r="W837" i="721"/>
  <c r="AE837" i="721"/>
  <c r="R836" i="721"/>
  <c r="L836" i="721"/>
  <c r="P836" i="721"/>
  <c r="T836" i="721"/>
  <c r="N836" i="721"/>
  <c r="J836" i="721"/>
  <c r="AA836" i="721"/>
  <c r="Y836" i="721"/>
  <c r="R835" i="721"/>
  <c r="L835" i="721"/>
  <c r="P835" i="721"/>
  <c r="T835" i="721"/>
  <c r="N835" i="721"/>
  <c r="J835" i="721"/>
  <c r="AA835" i="721"/>
  <c r="Y835" i="721"/>
  <c r="R834" i="721"/>
  <c r="L834" i="721"/>
  <c r="P834" i="721"/>
  <c r="T834" i="721"/>
  <c r="N834" i="721"/>
  <c r="J834" i="721"/>
  <c r="AA834" i="721"/>
  <c r="Y834" i="721"/>
  <c r="R833" i="721"/>
  <c r="L833" i="721"/>
  <c r="P833" i="721"/>
  <c r="T833" i="721"/>
  <c r="N833" i="721"/>
  <c r="J833" i="721"/>
  <c r="AA833" i="721"/>
  <c r="Y833" i="721"/>
  <c r="R832" i="721"/>
  <c r="R831" i="721"/>
  <c r="R830" i="721"/>
  <c r="L832" i="721"/>
  <c r="P832" i="721"/>
  <c r="T832" i="721"/>
  <c r="N832" i="721"/>
  <c r="N831" i="721"/>
  <c r="N830" i="721"/>
  <c r="J832" i="721"/>
  <c r="AA832" i="721"/>
  <c r="Y832" i="721"/>
  <c r="R821" i="721"/>
  <c r="L821" i="721"/>
  <c r="P821" i="721"/>
  <c r="T821" i="721"/>
  <c r="N821" i="721"/>
  <c r="J821" i="721"/>
  <c r="AA821" i="721"/>
  <c r="Y821" i="721"/>
  <c r="R814" i="721"/>
  <c r="L814" i="721"/>
  <c r="P814" i="721"/>
  <c r="T814" i="721"/>
  <c r="J814" i="721"/>
  <c r="N814" i="721"/>
  <c r="AA814" i="721"/>
  <c r="Y814" i="721"/>
  <c r="J812" i="721"/>
  <c r="R808" i="721"/>
  <c r="L808" i="721"/>
  <c r="P808" i="721"/>
  <c r="T808" i="721"/>
  <c r="N808" i="721"/>
  <c r="J808" i="721"/>
  <c r="AA808" i="721"/>
  <c r="AC808" i="721"/>
  <c r="Y808" i="721"/>
  <c r="W808" i="721"/>
  <c r="AE808" i="721"/>
  <c r="R805" i="721"/>
  <c r="T805" i="721"/>
  <c r="P805" i="721"/>
  <c r="L805" i="721"/>
  <c r="N805" i="721"/>
  <c r="J805" i="721"/>
  <c r="AA805" i="721"/>
  <c r="AC805" i="721"/>
  <c r="Y805" i="721"/>
  <c r="W805" i="721"/>
  <c r="AE805" i="721"/>
  <c r="T800" i="721"/>
  <c r="N800" i="721"/>
  <c r="R800" i="721"/>
  <c r="L800" i="721"/>
  <c r="P800" i="721"/>
  <c r="J800" i="721"/>
  <c r="AA800" i="721"/>
  <c r="Y800" i="721"/>
  <c r="T799" i="721"/>
  <c r="N799" i="721"/>
  <c r="R799" i="721"/>
  <c r="L799" i="721"/>
  <c r="P799" i="721"/>
  <c r="J799" i="721"/>
  <c r="AA799" i="721"/>
  <c r="AC799" i="721"/>
  <c r="Y799" i="721"/>
  <c r="W799" i="721"/>
  <c r="AE799" i="721"/>
  <c r="T798" i="721"/>
  <c r="N798" i="721"/>
  <c r="R798" i="721"/>
  <c r="L798" i="721"/>
  <c r="P798" i="721"/>
  <c r="J798" i="721"/>
  <c r="AA798" i="721"/>
  <c r="Y798" i="721"/>
  <c r="T797" i="721"/>
  <c r="N797" i="721"/>
  <c r="R797" i="721"/>
  <c r="L797" i="721"/>
  <c r="P797" i="721"/>
  <c r="J797" i="721"/>
  <c r="AA797" i="721"/>
  <c r="Y797" i="721"/>
  <c r="T796" i="721"/>
  <c r="N796" i="721"/>
  <c r="R796" i="721"/>
  <c r="L796" i="721"/>
  <c r="P796" i="721"/>
  <c r="J796" i="721"/>
  <c r="AA796" i="721"/>
  <c r="Y796" i="721"/>
  <c r="T794" i="721"/>
  <c r="N794" i="721"/>
  <c r="R794" i="721"/>
  <c r="L794" i="721"/>
  <c r="P794" i="721"/>
  <c r="J794" i="721"/>
  <c r="AA794" i="721"/>
  <c r="Y794" i="721"/>
  <c r="T793" i="721"/>
  <c r="N793" i="721"/>
  <c r="R793" i="721"/>
  <c r="L793" i="721"/>
  <c r="P793" i="721"/>
  <c r="J793" i="721"/>
  <c r="AA793" i="721"/>
  <c r="AC793" i="721"/>
  <c r="Y793" i="721"/>
  <c r="W793" i="721"/>
  <c r="AE793" i="721"/>
  <c r="T792" i="721"/>
  <c r="N792" i="721"/>
  <c r="R792" i="721"/>
  <c r="L792" i="721"/>
  <c r="P792" i="721"/>
  <c r="J792" i="721"/>
  <c r="AA792" i="721"/>
  <c r="Y792" i="721"/>
  <c r="T791" i="721"/>
  <c r="N791" i="721"/>
  <c r="R791" i="721"/>
  <c r="L791" i="721"/>
  <c r="P791" i="721"/>
  <c r="J791" i="721"/>
  <c r="AA791" i="721"/>
  <c r="AC791" i="721"/>
  <c r="Y791" i="721"/>
  <c r="W791" i="721"/>
  <c r="AE791" i="721"/>
  <c r="T790" i="721"/>
  <c r="N790" i="721"/>
  <c r="R790" i="721"/>
  <c r="L790" i="721"/>
  <c r="P790" i="721"/>
  <c r="J790" i="721"/>
  <c r="AA790" i="721"/>
  <c r="Y790" i="721"/>
  <c r="T789" i="721"/>
  <c r="N789" i="721"/>
  <c r="R789" i="721"/>
  <c r="L789" i="721"/>
  <c r="P789" i="721"/>
  <c r="J789" i="721"/>
  <c r="AA789" i="721"/>
  <c r="AC789" i="721"/>
  <c r="Y789" i="721"/>
  <c r="W789" i="721"/>
  <c r="AE789" i="721"/>
  <c r="T788" i="721"/>
  <c r="N788" i="721"/>
  <c r="R788" i="721"/>
  <c r="L788" i="721"/>
  <c r="P788" i="721"/>
  <c r="J788" i="721"/>
  <c r="AA788" i="721"/>
  <c r="Y788" i="721"/>
  <c r="T787" i="721"/>
  <c r="N787" i="721"/>
  <c r="R787" i="721"/>
  <c r="L787" i="721"/>
  <c r="P787" i="721"/>
  <c r="J787" i="721"/>
  <c r="AA787" i="721"/>
  <c r="AC787" i="721"/>
  <c r="Y787" i="721"/>
  <c r="W787" i="721"/>
  <c r="AE787" i="721"/>
  <c r="T786" i="721"/>
  <c r="N786" i="721"/>
  <c r="R786" i="721"/>
  <c r="L786" i="721"/>
  <c r="P786" i="721"/>
  <c r="J786" i="721"/>
  <c r="AA786" i="721"/>
  <c r="AC786" i="721"/>
  <c r="Y786" i="721"/>
  <c r="W786" i="721"/>
  <c r="AE786" i="721"/>
  <c r="T785" i="721"/>
  <c r="N785" i="721"/>
  <c r="R785" i="721"/>
  <c r="L785" i="721"/>
  <c r="P785" i="721"/>
  <c r="J785" i="721"/>
  <c r="AA785" i="721"/>
  <c r="Y785" i="721"/>
  <c r="R780" i="721"/>
  <c r="L780" i="721"/>
  <c r="P780" i="721"/>
  <c r="T780" i="721"/>
  <c r="J780" i="721"/>
  <c r="N780" i="721"/>
  <c r="R779" i="721"/>
  <c r="L779" i="721"/>
  <c r="P779" i="721"/>
  <c r="T779" i="721"/>
  <c r="J779" i="721"/>
  <c r="N779" i="721"/>
  <c r="T772" i="721"/>
  <c r="J772" i="721"/>
  <c r="N772" i="721"/>
  <c r="R772" i="721"/>
  <c r="L772" i="721"/>
  <c r="P772" i="721"/>
  <c r="AA772" i="721"/>
  <c r="Y772" i="721"/>
  <c r="T771" i="721"/>
  <c r="J771" i="721"/>
  <c r="N771" i="721"/>
  <c r="R771" i="721"/>
  <c r="L771" i="721"/>
  <c r="P771" i="721"/>
  <c r="T767" i="721"/>
  <c r="J767" i="721"/>
  <c r="N767" i="721"/>
  <c r="R767" i="721"/>
  <c r="L767" i="721"/>
  <c r="L766" i="721"/>
  <c r="L764" i="721"/>
  <c r="P767" i="721"/>
  <c r="Y767" i="721"/>
  <c r="J766" i="721"/>
  <c r="R763" i="721"/>
  <c r="L763" i="721"/>
  <c r="P763" i="721"/>
  <c r="T763" i="721"/>
  <c r="J763" i="721"/>
  <c r="N763" i="721"/>
  <c r="AA763" i="721"/>
  <c r="Y763" i="721"/>
  <c r="J762" i="721"/>
  <c r="AA754" i="721"/>
  <c r="Y754" i="721"/>
  <c r="Y753" i="721"/>
  <c r="Y752" i="721"/>
  <c r="T751" i="721"/>
  <c r="N751" i="721"/>
  <c r="R751" i="721"/>
  <c r="L751" i="721"/>
  <c r="P751" i="721"/>
  <c r="J751" i="721"/>
  <c r="AA751" i="721"/>
  <c r="Y751" i="721"/>
  <c r="T750" i="721"/>
  <c r="N750" i="721"/>
  <c r="R750" i="721"/>
  <c r="L750" i="721"/>
  <c r="P750" i="721"/>
  <c r="J750" i="721"/>
  <c r="AA750" i="721"/>
  <c r="AC750" i="721"/>
  <c r="Y750" i="721"/>
  <c r="W750" i="721"/>
  <c r="AE750" i="721"/>
  <c r="T749" i="721"/>
  <c r="N749" i="721"/>
  <c r="R749" i="721"/>
  <c r="L749" i="721"/>
  <c r="P749" i="721"/>
  <c r="J749" i="721"/>
  <c r="AA749" i="721"/>
  <c r="Y749" i="721"/>
  <c r="T748" i="721"/>
  <c r="N748" i="721"/>
  <c r="R748" i="721"/>
  <c r="L748" i="721"/>
  <c r="P748" i="721"/>
  <c r="J748" i="721"/>
  <c r="AA748" i="721"/>
  <c r="Y748" i="721"/>
  <c r="T747" i="721"/>
  <c r="N747" i="721"/>
  <c r="R747" i="721"/>
  <c r="L747" i="721"/>
  <c r="P747" i="721"/>
  <c r="J747" i="721"/>
  <c r="AA747" i="721"/>
  <c r="Y747" i="721"/>
  <c r="T746" i="721"/>
  <c r="N746" i="721"/>
  <c r="R746" i="721"/>
  <c r="L746" i="721"/>
  <c r="P746" i="721"/>
  <c r="J746" i="721"/>
  <c r="AA746" i="721"/>
  <c r="Y746" i="721"/>
  <c r="Y745" i="721"/>
  <c r="Y744" i="721"/>
  <c r="T743" i="721"/>
  <c r="N743" i="721"/>
  <c r="R743" i="721"/>
  <c r="L743" i="721"/>
  <c r="P743" i="721"/>
  <c r="J743" i="721"/>
  <c r="AA743" i="721"/>
  <c r="Y743" i="721"/>
  <c r="T742" i="721"/>
  <c r="N742" i="721"/>
  <c r="R742" i="721"/>
  <c r="L742" i="721"/>
  <c r="P742" i="721"/>
  <c r="J742" i="721"/>
  <c r="AA742" i="721"/>
  <c r="Y742" i="721"/>
  <c r="T741" i="721"/>
  <c r="N741" i="721"/>
  <c r="R741" i="721"/>
  <c r="L741" i="721"/>
  <c r="P741" i="721"/>
  <c r="J741" i="721"/>
  <c r="AA741" i="721"/>
  <c r="Y741" i="721"/>
  <c r="T740" i="721"/>
  <c r="N740" i="721"/>
  <c r="R740" i="721"/>
  <c r="L740" i="721"/>
  <c r="P740" i="721"/>
  <c r="J740" i="721"/>
  <c r="AA740" i="721"/>
  <c r="AC740" i="721"/>
  <c r="Y740" i="721"/>
  <c r="W740" i="721"/>
  <c r="AE740" i="721"/>
  <c r="T739" i="721"/>
  <c r="N739" i="721"/>
  <c r="R739" i="721"/>
  <c r="L739" i="721"/>
  <c r="P739" i="721"/>
  <c r="J739" i="721"/>
  <c r="AA739" i="721"/>
  <c r="Y739" i="721"/>
  <c r="T738" i="721"/>
  <c r="N738" i="721"/>
  <c r="R738" i="721"/>
  <c r="L738" i="721"/>
  <c r="P738" i="721"/>
  <c r="J738" i="721"/>
  <c r="AA738" i="721"/>
  <c r="Y738" i="721"/>
  <c r="T737" i="721"/>
  <c r="N737" i="721"/>
  <c r="R737" i="721"/>
  <c r="L737" i="721"/>
  <c r="P737" i="721"/>
  <c r="J737" i="721"/>
  <c r="AA737" i="721"/>
  <c r="Y737" i="721"/>
  <c r="T736" i="721"/>
  <c r="N736" i="721"/>
  <c r="R736" i="721"/>
  <c r="L736" i="721"/>
  <c r="P736" i="721"/>
  <c r="J736" i="721"/>
  <c r="AA736" i="721"/>
  <c r="AC736" i="721"/>
  <c r="Y736" i="721"/>
  <c r="W736" i="721"/>
  <c r="AE736" i="721"/>
  <c r="R720" i="721"/>
  <c r="L720" i="721"/>
  <c r="P720" i="721"/>
  <c r="T720" i="721"/>
  <c r="J720" i="721"/>
  <c r="N720" i="721"/>
  <c r="AA720" i="721"/>
  <c r="AC720" i="721"/>
  <c r="Y720" i="721"/>
  <c r="W720" i="721"/>
  <c r="AE720" i="721"/>
  <c r="R719" i="721"/>
  <c r="L719" i="721"/>
  <c r="P719" i="721"/>
  <c r="P718" i="721"/>
  <c r="P716" i="721"/>
  <c r="T719" i="721"/>
  <c r="T718" i="721"/>
  <c r="T716" i="721"/>
  <c r="J719" i="721"/>
  <c r="N719" i="721"/>
  <c r="T709" i="721"/>
  <c r="L709" i="721"/>
  <c r="P709" i="721"/>
  <c r="N709" i="721"/>
  <c r="R709" i="721"/>
  <c r="J709" i="721"/>
  <c r="AA709" i="721"/>
  <c r="Y709" i="721"/>
  <c r="T708" i="721"/>
  <c r="L708" i="721"/>
  <c r="P708" i="721"/>
  <c r="N708" i="721"/>
  <c r="R708" i="721"/>
  <c r="J708" i="721"/>
  <c r="AA708" i="721"/>
  <c r="Y708" i="721"/>
  <c r="T707" i="721"/>
  <c r="L707" i="721"/>
  <c r="N707" i="721"/>
  <c r="R707" i="721"/>
  <c r="P707" i="721"/>
  <c r="J707" i="721"/>
  <c r="AA707" i="721"/>
  <c r="Y707" i="721"/>
  <c r="T703" i="721"/>
  <c r="N703" i="721"/>
  <c r="R703" i="721"/>
  <c r="L703" i="721"/>
  <c r="P703" i="721"/>
  <c r="J703" i="721"/>
  <c r="AA703" i="721"/>
  <c r="Y703" i="721"/>
  <c r="AA700" i="721"/>
  <c r="AC700" i="721"/>
  <c r="T700" i="721"/>
  <c r="AE700" i="721"/>
  <c r="Y700" i="721"/>
  <c r="R699" i="721"/>
  <c r="L699" i="721"/>
  <c r="P699" i="721"/>
  <c r="T699" i="721"/>
  <c r="N699" i="721"/>
  <c r="J699" i="721"/>
  <c r="AA699" i="721"/>
  <c r="AC699" i="721"/>
  <c r="Y699" i="721"/>
  <c r="W699" i="721"/>
  <c r="AE699" i="721"/>
  <c r="AA696" i="721"/>
  <c r="Y696" i="721"/>
  <c r="R695" i="721"/>
  <c r="R694" i="721"/>
  <c r="R696" i="721"/>
  <c r="R693" i="721"/>
  <c r="L695" i="721"/>
  <c r="P695" i="721"/>
  <c r="T695" i="721"/>
  <c r="N695" i="721"/>
  <c r="J695" i="721"/>
  <c r="J694" i="721"/>
  <c r="J696" i="721"/>
  <c r="J693" i="721"/>
  <c r="AA695" i="721"/>
  <c r="Y695" i="721"/>
  <c r="AA689" i="721"/>
  <c r="Y689" i="721"/>
  <c r="R685" i="721"/>
  <c r="L685" i="721"/>
  <c r="P685" i="721"/>
  <c r="T685" i="721"/>
  <c r="N685" i="721"/>
  <c r="J685" i="721"/>
  <c r="AA685" i="721"/>
  <c r="Y685" i="721"/>
  <c r="R684" i="721"/>
  <c r="L684" i="721"/>
  <c r="P684" i="721"/>
  <c r="T684" i="721"/>
  <c r="N684" i="721"/>
  <c r="J684" i="721"/>
  <c r="AA684" i="721"/>
  <c r="AC684" i="721"/>
  <c r="Y684" i="721"/>
  <c r="W684" i="721"/>
  <c r="AE684" i="721"/>
  <c r="R683" i="721"/>
  <c r="L683" i="721"/>
  <c r="P683" i="721"/>
  <c r="T683" i="721"/>
  <c r="N683" i="721"/>
  <c r="J683" i="721"/>
  <c r="AA683" i="721"/>
  <c r="Y683" i="721"/>
  <c r="R682" i="721"/>
  <c r="L682" i="721"/>
  <c r="P682" i="721"/>
  <c r="T682" i="721"/>
  <c r="N682" i="721"/>
  <c r="J682" i="721"/>
  <c r="AA682" i="721"/>
  <c r="AC682" i="721"/>
  <c r="Y682" i="721"/>
  <c r="W682" i="721"/>
  <c r="AE682" i="721"/>
  <c r="R681" i="721"/>
  <c r="L681" i="721"/>
  <c r="P681" i="721"/>
  <c r="T681" i="721"/>
  <c r="T680" i="721"/>
  <c r="T686" i="721"/>
  <c r="T679" i="721"/>
  <c r="N681" i="721"/>
  <c r="J681" i="721"/>
  <c r="AA681" i="721"/>
  <c r="Y681" i="721"/>
  <c r="R678" i="721"/>
  <c r="L678" i="721"/>
  <c r="P678" i="721"/>
  <c r="T678" i="721"/>
  <c r="N678" i="721"/>
  <c r="J678" i="721"/>
  <c r="AA678" i="721"/>
  <c r="AC678" i="721"/>
  <c r="Y678" i="721"/>
  <c r="W678" i="721"/>
  <c r="AE678" i="721"/>
  <c r="R677" i="721"/>
  <c r="L677" i="721"/>
  <c r="P677" i="721"/>
  <c r="T677" i="721"/>
  <c r="N677" i="721"/>
  <c r="J677" i="721"/>
  <c r="AA677" i="721"/>
  <c r="Y677" i="721"/>
  <c r="R676" i="721"/>
  <c r="L676" i="721"/>
  <c r="P676" i="721"/>
  <c r="T676" i="721"/>
  <c r="N676" i="721"/>
  <c r="J676" i="721"/>
  <c r="AA676" i="721"/>
  <c r="Y676" i="721"/>
  <c r="R675" i="721"/>
  <c r="L675" i="721"/>
  <c r="P675" i="721"/>
  <c r="T675" i="721"/>
  <c r="N675" i="721"/>
  <c r="J675" i="721"/>
  <c r="AA675" i="721"/>
  <c r="Y675" i="721"/>
  <c r="R674" i="721"/>
  <c r="L674" i="721"/>
  <c r="P674" i="721"/>
  <c r="T674" i="721"/>
  <c r="N674" i="721"/>
  <c r="J674" i="721"/>
  <c r="AA674" i="721"/>
  <c r="Y674" i="721"/>
  <c r="R671" i="721"/>
  <c r="L671" i="721"/>
  <c r="P671" i="721"/>
  <c r="T671" i="721"/>
  <c r="N671" i="721"/>
  <c r="J671" i="721"/>
  <c r="AA671" i="721"/>
  <c r="Y671" i="721"/>
  <c r="R670" i="721"/>
  <c r="L670" i="721"/>
  <c r="P670" i="721"/>
  <c r="T670" i="721"/>
  <c r="N670" i="721"/>
  <c r="J670" i="721"/>
  <c r="AA670" i="721"/>
  <c r="Y670" i="721"/>
  <c r="R669" i="721"/>
  <c r="L669" i="721"/>
  <c r="P669" i="721"/>
  <c r="T669" i="721"/>
  <c r="N669" i="721"/>
  <c r="J669" i="721"/>
  <c r="AA669" i="721"/>
  <c r="Y669" i="721"/>
  <c r="AA668" i="721"/>
  <c r="Y668" i="721"/>
  <c r="R667" i="721"/>
  <c r="L667" i="721"/>
  <c r="P667" i="721"/>
  <c r="T667" i="721"/>
  <c r="N667" i="721"/>
  <c r="J667" i="721"/>
  <c r="AA667" i="721"/>
  <c r="Y667" i="721"/>
  <c r="R661" i="721"/>
  <c r="L661" i="721"/>
  <c r="P661" i="721"/>
  <c r="T661" i="721"/>
  <c r="J661" i="721"/>
  <c r="N661" i="721"/>
  <c r="N660" i="721"/>
  <c r="N658" i="721"/>
  <c r="AA661" i="721"/>
  <c r="R657" i="721"/>
  <c r="L657" i="721"/>
  <c r="P657" i="721"/>
  <c r="T657" i="721"/>
  <c r="J657" i="721"/>
  <c r="N657" i="721"/>
  <c r="AA657" i="721"/>
  <c r="R656" i="721"/>
  <c r="L656" i="721"/>
  <c r="P656" i="721"/>
  <c r="T656" i="721"/>
  <c r="J656" i="721"/>
  <c r="N656" i="721"/>
  <c r="R652" i="721"/>
  <c r="L652" i="721"/>
  <c r="P652" i="721"/>
  <c r="T652" i="721"/>
  <c r="J652" i="721"/>
  <c r="N652" i="721"/>
  <c r="AA652" i="721"/>
  <c r="Y652" i="721"/>
  <c r="T651" i="721"/>
  <c r="L651" i="721"/>
  <c r="J651" i="721"/>
  <c r="N651" i="721"/>
  <c r="R651" i="721"/>
  <c r="P651" i="721"/>
  <c r="AA644" i="721"/>
  <c r="AA643" i="721"/>
  <c r="AA642" i="721"/>
  <c r="Y644" i="721"/>
  <c r="Y643" i="721"/>
  <c r="Y642" i="721"/>
  <c r="T641" i="721"/>
  <c r="N641" i="721"/>
  <c r="R641" i="721"/>
  <c r="L641" i="721"/>
  <c r="P641" i="721"/>
  <c r="J641" i="721"/>
  <c r="AA641" i="721"/>
  <c r="Y641" i="721"/>
  <c r="T640" i="721"/>
  <c r="N640" i="721"/>
  <c r="R640" i="721"/>
  <c r="L640" i="721"/>
  <c r="P640" i="721"/>
  <c r="J640" i="721"/>
  <c r="AA640" i="721"/>
  <c r="Y640" i="721"/>
  <c r="T639" i="721"/>
  <c r="N639" i="721"/>
  <c r="R639" i="721"/>
  <c r="L639" i="721"/>
  <c r="P639" i="721"/>
  <c r="J639" i="721"/>
  <c r="AA639" i="721"/>
  <c r="Y639" i="721"/>
  <c r="T638" i="721"/>
  <c r="N638" i="721"/>
  <c r="R638" i="721"/>
  <c r="L638" i="721"/>
  <c r="P638" i="721"/>
  <c r="J638" i="721"/>
  <c r="AA638" i="721"/>
  <c r="Y638" i="721"/>
  <c r="T637" i="721"/>
  <c r="N637" i="721"/>
  <c r="R637" i="721"/>
  <c r="L637" i="721"/>
  <c r="P637" i="721"/>
  <c r="J637" i="721"/>
  <c r="AA637" i="721"/>
  <c r="Y637" i="721"/>
  <c r="T636" i="721"/>
  <c r="N636" i="721"/>
  <c r="R636" i="721"/>
  <c r="L636" i="721"/>
  <c r="P636" i="721"/>
  <c r="J636" i="721"/>
  <c r="AA636" i="721"/>
  <c r="AC636" i="721"/>
  <c r="Y636" i="721"/>
  <c r="W636" i="721"/>
  <c r="AE636" i="721"/>
  <c r="T635" i="721"/>
  <c r="N635" i="721"/>
  <c r="R635" i="721"/>
  <c r="L635" i="721"/>
  <c r="L634" i="721"/>
  <c r="L633" i="721"/>
  <c r="P635" i="721"/>
  <c r="J635" i="721"/>
  <c r="AA635" i="721"/>
  <c r="Y635" i="721"/>
  <c r="T632" i="721"/>
  <c r="J632" i="721"/>
  <c r="N632" i="721"/>
  <c r="R632" i="721"/>
  <c r="L632" i="721"/>
  <c r="P632" i="721"/>
  <c r="AA632" i="721"/>
  <c r="AC632" i="721"/>
  <c r="W632" i="721"/>
  <c r="AE632" i="721"/>
  <c r="T631" i="721"/>
  <c r="J631" i="721"/>
  <c r="N631" i="721"/>
  <c r="N630" i="721"/>
  <c r="N628" i="721"/>
  <c r="R631" i="721"/>
  <c r="L631" i="721"/>
  <c r="P631" i="721"/>
  <c r="R624" i="721"/>
  <c r="L624" i="721"/>
  <c r="P624" i="721"/>
  <c r="T624" i="721"/>
  <c r="N624" i="721"/>
  <c r="J624" i="721"/>
  <c r="AA624" i="721"/>
  <c r="Y624" i="721"/>
  <c r="R623" i="721"/>
  <c r="L623" i="721"/>
  <c r="P623" i="721"/>
  <c r="T623" i="721"/>
  <c r="N623" i="721"/>
  <c r="J623" i="721"/>
  <c r="AA623" i="721"/>
  <c r="Y623" i="721"/>
  <c r="R622" i="721"/>
  <c r="L622" i="721"/>
  <c r="P622" i="721"/>
  <c r="T622" i="721"/>
  <c r="N622" i="721"/>
  <c r="J622" i="721"/>
  <c r="AA622" i="721"/>
  <c r="Y622" i="721"/>
  <c r="R621" i="721"/>
  <c r="L621" i="721"/>
  <c r="P621" i="721"/>
  <c r="T621" i="721"/>
  <c r="N621" i="721"/>
  <c r="J621" i="721"/>
  <c r="AA621" i="721"/>
  <c r="Y621" i="721"/>
  <c r="R620" i="721"/>
  <c r="L620" i="721"/>
  <c r="P620" i="721"/>
  <c r="T620" i="721"/>
  <c r="N620" i="721"/>
  <c r="J620" i="721"/>
  <c r="AA620" i="721"/>
  <c r="Y620" i="721"/>
  <c r="R619" i="721"/>
  <c r="L619" i="721"/>
  <c r="P619" i="721"/>
  <c r="T619" i="721"/>
  <c r="N619" i="721"/>
  <c r="J619" i="721"/>
  <c r="AA619" i="721"/>
  <c r="Y619" i="721"/>
  <c r="T617" i="721"/>
  <c r="N617" i="721"/>
  <c r="R617" i="721"/>
  <c r="L617" i="721"/>
  <c r="P617" i="721"/>
  <c r="J617" i="721"/>
  <c r="AA617" i="721"/>
  <c r="Y617" i="721"/>
  <c r="T616" i="721"/>
  <c r="N616" i="721"/>
  <c r="R616" i="721"/>
  <c r="L616" i="721"/>
  <c r="P616" i="721"/>
  <c r="J616" i="721"/>
  <c r="AA616" i="721"/>
  <c r="Y616" i="721"/>
  <c r="R613" i="721"/>
  <c r="L613" i="721"/>
  <c r="P613" i="721"/>
  <c r="T613" i="721"/>
  <c r="N613" i="721"/>
  <c r="J613" i="721"/>
  <c r="AA613" i="721"/>
  <c r="Y613" i="721"/>
  <c r="R612" i="721"/>
  <c r="AC612" i="721"/>
  <c r="AA612" i="721"/>
  <c r="Y612" i="721"/>
  <c r="W612" i="721"/>
  <c r="T612" i="721"/>
  <c r="P612" i="721"/>
  <c r="N612" i="721"/>
  <c r="L612" i="721"/>
  <c r="AE612" i="721"/>
  <c r="J612" i="721"/>
  <c r="T601" i="721"/>
  <c r="N601" i="721"/>
  <c r="R601" i="721"/>
  <c r="L601" i="721"/>
  <c r="P601" i="721"/>
  <c r="J601" i="721"/>
  <c r="AA601" i="721"/>
  <c r="Y601" i="721"/>
  <c r="T600" i="721"/>
  <c r="N600" i="721"/>
  <c r="R600" i="721"/>
  <c r="L600" i="721"/>
  <c r="P600" i="721"/>
  <c r="J600" i="721"/>
  <c r="AA600" i="721"/>
  <c r="Y600" i="721"/>
  <c r="T599" i="721"/>
  <c r="N599" i="721"/>
  <c r="R599" i="721"/>
  <c r="L599" i="721"/>
  <c r="P599" i="721"/>
  <c r="J599" i="721"/>
  <c r="AA599" i="721"/>
  <c r="Y599" i="721"/>
  <c r="T598" i="721"/>
  <c r="N598" i="721"/>
  <c r="R598" i="721"/>
  <c r="L598" i="721"/>
  <c r="P598" i="721"/>
  <c r="J598" i="721"/>
  <c r="AA598" i="721"/>
  <c r="Y598" i="721"/>
  <c r="R596" i="721"/>
  <c r="L596" i="721"/>
  <c r="P596" i="721"/>
  <c r="T596" i="721"/>
  <c r="N596" i="721"/>
  <c r="J596" i="721"/>
  <c r="AA596" i="721"/>
  <c r="Y596" i="721"/>
  <c r="R565" i="721"/>
  <c r="L565" i="721"/>
  <c r="P565" i="721"/>
  <c r="T565" i="721"/>
  <c r="N565" i="721"/>
  <c r="J565" i="721"/>
  <c r="AA565" i="721"/>
  <c r="Y565" i="721"/>
  <c r="R564" i="721"/>
  <c r="L564" i="721"/>
  <c r="P564" i="721"/>
  <c r="T564" i="721"/>
  <c r="N564" i="721"/>
  <c r="J564" i="721"/>
  <c r="AA564" i="721"/>
  <c r="Y564" i="721"/>
  <c r="R563" i="721"/>
  <c r="L563" i="721"/>
  <c r="P563" i="721"/>
  <c r="T563" i="721"/>
  <c r="N563" i="721"/>
  <c r="J563" i="721"/>
  <c r="AA563" i="721"/>
  <c r="Y563" i="721"/>
  <c r="R562" i="721"/>
  <c r="L562" i="721"/>
  <c r="P562" i="721"/>
  <c r="T562" i="721"/>
  <c r="N562" i="721"/>
  <c r="J562" i="721"/>
  <c r="AA562" i="721"/>
  <c r="Y562" i="721"/>
  <c r="R558" i="721"/>
  <c r="L558" i="721"/>
  <c r="P558" i="721"/>
  <c r="T558" i="721"/>
  <c r="J558" i="721"/>
  <c r="N558" i="721"/>
  <c r="AA558" i="721"/>
  <c r="Y558" i="721"/>
  <c r="R557" i="721"/>
  <c r="R556" i="721"/>
  <c r="R554" i="721"/>
  <c r="L557" i="721"/>
  <c r="P557" i="721"/>
  <c r="T557" i="721"/>
  <c r="J557" i="721"/>
  <c r="N557" i="721"/>
  <c r="R552" i="721"/>
  <c r="L552" i="721"/>
  <c r="P552" i="721"/>
  <c r="T552" i="721"/>
  <c r="N552" i="721"/>
  <c r="J552" i="721"/>
  <c r="AA552" i="721"/>
  <c r="Y552" i="721"/>
  <c r="R551" i="721"/>
  <c r="L551" i="721"/>
  <c r="P551" i="721"/>
  <c r="T551" i="721"/>
  <c r="N551" i="721"/>
  <c r="J551" i="721"/>
  <c r="AA551" i="721"/>
  <c r="AC551" i="721"/>
  <c r="Y551" i="721"/>
  <c r="W551" i="721"/>
  <c r="AE551" i="721"/>
  <c r="R542" i="721"/>
  <c r="L542" i="721"/>
  <c r="P542" i="721"/>
  <c r="T542" i="721"/>
  <c r="J542" i="721"/>
  <c r="N542" i="721"/>
  <c r="AA542" i="721"/>
  <c r="AC542" i="721"/>
  <c r="Y542" i="721"/>
  <c r="W542" i="721"/>
  <c r="AE542" i="721"/>
  <c r="R541" i="721"/>
  <c r="L541" i="721"/>
  <c r="P541" i="721"/>
  <c r="T541" i="721"/>
  <c r="J541" i="721"/>
  <c r="N541" i="721"/>
  <c r="R536" i="721"/>
  <c r="AC536" i="721"/>
  <c r="AA536" i="721"/>
  <c r="Y536" i="721"/>
  <c r="W536" i="721"/>
  <c r="T536" i="721"/>
  <c r="P536" i="721"/>
  <c r="N536" i="721"/>
  <c r="L536" i="721"/>
  <c r="AE536" i="721"/>
  <c r="J536" i="721"/>
  <c r="R535" i="721"/>
  <c r="L535" i="721"/>
  <c r="P535" i="721"/>
  <c r="T535" i="721"/>
  <c r="J535" i="721"/>
  <c r="N535" i="721"/>
  <c r="R534" i="721"/>
  <c r="L534" i="721"/>
  <c r="P534" i="721"/>
  <c r="T534" i="721"/>
  <c r="J534" i="721"/>
  <c r="N534" i="721"/>
  <c r="AA530" i="721"/>
  <c r="AA529" i="721"/>
  <c r="Y530" i="721"/>
  <c r="Y529" i="721"/>
  <c r="AA528" i="721"/>
  <c r="AA527" i="721"/>
  <c r="Y528" i="721"/>
  <c r="Y527" i="721"/>
  <c r="AA526" i="721"/>
  <c r="AC526" i="721"/>
  <c r="Y526" i="721"/>
  <c r="W526" i="721"/>
  <c r="T526" i="721"/>
  <c r="R526" i="721"/>
  <c r="P526" i="721"/>
  <c r="N526" i="721"/>
  <c r="L526" i="721"/>
  <c r="AE526" i="721"/>
  <c r="Y525" i="721"/>
  <c r="Y524" i="721"/>
  <c r="T521" i="721"/>
  <c r="N521" i="721"/>
  <c r="R521" i="721"/>
  <c r="L521" i="721"/>
  <c r="P521" i="721"/>
  <c r="J521" i="721"/>
  <c r="AA521" i="721"/>
  <c r="Y521" i="721"/>
  <c r="R519" i="721"/>
  <c r="L519" i="721"/>
  <c r="P519" i="721"/>
  <c r="T519" i="721"/>
  <c r="N519" i="721"/>
  <c r="J519" i="721"/>
  <c r="AA519" i="721"/>
  <c r="AC519" i="721"/>
  <c r="Y519" i="721"/>
  <c r="W519" i="721"/>
  <c r="AE519" i="721"/>
  <c r="R513" i="721"/>
  <c r="P513" i="721"/>
  <c r="N513" i="721"/>
  <c r="T513" i="721"/>
  <c r="L513" i="721"/>
  <c r="AE513" i="721"/>
  <c r="J513" i="721"/>
  <c r="AA510" i="721"/>
  <c r="AA509" i="721"/>
  <c r="Y510" i="721"/>
  <c r="Y509" i="721"/>
  <c r="AA508" i="721"/>
  <c r="Y508" i="721"/>
  <c r="AA501" i="721"/>
  <c r="AC501" i="721"/>
  <c r="Y501" i="721"/>
  <c r="W501" i="721"/>
  <c r="T501" i="721"/>
  <c r="R501" i="721"/>
  <c r="P501" i="721"/>
  <c r="N501" i="721"/>
  <c r="L501" i="721"/>
  <c r="AE501" i="721"/>
  <c r="R494" i="721"/>
  <c r="L494" i="721"/>
  <c r="P494" i="721"/>
  <c r="T494" i="721"/>
  <c r="J494" i="721"/>
  <c r="N494" i="721"/>
  <c r="AA494" i="721"/>
  <c r="Y494" i="721"/>
  <c r="R487" i="721"/>
  <c r="L487" i="721"/>
  <c r="P487" i="721"/>
  <c r="T487" i="721"/>
  <c r="N487" i="721"/>
  <c r="J487" i="721"/>
  <c r="AA487" i="721"/>
  <c r="Y487" i="721"/>
  <c r="R484" i="721"/>
  <c r="L484" i="721"/>
  <c r="P484" i="721"/>
  <c r="T484" i="721"/>
  <c r="N484" i="721"/>
  <c r="J484" i="721"/>
  <c r="AA484" i="721"/>
  <c r="AC484" i="721"/>
  <c r="Y484" i="721"/>
  <c r="W484" i="721"/>
  <c r="AE484" i="721"/>
  <c r="R478" i="721"/>
  <c r="L478" i="721"/>
  <c r="P478" i="721"/>
  <c r="T478" i="721"/>
  <c r="J478" i="721"/>
  <c r="N478" i="721"/>
  <c r="AA478" i="721"/>
  <c r="Y478" i="721"/>
  <c r="R474" i="721"/>
  <c r="L474" i="721"/>
  <c r="T474" i="721"/>
  <c r="P474" i="721"/>
  <c r="J474" i="721"/>
  <c r="N474" i="721"/>
  <c r="AA474" i="721"/>
  <c r="Y474" i="721"/>
  <c r="AA372" i="721"/>
  <c r="Y372" i="721"/>
  <c r="R369" i="721"/>
  <c r="L369" i="721"/>
  <c r="T369" i="721"/>
  <c r="P369" i="721"/>
  <c r="N369" i="721"/>
  <c r="J369" i="721"/>
  <c r="AA369" i="721"/>
  <c r="Y369" i="721"/>
  <c r="R368" i="721"/>
  <c r="P368" i="721"/>
  <c r="L368" i="721"/>
  <c r="T368" i="721"/>
  <c r="N368" i="721"/>
  <c r="J368" i="721"/>
  <c r="AA368" i="721"/>
  <c r="Y368" i="721"/>
  <c r="R367" i="721"/>
  <c r="L367" i="721"/>
  <c r="T367" i="721"/>
  <c r="P367" i="721"/>
  <c r="N367" i="721"/>
  <c r="J367" i="721"/>
  <c r="AA367" i="721"/>
  <c r="Y367" i="721"/>
  <c r="R366" i="721"/>
  <c r="P366" i="721"/>
  <c r="L366" i="721"/>
  <c r="T366" i="721"/>
  <c r="N366" i="721"/>
  <c r="J366" i="721"/>
  <c r="AA366" i="721"/>
  <c r="Y366" i="721"/>
  <c r="R364" i="721"/>
  <c r="P364" i="721"/>
  <c r="L364" i="721"/>
  <c r="T364" i="721"/>
  <c r="N364" i="721"/>
  <c r="J364" i="721"/>
  <c r="AA364" i="721"/>
  <c r="Y364" i="721"/>
  <c r="R351" i="721"/>
  <c r="T351" i="721"/>
  <c r="P351" i="721"/>
  <c r="L351" i="721"/>
  <c r="N351" i="721"/>
  <c r="J351" i="721"/>
  <c r="AA351" i="721"/>
  <c r="Y351" i="721"/>
  <c r="R348" i="721"/>
  <c r="T348" i="721"/>
  <c r="P348" i="721"/>
  <c r="L348" i="721"/>
  <c r="N348" i="721"/>
  <c r="J348" i="721"/>
  <c r="AA348" i="721"/>
  <c r="Y348" i="721"/>
  <c r="R347" i="721"/>
  <c r="T347" i="721"/>
  <c r="P347" i="721"/>
  <c r="L347" i="721"/>
  <c r="N347" i="721"/>
  <c r="J347" i="721"/>
  <c r="AA347" i="721"/>
  <c r="Y347" i="721"/>
  <c r="R346" i="721"/>
  <c r="T346" i="721"/>
  <c r="P346" i="721"/>
  <c r="L346" i="721"/>
  <c r="N346" i="721"/>
  <c r="J346" i="721"/>
  <c r="AA346" i="721"/>
  <c r="Y346" i="721"/>
  <c r="R345" i="721"/>
  <c r="T345" i="721"/>
  <c r="P345" i="721"/>
  <c r="L345" i="721"/>
  <c r="N345" i="721"/>
  <c r="J345" i="721"/>
  <c r="AA345" i="721"/>
  <c r="Y345" i="721"/>
  <c r="R344" i="721"/>
  <c r="T344" i="721"/>
  <c r="P344" i="721"/>
  <c r="L344" i="721"/>
  <c r="N344" i="721"/>
  <c r="J344" i="721"/>
  <c r="AA344" i="721"/>
  <c r="Y344" i="721"/>
  <c r="AA333" i="721"/>
  <c r="Y333" i="721"/>
  <c r="AA332" i="721"/>
  <c r="Y332" i="721"/>
  <c r="AA331" i="721"/>
  <c r="Y331" i="721"/>
  <c r="Y325" i="721"/>
  <c r="AA325" i="721"/>
  <c r="AC325" i="721"/>
  <c r="W325" i="721"/>
  <c r="T325" i="721"/>
  <c r="R325" i="721"/>
  <c r="P325" i="721"/>
  <c r="N325" i="721"/>
  <c r="L325" i="721"/>
  <c r="AE325" i="721"/>
  <c r="AA324" i="721"/>
  <c r="Y324" i="721"/>
  <c r="R323" i="721"/>
  <c r="L323" i="721"/>
  <c r="P323" i="721"/>
  <c r="T323" i="721"/>
  <c r="N323" i="721"/>
  <c r="J323" i="721"/>
  <c r="AA323" i="721"/>
  <c r="Y323" i="721"/>
  <c r="AA319" i="721"/>
  <c r="Y319" i="721"/>
  <c r="R311" i="721"/>
  <c r="L311" i="721"/>
  <c r="P311" i="721"/>
  <c r="T311" i="721"/>
  <c r="N311" i="721"/>
  <c r="J311" i="721"/>
  <c r="AA311" i="721"/>
  <c r="Y311" i="721"/>
  <c r="AC311" i="721"/>
  <c r="W311" i="721"/>
  <c r="AE311" i="721"/>
  <c r="R301" i="721"/>
  <c r="L301" i="721"/>
  <c r="P301" i="721"/>
  <c r="T301" i="721"/>
  <c r="N301" i="721"/>
  <c r="J301" i="721"/>
  <c r="AA301" i="721"/>
  <c r="Y301" i="721"/>
  <c r="R300" i="721"/>
  <c r="L300" i="721"/>
  <c r="P300" i="721"/>
  <c r="T300" i="721"/>
  <c r="N300" i="721"/>
  <c r="J300" i="721"/>
  <c r="AA300" i="721"/>
  <c r="Y300" i="721"/>
  <c r="AA297" i="721"/>
  <c r="AA285" i="721"/>
  <c r="Y285" i="721"/>
  <c r="R280" i="721"/>
  <c r="L280" i="721"/>
  <c r="P280" i="721"/>
  <c r="T280" i="721"/>
  <c r="N280" i="721"/>
  <c r="J280" i="721"/>
  <c r="AA280" i="721"/>
  <c r="Y280" i="721"/>
  <c r="R272" i="721"/>
  <c r="L272" i="721"/>
  <c r="P272" i="721"/>
  <c r="T272" i="721"/>
  <c r="N272" i="721"/>
  <c r="J272" i="721"/>
  <c r="AA272" i="721"/>
  <c r="Y272" i="721"/>
  <c r="R271" i="721"/>
  <c r="L271" i="721"/>
  <c r="P271" i="721"/>
  <c r="T271" i="721"/>
  <c r="N271" i="721"/>
  <c r="J271" i="721"/>
  <c r="AA271" i="721"/>
  <c r="Y271" i="721"/>
  <c r="R270" i="721"/>
  <c r="L270" i="721"/>
  <c r="P270" i="721"/>
  <c r="T270" i="721"/>
  <c r="N270" i="721"/>
  <c r="J270" i="721"/>
  <c r="AA270" i="721"/>
  <c r="Y270" i="721"/>
  <c r="R263" i="721"/>
  <c r="L263" i="721"/>
  <c r="P263" i="721"/>
  <c r="T263" i="721"/>
  <c r="N263" i="721"/>
  <c r="J263" i="721"/>
  <c r="AA263" i="721"/>
  <c r="Y263" i="721"/>
  <c r="R262" i="721"/>
  <c r="L262" i="721"/>
  <c r="P262" i="721"/>
  <c r="T262" i="721"/>
  <c r="N262" i="721"/>
  <c r="J262" i="721"/>
  <c r="AA262" i="721"/>
  <c r="Y262" i="721"/>
  <c r="R249" i="721"/>
  <c r="P249" i="721"/>
  <c r="L249" i="721"/>
  <c r="T249" i="721"/>
  <c r="N249" i="721"/>
  <c r="J249" i="721"/>
  <c r="AA249" i="721"/>
  <c r="Y249" i="721"/>
  <c r="R248" i="721"/>
  <c r="L248" i="721"/>
  <c r="T248" i="721"/>
  <c r="P248" i="721"/>
  <c r="N248" i="721"/>
  <c r="J248" i="721"/>
  <c r="AA248" i="721"/>
  <c r="Y248" i="721"/>
  <c r="R241" i="721"/>
  <c r="L241" i="721"/>
  <c r="P241" i="721"/>
  <c r="T241" i="721"/>
  <c r="N241" i="721"/>
  <c r="J241" i="721"/>
  <c r="AA241" i="721"/>
  <c r="Y241" i="721"/>
  <c r="R240" i="721"/>
  <c r="L240" i="721"/>
  <c r="P240" i="721"/>
  <c r="T240" i="721"/>
  <c r="N240" i="721"/>
  <c r="J240" i="721"/>
  <c r="AA240" i="721"/>
  <c r="Y240" i="721"/>
  <c r="R239" i="721"/>
  <c r="L239" i="721"/>
  <c r="P239" i="721"/>
  <c r="T239" i="721"/>
  <c r="N239" i="721"/>
  <c r="J239" i="721"/>
  <c r="AA239" i="721"/>
  <c r="Y239" i="721"/>
  <c r="R238" i="721"/>
  <c r="L238" i="721"/>
  <c r="P238" i="721"/>
  <c r="T238" i="721"/>
  <c r="N238" i="721"/>
  <c r="J238" i="721"/>
  <c r="AA238" i="721"/>
  <c r="Y238" i="721"/>
  <c r="R237" i="721"/>
  <c r="L237" i="721"/>
  <c r="P237" i="721"/>
  <c r="T237" i="721"/>
  <c r="N237" i="721"/>
  <c r="J237" i="721"/>
  <c r="AA237" i="721"/>
  <c r="Y237" i="721"/>
  <c r="R236" i="721"/>
  <c r="L236" i="721"/>
  <c r="P236" i="721"/>
  <c r="T236" i="721"/>
  <c r="N236" i="721"/>
  <c r="N235" i="721"/>
  <c r="N234" i="721"/>
  <c r="J236" i="721"/>
  <c r="J235" i="721"/>
  <c r="J234" i="721"/>
  <c r="AA236" i="721"/>
  <c r="Y236" i="721"/>
  <c r="R232" i="721"/>
  <c r="L232" i="721"/>
  <c r="P232" i="721"/>
  <c r="T232" i="721"/>
  <c r="N232" i="721"/>
  <c r="J232" i="721"/>
  <c r="AA232" i="721"/>
  <c r="Y232" i="721"/>
  <c r="R231" i="721"/>
  <c r="L231" i="721"/>
  <c r="P231" i="721"/>
  <c r="T231" i="721"/>
  <c r="N231" i="721"/>
  <c r="J231" i="721"/>
  <c r="AA231" i="721"/>
  <c r="Y231" i="721"/>
  <c r="R229" i="721"/>
  <c r="L229" i="721"/>
  <c r="P229" i="721"/>
  <c r="T229" i="721"/>
  <c r="N229" i="721"/>
  <c r="J229" i="721"/>
  <c r="AA229" i="721"/>
  <c r="Y229" i="721"/>
  <c r="AA227" i="721"/>
  <c r="AC227" i="721"/>
  <c r="T227" i="721"/>
  <c r="AE227" i="721"/>
  <c r="Y227" i="721"/>
  <c r="R223" i="721"/>
  <c r="L223" i="721"/>
  <c r="P223" i="721"/>
  <c r="T223" i="721"/>
  <c r="N223" i="721"/>
  <c r="J223" i="721"/>
  <c r="AA223" i="721"/>
  <c r="Y223" i="721"/>
  <c r="R222" i="721"/>
  <c r="L222" i="721"/>
  <c r="P222" i="721"/>
  <c r="T222" i="721"/>
  <c r="N222" i="721"/>
  <c r="J222" i="721"/>
  <c r="AA222" i="721"/>
  <c r="Y222" i="721"/>
  <c r="R220" i="721"/>
  <c r="L220" i="721"/>
  <c r="P220" i="721"/>
  <c r="T220" i="721"/>
  <c r="N220" i="721"/>
  <c r="J220" i="721"/>
  <c r="AA220" i="721"/>
  <c r="Y220" i="721"/>
  <c r="R219" i="721"/>
  <c r="L219" i="721"/>
  <c r="P219" i="721"/>
  <c r="T219" i="721"/>
  <c r="N219" i="721"/>
  <c r="J219" i="721"/>
  <c r="AA219" i="721"/>
  <c r="Y219" i="721"/>
  <c r="R218" i="721"/>
  <c r="L218" i="721"/>
  <c r="P218" i="721"/>
  <c r="T218" i="721"/>
  <c r="N218" i="721"/>
  <c r="J218" i="721"/>
  <c r="AA218" i="721"/>
  <c r="AC218" i="721"/>
  <c r="Y218" i="721"/>
  <c r="W218" i="721"/>
  <c r="AE218" i="721"/>
  <c r="R213" i="721"/>
  <c r="L213" i="721"/>
  <c r="P213" i="721"/>
  <c r="T213" i="721"/>
  <c r="N213" i="721"/>
  <c r="J213" i="721"/>
  <c r="AA213" i="721"/>
  <c r="Y213" i="721"/>
  <c r="R212" i="721"/>
  <c r="L212" i="721"/>
  <c r="P212" i="721"/>
  <c r="T212" i="721"/>
  <c r="N212" i="721"/>
  <c r="J212" i="721"/>
  <c r="AA212" i="721"/>
  <c r="AC212" i="721"/>
  <c r="Y212" i="721"/>
  <c r="W212" i="721"/>
  <c r="AE212" i="721"/>
  <c r="R211" i="721"/>
  <c r="L211" i="721"/>
  <c r="P211" i="721"/>
  <c r="T211" i="721"/>
  <c r="N211" i="721"/>
  <c r="J211" i="721"/>
  <c r="AA211" i="721"/>
  <c r="Y211" i="721"/>
  <c r="R210" i="721"/>
  <c r="L210" i="721"/>
  <c r="P210" i="721"/>
  <c r="T210" i="721"/>
  <c r="N210" i="721"/>
  <c r="J210" i="721"/>
  <c r="AA210" i="721"/>
  <c r="Y210" i="721"/>
  <c r="R193" i="721"/>
  <c r="L193" i="721"/>
  <c r="P193" i="721"/>
  <c r="T193" i="721"/>
  <c r="J193" i="721"/>
  <c r="N193" i="721"/>
  <c r="AA193" i="721"/>
  <c r="Y193" i="721"/>
  <c r="R186" i="721"/>
  <c r="L186" i="721"/>
  <c r="P186" i="721"/>
  <c r="T186" i="721"/>
  <c r="N186" i="721"/>
  <c r="J186" i="721"/>
  <c r="AA186" i="721"/>
  <c r="AC186" i="721"/>
  <c r="Y186" i="721"/>
  <c r="W186" i="721"/>
  <c r="AE186" i="721"/>
  <c r="T177" i="721"/>
  <c r="N177" i="721"/>
  <c r="R177" i="721"/>
  <c r="L177" i="721"/>
  <c r="P177" i="721"/>
  <c r="J177" i="721"/>
  <c r="AA177" i="721"/>
  <c r="Y177" i="721"/>
  <c r="T176" i="721"/>
  <c r="N176" i="721"/>
  <c r="R176" i="721"/>
  <c r="L176" i="721"/>
  <c r="P176" i="721"/>
  <c r="J176" i="721"/>
  <c r="AA176" i="721"/>
  <c r="Y176" i="721"/>
  <c r="AA169" i="721"/>
  <c r="Y169" i="721"/>
  <c r="R165" i="721"/>
  <c r="P165" i="721"/>
  <c r="L165" i="721"/>
  <c r="T165" i="721"/>
  <c r="N165" i="721"/>
  <c r="J165" i="721"/>
  <c r="AA165" i="721"/>
  <c r="Y165" i="721"/>
  <c r="R161" i="721"/>
  <c r="L161" i="721"/>
  <c r="P161" i="721"/>
  <c r="T161" i="721"/>
  <c r="N161" i="721"/>
  <c r="J161" i="721"/>
  <c r="AA161" i="721"/>
  <c r="Y161" i="721"/>
  <c r="R160" i="721"/>
  <c r="L160" i="721"/>
  <c r="P160" i="721"/>
  <c r="T160" i="721"/>
  <c r="N160" i="721"/>
  <c r="J160" i="721"/>
  <c r="AA160" i="721"/>
  <c r="Y160" i="721"/>
  <c r="R158" i="721"/>
  <c r="P158" i="721"/>
  <c r="L158" i="721"/>
  <c r="T158" i="721"/>
  <c r="N158" i="721"/>
  <c r="J158" i="721"/>
  <c r="AA158" i="721"/>
  <c r="Y158" i="721"/>
  <c r="R157" i="721"/>
  <c r="L157" i="721"/>
  <c r="T157" i="721"/>
  <c r="P157" i="721"/>
  <c r="N157" i="721"/>
  <c r="J157" i="721"/>
  <c r="AA157" i="721"/>
  <c r="Y157" i="721"/>
  <c r="R156" i="721"/>
  <c r="P156" i="721"/>
  <c r="L156" i="721"/>
  <c r="T156" i="721"/>
  <c r="N156" i="721"/>
  <c r="J156" i="721"/>
  <c r="AA156" i="721"/>
  <c r="Y156" i="721"/>
  <c r="R155" i="721"/>
  <c r="L155" i="721"/>
  <c r="T155" i="721"/>
  <c r="P155" i="721"/>
  <c r="N155" i="721"/>
  <c r="J155" i="721"/>
  <c r="AA155" i="721"/>
  <c r="Y155" i="721"/>
  <c r="R154" i="721"/>
  <c r="P154" i="721"/>
  <c r="L154" i="721"/>
  <c r="T154" i="721"/>
  <c r="N154" i="721"/>
  <c r="J154" i="721"/>
  <c r="AA154" i="721"/>
  <c r="Y154" i="721"/>
  <c r="R137" i="721"/>
  <c r="L137" i="721"/>
  <c r="P137" i="721"/>
  <c r="T137" i="721"/>
  <c r="N137" i="721"/>
  <c r="J137" i="721"/>
  <c r="AA137" i="721"/>
  <c r="Y137" i="721"/>
  <c r="AA120" i="721"/>
  <c r="AA119" i="721"/>
  <c r="Y120" i="721"/>
  <c r="Y119" i="721"/>
  <c r="R109" i="721"/>
  <c r="L109" i="721"/>
  <c r="P109" i="721"/>
  <c r="T109" i="721"/>
  <c r="N109" i="721"/>
  <c r="J109" i="721"/>
  <c r="AA109" i="721"/>
  <c r="Y109" i="721"/>
  <c r="R108" i="721"/>
  <c r="L108" i="721"/>
  <c r="P108" i="721"/>
  <c r="T108" i="721"/>
  <c r="N108" i="721"/>
  <c r="J108" i="721"/>
  <c r="AA108" i="721"/>
  <c r="Y108" i="721"/>
  <c r="AA74" i="721"/>
  <c r="Y74" i="721"/>
  <c r="AA49" i="721"/>
  <c r="Y49" i="721"/>
  <c r="R47" i="721"/>
  <c r="P47" i="721"/>
  <c r="L47" i="721"/>
  <c r="T47" i="721"/>
  <c r="N47" i="721"/>
  <c r="J47" i="721"/>
  <c r="AA47" i="721"/>
  <c r="Y47" i="721"/>
  <c r="AA46" i="721"/>
  <c r="Y46" i="721"/>
  <c r="Y38" i="721"/>
  <c r="AA38" i="721"/>
  <c r="AA33" i="721"/>
  <c r="T22" i="721"/>
  <c r="J22" i="721"/>
  <c r="N22" i="721"/>
  <c r="R22" i="721"/>
  <c r="L22" i="721"/>
  <c r="P22" i="721"/>
  <c r="AA22" i="721"/>
  <c r="Y22" i="721"/>
  <c r="AA18" i="721"/>
  <c r="AA550" i="721"/>
  <c r="Y550" i="721"/>
  <c r="R660" i="721"/>
  <c r="R658" i="721"/>
  <c r="AA784" i="721"/>
  <c r="Y784" i="721"/>
  <c r="R655" i="721"/>
  <c r="AA371" i="721"/>
  <c r="AA370" i="721"/>
  <c r="T524" i="721"/>
  <c r="R689" i="721"/>
  <c r="T754" i="721"/>
  <c r="T752" i="721"/>
  <c r="AA688" i="721"/>
  <c r="AA687" i="721"/>
  <c r="T644" i="721"/>
  <c r="T642" i="721"/>
  <c r="T169" i="721"/>
  <c r="T166" i="721"/>
  <c r="R673" i="721"/>
  <c r="R499" i="721"/>
  <c r="R508" i="721"/>
  <c r="R506" i="721"/>
  <c r="T745" i="721"/>
  <c r="R235" i="721"/>
  <c r="R234" i="721"/>
  <c r="T634" i="721"/>
  <c r="T735" i="721"/>
  <c r="T734" i="721"/>
  <c r="T766" i="721"/>
  <c r="AA184" i="721"/>
  <c r="Y184" i="721"/>
  <c r="R372" i="721"/>
  <c r="R370" i="721"/>
  <c r="AA45" i="721"/>
  <c r="Y45" i="721"/>
  <c r="J325" i="721"/>
  <c r="AA224" i="721"/>
  <c r="Y224" i="721"/>
  <c r="AA284" i="721"/>
  <c r="Y284" i="721"/>
  <c r="AA318" i="721"/>
  <c r="Y318" i="721"/>
  <c r="AA322" i="721"/>
  <c r="Y322" i="721"/>
  <c r="AA561" i="721"/>
  <c r="Y561" i="721"/>
  <c r="R680" i="721"/>
  <c r="R686" i="721"/>
  <c r="N686" i="721"/>
  <c r="P686" i="721"/>
  <c r="L686" i="721"/>
  <c r="J686" i="721"/>
  <c r="J680" i="721"/>
  <c r="J679" i="721"/>
  <c r="AA686" i="721"/>
  <c r="Y686" i="721"/>
  <c r="AA697" i="721"/>
  <c r="Y697" i="721"/>
  <c r="T630" i="721"/>
  <c r="T628" i="721"/>
  <c r="P680" i="721"/>
  <c r="P679" i="721"/>
  <c r="W794" i="721"/>
  <c r="AC794" i="721"/>
  <c r="AE794" i="721"/>
  <c r="W792" i="721"/>
  <c r="AC792" i="721"/>
  <c r="AE792" i="721"/>
  <c r="W790" i="721"/>
  <c r="AC790" i="721"/>
  <c r="AE790" i="721"/>
  <c r="W788" i="721"/>
  <c r="AC788" i="721"/>
  <c r="AE788" i="721"/>
  <c r="W641" i="721"/>
  <c r="AC641" i="721"/>
  <c r="AE641" i="721"/>
  <c r="W640" i="721"/>
  <c r="AC640" i="721"/>
  <c r="W639" i="721"/>
  <c r="AC639" i="721"/>
  <c r="AE639" i="721"/>
  <c r="W638" i="721"/>
  <c r="AC638" i="721"/>
  <c r="W637" i="721"/>
  <c r="AC637" i="721"/>
  <c r="W634" i="721"/>
  <c r="W635" i="721"/>
  <c r="W633" i="721"/>
  <c r="AC635" i="721"/>
  <c r="AE635" i="721"/>
  <c r="W631" i="721"/>
  <c r="AC631" i="721"/>
  <c r="AC629" i="721"/>
  <c r="AC630" i="721"/>
  <c r="AC628" i="721"/>
  <c r="W617" i="721"/>
  <c r="AC617" i="721"/>
  <c r="W616" i="721"/>
  <c r="AC616" i="721"/>
  <c r="W601" i="721"/>
  <c r="AC601" i="721"/>
  <c r="W600" i="721"/>
  <c r="AC600" i="721"/>
  <c r="AE600" i="721"/>
  <c r="W599" i="721"/>
  <c r="AC599" i="721"/>
  <c r="AE599" i="721"/>
  <c r="W598" i="721"/>
  <c r="AC598" i="721"/>
  <c r="AE598" i="721"/>
  <c r="L680" i="721"/>
  <c r="W521" i="721"/>
  <c r="AC521" i="721"/>
  <c r="AE521" i="721"/>
  <c r="T372" i="721"/>
  <c r="T370" i="721"/>
  <c r="W703" i="721"/>
  <c r="AC703" i="721"/>
  <c r="W785" i="721"/>
  <c r="AC785" i="721"/>
  <c r="AE785" i="721"/>
  <c r="W348" i="721"/>
  <c r="AC348" i="721"/>
  <c r="W176" i="721"/>
  <c r="AC176" i="721"/>
  <c r="AE176" i="721"/>
  <c r="W346" i="721"/>
  <c r="AC346" i="721"/>
  <c r="W345" i="721"/>
  <c r="AC345" i="721"/>
  <c r="AE345" i="721"/>
  <c r="W22" i="721"/>
  <c r="AC22" i="721"/>
  <c r="W177" i="721"/>
  <c r="AC177" i="721"/>
  <c r="AE177" i="721"/>
  <c r="P372" i="721"/>
  <c r="P370" i="721"/>
  <c r="W351" i="721"/>
  <c r="AC351" i="721"/>
  <c r="AE351" i="721"/>
  <c r="W347" i="721"/>
  <c r="AC347" i="721"/>
  <c r="L372" i="721"/>
  <c r="L370" i="721"/>
  <c r="W836" i="721"/>
  <c r="AC836" i="721"/>
  <c r="AE836" i="721"/>
  <c r="W835" i="721"/>
  <c r="AC835" i="721"/>
  <c r="W834" i="721"/>
  <c r="AC834" i="721"/>
  <c r="AE834" i="721"/>
  <c r="W833" i="721"/>
  <c r="AC833" i="721"/>
  <c r="W832" i="721"/>
  <c r="AC832" i="721"/>
  <c r="AC831" i="721"/>
  <c r="AC830" i="721"/>
  <c r="W821" i="721"/>
  <c r="AC821" i="721"/>
  <c r="W814" i="721"/>
  <c r="AC814" i="721"/>
  <c r="W800" i="721"/>
  <c r="AC800" i="721"/>
  <c r="AE800" i="721"/>
  <c r="W798" i="721"/>
  <c r="AC798" i="721"/>
  <c r="AE798" i="721"/>
  <c r="W797" i="721"/>
  <c r="AC797" i="721"/>
  <c r="W796" i="721"/>
  <c r="AC796" i="721"/>
  <c r="AE796" i="721"/>
  <c r="W779" i="721"/>
  <c r="AC779" i="721"/>
  <c r="W772" i="721"/>
  <c r="AC772" i="721"/>
  <c r="AE772" i="721"/>
  <c r="W771" i="721"/>
  <c r="AC771" i="721"/>
  <c r="W751" i="721"/>
  <c r="AC751" i="721"/>
  <c r="AE751" i="721"/>
  <c r="W749" i="721"/>
  <c r="AC749" i="721"/>
  <c r="AE749" i="721"/>
  <c r="W748" i="721"/>
  <c r="AC748" i="721"/>
  <c r="W747" i="721"/>
  <c r="AC747" i="721"/>
  <c r="W746" i="721"/>
  <c r="W745" i="721"/>
  <c r="W744" i="721"/>
  <c r="AC746" i="721"/>
  <c r="W743" i="721"/>
  <c r="AC743" i="721"/>
  <c r="AE743" i="721"/>
  <c r="W742" i="721"/>
  <c r="AC742" i="721"/>
  <c r="W741" i="721"/>
  <c r="AC741" i="721"/>
  <c r="AE741" i="721"/>
  <c r="W739" i="721"/>
  <c r="AC739" i="721"/>
  <c r="W738" i="721"/>
  <c r="AC738" i="721"/>
  <c r="W737" i="721"/>
  <c r="AC737" i="721"/>
  <c r="AC735" i="721"/>
  <c r="AC734" i="721"/>
  <c r="W709" i="721"/>
  <c r="AC709" i="721"/>
  <c r="W708" i="721"/>
  <c r="AC708" i="721"/>
  <c r="W707" i="721"/>
  <c r="AC707" i="721"/>
  <c r="AE707" i="721"/>
  <c r="W686" i="721"/>
  <c r="AC686" i="721"/>
  <c r="W685" i="721"/>
  <c r="AC685" i="721"/>
  <c r="AE685" i="721"/>
  <c r="W683" i="721"/>
  <c r="AC683" i="721"/>
  <c r="W681" i="721"/>
  <c r="AC681" i="721"/>
  <c r="AE681" i="721"/>
  <c r="W677" i="721"/>
  <c r="AC677" i="721"/>
  <c r="AE677" i="721"/>
  <c r="W676" i="721"/>
  <c r="AC676" i="721"/>
  <c r="W675" i="721"/>
  <c r="AC675" i="721"/>
  <c r="AE675" i="721"/>
  <c r="W674" i="721"/>
  <c r="AC674" i="721"/>
  <c r="W671" i="721"/>
  <c r="AC671" i="721"/>
  <c r="AE671" i="721"/>
  <c r="W670" i="721"/>
  <c r="AC670" i="721"/>
  <c r="W669" i="721"/>
  <c r="AC669" i="721"/>
  <c r="AE669" i="721"/>
  <c r="W667" i="721"/>
  <c r="W666" i="721"/>
  <c r="W668" i="721"/>
  <c r="W665" i="721"/>
  <c r="AC667" i="721"/>
  <c r="W661" i="721"/>
  <c r="AC661" i="721"/>
  <c r="AE661" i="721"/>
  <c r="W657" i="721"/>
  <c r="AC657" i="721"/>
  <c r="AE657" i="721"/>
  <c r="W656" i="721"/>
  <c r="AC656" i="721"/>
  <c r="AC654" i="721"/>
  <c r="AC655" i="721"/>
  <c r="AC653" i="721"/>
  <c r="W652" i="721"/>
  <c r="AC652" i="721"/>
  <c r="W651" i="721"/>
  <c r="AC651" i="721"/>
  <c r="W644" i="721"/>
  <c r="AC644" i="721"/>
  <c r="R644" i="721"/>
  <c r="R642" i="721"/>
  <c r="J644" i="721"/>
  <c r="J642" i="721"/>
  <c r="W565" i="721"/>
  <c r="AC565" i="721"/>
  <c r="AE565" i="721"/>
  <c r="W564" i="721"/>
  <c r="AC564" i="721"/>
  <c r="W563" i="721"/>
  <c r="AC563" i="721"/>
  <c r="AE563" i="721"/>
  <c r="W562" i="721"/>
  <c r="AC562" i="721"/>
  <c r="AE562" i="721"/>
  <c r="W558" i="721"/>
  <c r="AC558" i="721"/>
  <c r="W557" i="721"/>
  <c r="AC557" i="721"/>
  <c r="W552" i="721"/>
  <c r="AC552" i="721"/>
  <c r="AE552" i="721"/>
  <c r="W494" i="721"/>
  <c r="AC494" i="721"/>
  <c r="W474" i="721"/>
  <c r="AC474" i="721"/>
  <c r="W241" i="721"/>
  <c r="AC241" i="721"/>
  <c r="W240" i="721"/>
  <c r="AC240" i="721"/>
  <c r="W239" i="721"/>
  <c r="AC239" i="721"/>
  <c r="AE239" i="721"/>
  <c r="W238" i="721"/>
  <c r="AC238" i="721"/>
  <c r="W237" i="721"/>
  <c r="AC237" i="721"/>
  <c r="AC235" i="721"/>
  <c r="AC236" i="721"/>
  <c r="AC234" i="721"/>
  <c r="AA235" i="721"/>
  <c r="AA234" i="721"/>
  <c r="Y235" i="721"/>
  <c r="Y234" i="721"/>
  <c r="W235" i="721"/>
  <c r="W236" i="721"/>
  <c r="W234" i="721"/>
  <c r="T235" i="721"/>
  <c r="T234" i="721"/>
  <c r="P235" i="721"/>
  <c r="P234" i="721"/>
  <c r="L235" i="721"/>
  <c r="L234" i="721"/>
  <c r="AE234" i="721"/>
  <c r="W158" i="721"/>
  <c r="AC158" i="721"/>
  <c r="AE158" i="721"/>
  <c r="W157" i="721"/>
  <c r="AC157" i="721"/>
  <c r="W156" i="721"/>
  <c r="AC156" i="721"/>
  <c r="AE156" i="721"/>
  <c r="W155" i="721"/>
  <c r="AC155" i="721"/>
  <c r="AE155" i="721"/>
  <c r="W154" i="721"/>
  <c r="AC154" i="721"/>
  <c r="AC153" i="721"/>
  <c r="AC160" i="721"/>
  <c r="AC161" i="721"/>
  <c r="AC162" i="721"/>
  <c r="AC163" i="721"/>
  <c r="AC164" i="721"/>
  <c r="AC165" i="721"/>
  <c r="AC151" i="721"/>
  <c r="T831" i="721"/>
  <c r="AA831" i="721"/>
  <c r="Y831" i="721"/>
  <c r="W831" i="721"/>
  <c r="P831" i="721"/>
  <c r="L831" i="721"/>
  <c r="AE831" i="721"/>
  <c r="T673" i="721"/>
  <c r="T672" i="721"/>
  <c r="P673" i="721"/>
  <c r="P672" i="721"/>
  <c r="L673" i="721"/>
  <c r="W660" i="721"/>
  <c r="AC660" i="721"/>
  <c r="AC659" i="721"/>
  <c r="AC658" i="721"/>
  <c r="T660" i="721"/>
  <c r="T658" i="721"/>
  <c r="T648" i="721"/>
  <c r="T655" i="721"/>
  <c r="T653" i="721"/>
  <c r="T647" i="721"/>
  <c r="P660" i="721"/>
  <c r="L660" i="721"/>
  <c r="L658" i="721"/>
  <c r="W655" i="721"/>
  <c r="W654" i="721"/>
  <c r="W653" i="721"/>
  <c r="P655" i="721"/>
  <c r="L655" i="721"/>
  <c r="L653" i="721"/>
  <c r="AA634" i="721"/>
  <c r="AA633" i="721"/>
  <c r="AA555" i="721"/>
  <c r="W508" i="721"/>
  <c r="AC508" i="721"/>
  <c r="T508" i="721"/>
  <c r="T506" i="721"/>
  <c r="P508" i="721"/>
  <c r="P506" i="721"/>
  <c r="L508" i="721"/>
  <c r="L506" i="721"/>
  <c r="AA500" i="721"/>
  <c r="AA168" i="721"/>
  <c r="AA166" i="721"/>
  <c r="W478" i="721"/>
  <c r="AC478" i="721"/>
  <c r="AE478" i="721"/>
  <c r="W280" i="721"/>
  <c r="AC280" i="721"/>
  <c r="AE280" i="721"/>
  <c r="W271" i="721"/>
  <c r="AC271" i="721"/>
  <c r="W263" i="721"/>
  <c r="AC263" i="721"/>
  <c r="AE263" i="721"/>
  <c r="W249" i="721"/>
  <c r="AC249" i="721"/>
  <c r="W248" i="721"/>
  <c r="AC248" i="721"/>
  <c r="AE248" i="721"/>
  <c r="W223" i="721"/>
  <c r="AC223" i="721"/>
  <c r="W222" i="721"/>
  <c r="AC222" i="721"/>
  <c r="W220" i="721"/>
  <c r="AC220" i="721"/>
  <c r="W219" i="721"/>
  <c r="AC219" i="721"/>
  <c r="AE219" i="721"/>
  <c r="W213" i="721"/>
  <c r="AC213" i="721"/>
  <c r="AE213" i="721"/>
  <c r="W211" i="721"/>
  <c r="AC211" i="721"/>
  <c r="W210" i="721"/>
  <c r="AC210" i="721"/>
  <c r="W193" i="721"/>
  <c r="AC193" i="721"/>
  <c r="AE193" i="721"/>
  <c r="W160" i="721"/>
  <c r="AE160" i="721"/>
  <c r="W108" i="721"/>
  <c r="AC108" i="721"/>
  <c r="W487" i="721"/>
  <c r="AC487" i="721"/>
  <c r="AE487" i="721"/>
  <c r="J372" i="721"/>
  <c r="J370" i="721"/>
  <c r="W344" i="721"/>
  <c r="AC344" i="721"/>
  <c r="AE344" i="721"/>
  <c r="W323" i="721"/>
  <c r="AC323" i="721"/>
  <c r="W272" i="721"/>
  <c r="AC272" i="721"/>
  <c r="AE272" i="721"/>
  <c r="W270" i="721"/>
  <c r="AC270" i="721"/>
  <c r="W262" i="721"/>
  <c r="AC262" i="721"/>
  <c r="W232" i="721"/>
  <c r="AC232" i="721"/>
  <c r="AE232" i="721"/>
  <c r="W231" i="721"/>
  <c r="AC231" i="721"/>
  <c r="AE231" i="721"/>
  <c r="W229" i="721"/>
  <c r="AC229" i="721"/>
  <c r="W161" i="721"/>
  <c r="AE161" i="721"/>
  <c r="W137" i="721"/>
  <c r="AC137" i="721"/>
  <c r="AE137" i="721"/>
  <c r="W109" i="721"/>
  <c r="AC109" i="721"/>
  <c r="Y765" i="721"/>
  <c r="Y764" i="721"/>
  <c r="Y758" i="721"/>
  <c r="Y769" i="721"/>
  <c r="Y768" i="721"/>
  <c r="Y757" i="721"/>
  <c r="L754" i="721"/>
  <c r="L752" i="721"/>
  <c r="L745" i="721"/>
  <c r="Y735" i="721"/>
  <c r="Y734" i="721"/>
  <c r="L735" i="721"/>
  <c r="J689" i="721"/>
  <c r="W767" i="721"/>
  <c r="W765" i="721"/>
  <c r="W766" i="721"/>
  <c r="W764" i="721"/>
  <c r="W758" i="721"/>
  <c r="W769" i="721"/>
  <c r="W768" i="721"/>
  <c r="W757" i="721"/>
  <c r="AC767" i="721"/>
  <c r="AE767" i="721"/>
  <c r="N766" i="721"/>
  <c r="W763" i="721"/>
  <c r="AC763" i="721"/>
  <c r="AE763" i="721"/>
  <c r="AA753" i="721"/>
  <c r="W754" i="721"/>
  <c r="AC754" i="721"/>
  <c r="AC753" i="721"/>
  <c r="AC752" i="721"/>
  <c r="R754" i="721"/>
  <c r="R752" i="721"/>
  <c r="J754" i="721"/>
  <c r="J752" i="721"/>
  <c r="N745" i="721"/>
  <c r="AA735" i="721"/>
  <c r="R735" i="721"/>
  <c r="R734" i="721"/>
  <c r="W719" i="721"/>
  <c r="AC719" i="721"/>
  <c r="AE719" i="721"/>
  <c r="Y688" i="721"/>
  <c r="Y687" i="721"/>
  <c r="P689" i="721"/>
  <c r="P687" i="721"/>
  <c r="Y680" i="721"/>
  <c r="Y673" i="721"/>
  <c r="AC673" i="721"/>
  <c r="AA673" i="721"/>
  <c r="W673" i="721"/>
  <c r="N673" i="721"/>
  <c r="AE673" i="721"/>
  <c r="P644" i="721"/>
  <c r="P642" i="721"/>
  <c r="P634" i="721"/>
  <c r="AA680" i="721"/>
  <c r="N680" i="721"/>
  <c r="N679" i="721"/>
  <c r="J673" i="721"/>
  <c r="J672" i="721"/>
  <c r="N672" i="721"/>
  <c r="AA659" i="721"/>
  <c r="AA658" i="721"/>
  <c r="AA654" i="721"/>
  <c r="N655" i="721"/>
  <c r="N653" i="721"/>
  <c r="N648" i="721"/>
  <c r="N647" i="721"/>
  <c r="N644" i="721"/>
  <c r="N642" i="721"/>
  <c r="N634" i="721"/>
  <c r="W624" i="721"/>
  <c r="AC624" i="721"/>
  <c r="AE624" i="721"/>
  <c r="W622" i="721"/>
  <c r="AC622" i="721"/>
  <c r="W620" i="721"/>
  <c r="AC620" i="721"/>
  <c r="W596" i="721"/>
  <c r="AC596" i="721"/>
  <c r="J556" i="721"/>
  <c r="P524" i="721"/>
  <c r="Y507" i="721"/>
  <c r="N499" i="721"/>
  <c r="Y555" i="721"/>
  <c r="Y553" i="721"/>
  <c r="P556" i="721"/>
  <c r="P554" i="721"/>
  <c r="W535" i="721"/>
  <c r="AC535" i="721"/>
  <c r="AE535" i="721"/>
  <c r="W534" i="721"/>
  <c r="AC534" i="721"/>
  <c r="N524" i="721"/>
  <c r="AA507" i="721"/>
  <c r="AA506" i="721"/>
  <c r="N508" i="721"/>
  <c r="N506" i="721"/>
  <c r="Y500" i="721"/>
  <c r="P499" i="721"/>
  <c r="Y371" i="721"/>
  <c r="W369" i="721"/>
  <c r="AC369" i="721"/>
  <c r="AE369" i="721"/>
  <c r="W367" i="721"/>
  <c r="AC367" i="721"/>
  <c r="W364" i="721"/>
  <c r="AC364" i="721"/>
  <c r="AE364" i="721"/>
  <c r="Y168" i="721"/>
  <c r="L169" i="721"/>
  <c r="L166" i="721"/>
  <c r="N169" i="721"/>
  <c r="N166" i="721"/>
  <c r="W165" i="721"/>
  <c r="W47" i="721"/>
  <c r="AC47" i="721"/>
  <c r="R38" i="721"/>
  <c r="AC38" i="721"/>
  <c r="W38" i="721"/>
  <c r="T38" i="721"/>
  <c r="P38" i="721"/>
  <c r="N38" i="721"/>
  <c r="L38" i="721"/>
  <c r="AE38" i="721"/>
  <c r="J38" i="721"/>
  <c r="J831" i="721"/>
  <c r="J830" i="721"/>
  <c r="P766" i="721"/>
  <c r="P754" i="721"/>
  <c r="P752" i="721"/>
  <c r="P745" i="721"/>
  <c r="P735" i="721"/>
  <c r="N689" i="721"/>
  <c r="N687" i="721"/>
  <c r="AC766" i="721"/>
  <c r="R766" i="721"/>
  <c r="AE766" i="721"/>
  <c r="R764" i="721"/>
  <c r="N754" i="721"/>
  <c r="N752" i="721"/>
  <c r="AA745" i="721"/>
  <c r="AA744" i="721"/>
  <c r="J745" i="721"/>
  <c r="R745" i="721"/>
  <c r="J735" i="721"/>
  <c r="N735" i="721"/>
  <c r="N734" i="721"/>
  <c r="W695" i="721"/>
  <c r="AC695" i="721"/>
  <c r="W689" i="721"/>
  <c r="AC689" i="721"/>
  <c r="T689" i="721"/>
  <c r="L689" i="721"/>
  <c r="AE689" i="721"/>
  <c r="T687" i="721"/>
  <c r="L644" i="721"/>
  <c r="L642" i="721"/>
  <c r="Y634" i="721"/>
  <c r="AC634" i="721"/>
  <c r="R634" i="721"/>
  <c r="AE634" i="721"/>
  <c r="L630" i="721"/>
  <c r="J660" i="721"/>
  <c r="J658" i="721"/>
  <c r="J655" i="721"/>
  <c r="J653" i="721"/>
  <c r="J648" i="721"/>
  <c r="J647" i="721"/>
  <c r="J634" i="721"/>
  <c r="R633" i="721"/>
  <c r="W623" i="721"/>
  <c r="AC623" i="721"/>
  <c r="AE623" i="721"/>
  <c r="W621" i="721"/>
  <c r="AC621" i="721"/>
  <c r="AE621" i="721"/>
  <c r="W619" i="721"/>
  <c r="AC619" i="721"/>
  <c r="AE619" i="721"/>
  <c r="W613" i="721"/>
  <c r="AC613" i="721"/>
  <c r="AE613" i="721"/>
  <c r="N556" i="721"/>
  <c r="L524" i="721"/>
  <c r="J501" i="721"/>
  <c r="J499" i="721"/>
  <c r="L556" i="721"/>
  <c r="L554" i="721"/>
  <c r="W541" i="721"/>
  <c r="AC541" i="721"/>
  <c r="AE541" i="721"/>
  <c r="AA525" i="721"/>
  <c r="R524" i="721"/>
  <c r="J526" i="721"/>
  <c r="J524" i="721"/>
  <c r="J508" i="721"/>
  <c r="J506" i="721"/>
  <c r="T499" i="721"/>
  <c r="L499" i="721"/>
  <c r="W372" i="721"/>
  <c r="AC372" i="721"/>
  <c r="N372" i="721"/>
  <c r="AE372" i="721"/>
  <c r="AC371" i="721"/>
  <c r="AC370" i="721"/>
  <c r="N370" i="721"/>
  <c r="W368" i="721"/>
  <c r="AC368" i="721"/>
  <c r="W366" i="721"/>
  <c r="AC366" i="721"/>
  <c r="P169" i="721"/>
  <c r="P166" i="721"/>
  <c r="W301" i="721"/>
  <c r="AC301" i="721"/>
  <c r="W300" i="721"/>
  <c r="AC300" i="721"/>
  <c r="AE300" i="721"/>
  <c r="W169" i="721"/>
  <c r="AC169" i="721"/>
  <c r="R169" i="721"/>
  <c r="J169" i="721"/>
  <c r="J166" i="721"/>
  <c r="J630" i="721"/>
  <c r="AC555" i="721"/>
  <c r="W168" i="721"/>
  <c r="W166" i="721"/>
  <c r="AC168" i="721"/>
  <c r="AE168" i="721"/>
  <c r="W659" i="721"/>
  <c r="W507" i="721"/>
  <c r="W506" i="721"/>
  <c r="AC507" i="721"/>
  <c r="AE507" i="721"/>
  <c r="P630" i="721"/>
  <c r="P628" i="721"/>
  <c r="P633" i="721"/>
  <c r="P627" i="721"/>
  <c r="W630" i="721"/>
  <c r="R630" i="721"/>
  <c r="AE630" i="721"/>
  <c r="AC745" i="721"/>
  <c r="AE745" i="721"/>
  <c r="W643" i="721"/>
  <c r="AC643" i="721"/>
  <c r="AE643" i="721"/>
  <c r="AC765" i="721"/>
  <c r="AC764" i="721"/>
  <c r="T764" i="721"/>
  <c r="P764" i="721"/>
  <c r="N764" i="721"/>
  <c r="AE764" i="721"/>
  <c r="W753" i="721"/>
  <c r="W500" i="721"/>
  <c r="AC500" i="721"/>
  <c r="W525" i="721"/>
  <c r="W524" i="721"/>
  <c r="AC525" i="721"/>
  <c r="AE525" i="721"/>
  <c r="W735" i="721"/>
  <c r="W734" i="721"/>
  <c r="AE735" i="721"/>
  <c r="W556" i="721"/>
  <c r="W555" i="721"/>
  <c r="W553" i="721"/>
  <c r="AC556" i="721"/>
  <c r="T556" i="721"/>
  <c r="AE556" i="721"/>
  <c r="W680" i="721"/>
  <c r="W679" i="721"/>
  <c r="AC680" i="721"/>
  <c r="AE680" i="721"/>
  <c r="W371" i="721"/>
  <c r="W370" i="721"/>
  <c r="W688" i="721"/>
  <c r="W687" i="721"/>
  <c r="AC688" i="721"/>
  <c r="W629" i="721"/>
  <c r="W628" i="721"/>
  <c r="AA629" i="721"/>
  <c r="AA467" i="721"/>
  <c r="Y467" i="721"/>
  <c r="AA355" i="721"/>
  <c r="AA356" i="721"/>
  <c r="AA354" i="721"/>
  <c r="Y356" i="721"/>
  <c r="AA466" i="721"/>
  <c r="Y466" i="721"/>
  <c r="AA464" i="721"/>
  <c r="Y464" i="721"/>
  <c r="AA465" i="721"/>
  <c r="Y465" i="721"/>
  <c r="AA463" i="721"/>
  <c r="Y463" i="721"/>
  <c r="AA807" i="721"/>
  <c r="Y807" i="721"/>
  <c r="AA712" i="721"/>
  <c r="Y712" i="721"/>
  <c r="AA701" i="721"/>
  <c r="Y701" i="721"/>
  <c r="AA698" i="721"/>
  <c r="Y698" i="721"/>
  <c r="AA589" i="721"/>
  <c r="Y589" i="721"/>
  <c r="AA584" i="721"/>
  <c r="Y584" i="721"/>
  <c r="AA587" i="721"/>
  <c r="Y587" i="721"/>
  <c r="AA586" i="721"/>
  <c r="Y586" i="721"/>
  <c r="AA569" i="721"/>
  <c r="Y569" i="721"/>
  <c r="AA523" i="721"/>
  <c r="Y523" i="721"/>
  <c r="AA549" i="721"/>
  <c r="Y549" i="721"/>
  <c r="AA488" i="721"/>
  <c r="Y488" i="721"/>
  <c r="AA459" i="721"/>
  <c r="Y459" i="721"/>
  <c r="AA456" i="721"/>
  <c r="Y456" i="721"/>
  <c r="AA451" i="721"/>
  <c r="Y451" i="721"/>
  <c r="AA449" i="721"/>
  <c r="Y449" i="721"/>
  <c r="AA450" i="721"/>
  <c r="Y450" i="721"/>
  <c r="AA443" i="721"/>
  <c r="Y443" i="721"/>
  <c r="AA428" i="721"/>
  <c r="Y428" i="721"/>
  <c r="AA430" i="721"/>
  <c r="Y430" i="721"/>
  <c r="AA429" i="721"/>
  <c r="Y429" i="721"/>
  <c r="AA426" i="721"/>
  <c r="AA423" i="721"/>
  <c r="Y423" i="721"/>
  <c r="AA425" i="721"/>
  <c r="Y425" i="721"/>
  <c r="AA416" i="721"/>
  <c r="Y416" i="721"/>
  <c r="AA424" i="721"/>
  <c r="Y424" i="721"/>
  <c r="AA417" i="721"/>
  <c r="Y417" i="721"/>
  <c r="AA414" i="721"/>
  <c r="Y414" i="721"/>
  <c r="AA405" i="721"/>
  <c r="AA393" i="721"/>
  <c r="Y393" i="721"/>
  <c r="AA392" i="721"/>
  <c r="Y392" i="721"/>
  <c r="AA384" i="721"/>
  <c r="Y384" i="721"/>
  <c r="AA382" i="721"/>
  <c r="Y382" i="721"/>
  <c r="AA383" i="721"/>
  <c r="Y383" i="721"/>
  <c r="AA381" i="721"/>
  <c r="Y381" i="721"/>
  <c r="AA379" i="721"/>
  <c r="Y379" i="721"/>
  <c r="AA377" i="721"/>
  <c r="Y377" i="721"/>
  <c r="AA352" i="721"/>
  <c r="Y352" i="721"/>
  <c r="AA349" i="721"/>
  <c r="AA353" i="721"/>
  <c r="Y353" i="721"/>
  <c r="AA321" i="721"/>
  <c r="Y321" i="721"/>
  <c r="AA299" i="721"/>
  <c r="AA287" i="721"/>
  <c r="Y287" i="721"/>
  <c r="AA264" i="721"/>
  <c r="Y264" i="721"/>
  <c r="AA276" i="721"/>
  <c r="Y276" i="721"/>
  <c r="AA275" i="721"/>
  <c r="Y275" i="721"/>
  <c r="AA281" i="721"/>
  <c r="Y281" i="721"/>
  <c r="AA256" i="721"/>
  <c r="Y256" i="721"/>
  <c r="AA251" i="721"/>
  <c r="Y251" i="721"/>
  <c r="AA250" i="721"/>
  <c r="Y250" i="721"/>
  <c r="AA215" i="721"/>
  <c r="Y215" i="721"/>
  <c r="AA185" i="721"/>
  <c r="Y185" i="721"/>
  <c r="AA183" i="721"/>
  <c r="Y183" i="721"/>
  <c r="AA163" i="721"/>
  <c r="Y163" i="721"/>
  <c r="AA91" i="721"/>
  <c r="Y91" i="721"/>
  <c r="AA84" i="721"/>
  <c r="Y84" i="721"/>
  <c r="AA53" i="721"/>
  <c r="Y53" i="721"/>
  <c r="AA30" i="721"/>
  <c r="Y30" i="721"/>
  <c r="AA26" i="721"/>
  <c r="Y26" i="721"/>
  <c r="AA28" i="721"/>
  <c r="Y28" i="721"/>
  <c r="AA27" i="721"/>
  <c r="Y27" i="721"/>
  <c r="AA29" i="721"/>
  <c r="Y29" i="721"/>
  <c r="AA444" i="721"/>
  <c r="AA435" i="721"/>
  <c r="Y435" i="721"/>
  <c r="AA378" i="721"/>
  <c r="Y378" i="721"/>
  <c r="AA434" i="721"/>
  <c r="Y434" i="721"/>
  <c r="AA438" i="721"/>
  <c r="Y438" i="721"/>
  <c r="AA491" i="721"/>
  <c r="AA164" i="721"/>
  <c r="Y164" i="721"/>
  <c r="AA361" i="721"/>
  <c r="AA548" i="721"/>
  <c r="Y548" i="721"/>
  <c r="AC496" i="721"/>
  <c r="AA496" i="721"/>
  <c r="Y496" i="721"/>
  <c r="W496" i="721"/>
  <c r="AE496" i="721"/>
  <c r="AA274" i="721"/>
  <c r="AA317" i="721"/>
  <c r="AA316" i="721"/>
  <c r="AA359" i="721"/>
  <c r="AA538" i="721"/>
  <c r="AA303" i="721"/>
  <c r="AA769" i="721"/>
  <c r="AA768" i="721"/>
  <c r="AA20" i="721"/>
  <c r="AA336" i="721"/>
  <c r="AA532" i="721"/>
  <c r="AA783" i="721"/>
  <c r="AA782" i="721"/>
  <c r="AA476" i="721"/>
  <c r="AA475" i="721"/>
  <c r="AA560" i="721"/>
  <c r="AA153" i="721"/>
  <c r="AA571" i="721"/>
  <c r="AA570" i="721"/>
  <c r="AA253" i="721"/>
  <c r="AA114" i="721"/>
  <c r="AA32" i="721"/>
  <c r="AA198" i="721"/>
  <c r="AA197" i="721"/>
  <c r="AA90" i="721"/>
  <c r="T459" i="721"/>
  <c r="P459" i="721"/>
  <c r="L459" i="721"/>
  <c r="N459" i="721"/>
  <c r="R459" i="721"/>
  <c r="J459" i="721"/>
  <c r="AA329" i="721"/>
  <c r="W459" i="721"/>
  <c r="AC459" i="721"/>
  <c r="AA143" i="721"/>
  <c r="AA24" i="721"/>
  <c r="AA23" i="721"/>
  <c r="AA182" i="721"/>
  <c r="AA283" i="721"/>
  <c r="AA55" i="721"/>
  <c r="AA54" i="721"/>
  <c r="AA518" i="721"/>
  <c r="AA517" i="721"/>
  <c r="AA503" i="721"/>
  <c r="AA129" i="721"/>
  <c r="AA133" i="721"/>
  <c r="AA132" i="721"/>
  <c r="R467" i="721"/>
  <c r="N467" i="721"/>
  <c r="T467" i="721"/>
  <c r="AC467" i="721"/>
  <c r="AE467" i="721"/>
  <c r="P467" i="721"/>
  <c r="L467" i="721"/>
  <c r="J467" i="721"/>
  <c r="T586" i="721"/>
  <c r="P586" i="721"/>
  <c r="L586" i="721"/>
  <c r="R586" i="721"/>
  <c r="N586" i="721"/>
  <c r="J586" i="721"/>
  <c r="Y129" i="721"/>
  <c r="Y182" i="721"/>
  <c r="Y518" i="721"/>
  <c r="Y517" i="721"/>
  <c r="Y532" i="721"/>
  <c r="T465" i="721"/>
  <c r="P465" i="721"/>
  <c r="L465" i="721"/>
  <c r="N465" i="721"/>
  <c r="R465" i="721"/>
  <c r="J465" i="721"/>
  <c r="T378" i="721"/>
  <c r="AC378" i="721"/>
  <c r="AE378" i="721"/>
  <c r="P378" i="721"/>
  <c r="L378" i="721"/>
  <c r="R378" i="721"/>
  <c r="N378" i="721"/>
  <c r="J378" i="721"/>
  <c r="T379" i="721"/>
  <c r="P379" i="721"/>
  <c r="L379" i="721"/>
  <c r="R379" i="721"/>
  <c r="N379" i="721"/>
  <c r="J379" i="721"/>
  <c r="T443" i="721"/>
  <c r="P443" i="721"/>
  <c r="L443" i="721"/>
  <c r="N443" i="721"/>
  <c r="R443" i="721"/>
  <c r="J443" i="721"/>
  <c r="T392" i="721"/>
  <c r="AC392" i="721"/>
  <c r="AE392" i="721"/>
  <c r="P392" i="721"/>
  <c r="L392" i="721"/>
  <c r="R392" i="721"/>
  <c r="N392" i="721"/>
  <c r="J392" i="721"/>
  <c r="T424" i="721"/>
  <c r="P424" i="721"/>
  <c r="L424" i="721"/>
  <c r="R424" i="721"/>
  <c r="N424" i="721"/>
  <c r="J424" i="721"/>
  <c r="T417" i="721"/>
  <c r="P417" i="721"/>
  <c r="L417" i="721"/>
  <c r="R417" i="721"/>
  <c r="N417" i="721"/>
  <c r="J417" i="721"/>
  <c r="T414" i="721"/>
  <c r="AC414" i="721"/>
  <c r="AE414" i="721"/>
  <c r="P414" i="721"/>
  <c r="L414" i="721"/>
  <c r="R414" i="721"/>
  <c r="N414" i="721"/>
  <c r="J414" i="721"/>
  <c r="T430" i="721"/>
  <c r="P430" i="721"/>
  <c r="L430" i="721"/>
  <c r="R430" i="721"/>
  <c r="N430" i="721"/>
  <c r="J430" i="721"/>
  <c r="Y476" i="721"/>
  <c r="Y475" i="721"/>
  <c r="Y503" i="721"/>
  <c r="Y502" i="721"/>
  <c r="Y783" i="721"/>
  <c r="Y133" i="721"/>
  <c r="Y143" i="721"/>
  <c r="Y142" i="721"/>
  <c r="AC440" i="721"/>
  <c r="W424" i="721"/>
  <c r="AC424" i="721"/>
  <c r="AE424" i="721"/>
  <c r="W450" i="721"/>
  <c r="AC450" i="721"/>
  <c r="W378" i="721"/>
  <c r="AC733" i="721"/>
  <c r="AC610" i="721"/>
  <c r="AC608" i="721"/>
  <c r="AC609" i="721"/>
  <c r="AC611" i="721"/>
  <c r="AC607" i="721"/>
  <c r="W430" i="721"/>
  <c r="AC430" i="721"/>
  <c r="W414" i="721"/>
  <c r="W417" i="721"/>
  <c r="AC417" i="721"/>
  <c r="W456" i="721"/>
  <c r="AC456" i="721"/>
  <c r="W392" i="721"/>
  <c r="W443" i="721"/>
  <c r="AC443" i="721"/>
  <c r="AE443" i="721"/>
  <c r="W379" i="721"/>
  <c r="AC379" i="721"/>
  <c r="W465" i="721"/>
  <c r="AC465" i="721"/>
  <c r="AC588" i="721"/>
  <c r="W586" i="721"/>
  <c r="AC586" i="721"/>
  <c r="AE586" i="721"/>
  <c r="AC595" i="721"/>
  <c r="W467" i="721"/>
  <c r="Y24" i="721"/>
  <c r="Y571" i="721"/>
  <c r="Y570" i="721"/>
  <c r="T393" i="721"/>
  <c r="P393" i="721"/>
  <c r="L393" i="721"/>
  <c r="R393" i="721"/>
  <c r="N393" i="721"/>
  <c r="J393" i="721"/>
  <c r="T384" i="721"/>
  <c r="P384" i="721"/>
  <c r="L384" i="721"/>
  <c r="R384" i="721"/>
  <c r="N384" i="721"/>
  <c r="J384" i="721"/>
  <c r="T26" i="721"/>
  <c r="P26" i="721"/>
  <c r="L26" i="721"/>
  <c r="R26" i="721"/>
  <c r="N26" i="721"/>
  <c r="J26" i="721"/>
  <c r="T27" i="721"/>
  <c r="AC27" i="721"/>
  <c r="AE27" i="721"/>
  <c r="P27" i="721"/>
  <c r="L27" i="721"/>
  <c r="R27" i="721"/>
  <c r="N27" i="721"/>
  <c r="J27" i="721"/>
  <c r="T561" i="721"/>
  <c r="P561" i="721"/>
  <c r="L561" i="721"/>
  <c r="R561" i="721"/>
  <c r="N561" i="721"/>
  <c r="J561" i="721"/>
  <c r="R74" i="721"/>
  <c r="N74" i="721"/>
  <c r="J74" i="721"/>
  <c r="T74" i="721"/>
  <c r="P74" i="721"/>
  <c r="L74" i="721"/>
  <c r="J492" i="721"/>
  <c r="W780" i="721"/>
  <c r="R15" i="721"/>
  <c r="N15" i="721"/>
  <c r="J15" i="721"/>
  <c r="T15" i="721"/>
  <c r="P15" i="721"/>
  <c r="L15" i="721"/>
  <c r="T49" i="721"/>
  <c r="P49" i="721"/>
  <c r="L49" i="721"/>
  <c r="R49" i="721"/>
  <c r="N49" i="721"/>
  <c r="J49" i="721"/>
  <c r="P45" i="721"/>
  <c r="N45" i="721"/>
  <c r="T45" i="721"/>
  <c r="R45" i="721"/>
  <c r="L45" i="721"/>
  <c r="J45" i="721"/>
  <c r="T423" i="721"/>
  <c r="P423" i="721"/>
  <c r="L423" i="721"/>
  <c r="R423" i="721"/>
  <c r="N423" i="721"/>
  <c r="J423" i="721"/>
  <c r="R666" i="721"/>
  <c r="R668" i="721"/>
  <c r="R665" i="721"/>
  <c r="N668" i="721"/>
  <c r="T668" i="721"/>
  <c r="P668" i="721"/>
  <c r="L668" i="721"/>
  <c r="J668" i="721"/>
  <c r="N666" i="721"/>
  <c r="T666" i="721"/>
  <c r="P666" i="721"/>
  <c r="AC666" i="721"/>
  <c r="AA666" i="721"/>
  <c r="Y666" i="721"/>
  <c r="L666" i="721"/>
  <c r="AE666" i="721"/>
  <c r="J666" i="721"/>
  <c r="T429" i="721"/>
  <c r="AC429" i="721"/>
  <c r="AE429" i="721"/>
  <c r="P429" i="721"/>
  <c r="L429" i="721"/>
  <c r="R429" i="721"/>
  <c r="N429" i="721"/>
  <c r="J429" i="721"/>
  <c r="T381" i="721"/>
  <c r="P381" i="721"/>
  <c r="L381" i="721"/>
  <c r="R381" i="721"/>
  <c r="N381" i="721"/>
  <c r="J381" i="721"/>
  <c r="T428" i="721"/>
  <c r="AC428" i="721"/>
  <c r="AE428" i="721"/>
  <c r="P428" i="721"/>
  <c r="L428" i="721"/>
  <c r="R428" i="721"/>
  <c r="N428" i="721"/>
  <c r="J428" i="721"/>
  <c r="T451" i="721"/>
  <c r="P451" i="721"/>
  <c r="L451" i="721"/>
  <c r="N451" i="721"/>
  <c r="R451" i="721"/>
  <c r="J451" i="721"/>
  <c r="T435" i="721"/>
  <c r="P435" i="721"/>
  <c r="L435" i="721"/>
  <c r="R435" i="721"/>
  <c r="N435" i="721"/>
  <c r="J435" i="721"/>
  <c r="T383" i="721"/>
  <c r="P383" i="721"/>
  <c r="L383" i="721"/>
  <c r="R383" i="721"/>
  <c r="N383" i="721"/>
  <c r="J383" i="721"/>
  <c r="T438" i="721"/>
  <c r="P438" i="721"/>
  <c r="L438" i="721"/>
  <c r="R438" i="721"/>
  <c r="N438" i="721"/>
  <c r="J438" i="721"/>
  <c r="T382" i="721"/>
  <c r="P382" i="721"/>
  <c r="L382" i="721"/>
  <c r="R382" i="721"/>
  <c r="N382" i="721"/>
  <c r="J382" i="721"/>
  <c r="T466" i="721"/>
  <c r="P466" i="721"/>
  <c r="L466" i="721"/>
  <c r="N466" i="721"/>
  <c r="R466" i="721"/>
  <c r="J466" i="721"/>
  <c r="T322" i="721"/>
  <c r="P322" i="721"/>
  <c r="L322" i="721"/>
  <c r="R322" i="721"/>
  <c r="N322" i="721"/>
  <c r="J322" i="721"/>
  <c r="T28" i="721"/>
  <c r="P28" i="721"/>
  <c r="L28" i="721"/>
  <c r="R28" i="721"/>
  <c r="N28" i="721"/>
  <c r="J28" i="721"/>
  <c r="P29" i="721"/>
  <c r="L29" i="721"/>
  <c r="J29" i="721"/>
  <c r="T25" i="721"/>
  <c r="P25" i="721"/>
  <c r="L25" i="721"/>
  <c r="R25" i="721"/>
  <c r="N25" i="721"/>
  <c r="J25" i="721"/>
  <c r="R164" i="721"/>
  <c r="N164" i="721"/>
  <c r="T164" i="721"/>
  <c r="P164" i="721"/>
  <c r="L164" i="721"/>
  <c r="J164" i="721"/>
  <c r="R569" i="721"/>
  <c r="N569" i="721"/>
  <c r="J569" i="721"/>
  <c r="T569" i="721"/>
  <c r="P569" i="721"/>
  <c r="L569" i="721"/>
  <c r="J201" i="721"/>
  <c r="T53" i="721"/>
  <c r="P53" i="721"/>
  <c r="N53" i="721"/>
  <c r="R53" i="721"/>
  <c r="L53" i="721"/>
  <c r="J53" i="721"/>
  <c r="T46" i="721"/>
  <c r="P46" i="721"/>
  <c r="L46" i="721"/>
  <c r="R46" i="721"/>
  <c r="N46" i="721"/>
  <c r="J46" i="721"/>
  <c r="T449" i="721"/>
  <c r="P449" i="721"/>
  <c r="L449" i="721"/>
  <c r="N449" i="721"/>
  <c r="R449" i="721"/>
  <c r="J449" i="721"/>
  <c r="T425" i="721"/>
  <c r="P425" i="721"/>
  <c r="L425" i="721"/>
  <c r="R425" i="721"/>
  <c r="N425" i="721"/>
  <c r="J425" i="721"/>
  <c r="T416" i="721"/>
  <c r="P416" i="721"/>
  <c r="L416" i="721"/>
  <c r="R416" i="721"/>
  <c r="N416" i="721"/>
  <c r="J416" i="721"/>
  <c r="T464" i="721"/>
  <c r="AC464" i="721"/>
  <c r="AE464" i="721"/>
  <c r="P464" i="721"/>
  <c r="L464" i="721"/>
  <c r="N464" i="721"/>
  <c r="R464" i="721"/>
  <c r="J464" i="721"/>
  <c r="Y198" i="721"/>
  <c r="Y153" i="721"/>
  <c r="Y560" i="721"/>
  <c r="Y491" i="721"/>
  <c r="Y55" i="721"/>
  <c r="L650" i="721"/>
  <c r="L648" i="721"/>
  <c r="N650" i="721"/>
  <c r="R650" i="721"/>
  <c r="J650" i="721"/>
  <c r="P650" i="721"/>
  <c r="AC650" i="721"/>
  <c r="W650" i="721"/>
  <c r="T650" i="721"/>
  <c r="AE650" i="721"/>
  <c r="N731" i="721"/>
  <c r="P731" i="721"/>
  <c r="T731" i="721"/>
  <c r="R731" i="721"/>
  <c r="J731" i="721"/>
  <c r="L731" i="721"/>
  <c r="T587" i="721"/>
  <c r="N587" i="721"/>
  <c r="L587" i="721"/>
  <c r="R587" i="721"/>
  <c r="P587" i="721"/>
  <c r="J587" i="721"/>
  <c r="N827" i="721"/>
  <c r="L17" i="721"/>
  <c r="P17" i="721"/>
  <c r="J17" i="721"/>
  <c r="N17" i="721"/>
  <c r="R17" i="721"/>
  <c r="T589" i="721"/>
  <c r="P589" i="721"/>
  <c r="N589" i="721"/>
  <c r="R589" i="721"/>
  <c r="L589" i="721"/>
  <c r="R584" i="721"/>
  <c r="N584" i="721"/>
  <c r="L584" i="721"/>
  <c r="P584" i="721"/>
  <c r="T584" i="721"/>
  <c r="J584" i="721"/>
  <c r="R560" i="721"/>
  <c r="W466" i="721"/>
  <c r="AC466" i="721"/>
  <c r="W451" i="721"/>
  <c r="AC451" i="721"/>
  <c r="AC436" i="721"/>
  <c r="W382" i="721"/>
  <c r="AC382" i="721"/>
  <c r="AC444" i="721"/>
  <c r="W423" i="721"/>
  <c r="AC423" i="721"/>
  <c r="AE423" i="721"/>
  <c r="W30" i="721"/>
  <c r="AC30" i="721"/>
  <c r="W45" i="721"/>
  <c r="AC45" i="721"/>
  <c r="W15" i="721"/>
  <c r="AC15" i="721"/>
  <c r="W34" i="721"/>
  <c r="W49" i="721"/>
  <c r="AC49" i="721"/>
  <c r="W39" i="721"/>
  <c r="W37" i="721"/>
  <c r="AC37" i="721"/>
  <c r="W384" i="721"/>
  <c r="AC384" i="721"/>
  <c r="W435" i="721"/>
  <c r="AC435" i="721"/>
  <c r="AE435" i="721"/>
  <c r="W428" i="721"/>
  <c r="AC405" i="721"/>
  <c r="AC389" i="721"/>
  <c r="AC445" i="721"/>
  <c r="AC50" i="721"/>
  <c r="W74" i="721"/>
  <c r="AC74" i="721"/>
  <c r="AC401" i="721"/>
  <c r="N560" i="721"/>
  <c r="W381" i="721"/>
  <c r="AC381" i="721"/>
  <c r="AE381" i="721"/>
  <c r="AC462" i="721"/>
  <c r="AC448" i="721"/>
  <c r="T560" i="721"/>
  <c r="T559" i="721"/>
  <c r="AC560" i="721"/>
  <c r="AC561" i="721"/>
  <c r="AC559" i="721"/>
  <c r="AA559" i="721"/>
  <c r="AE559" i="721"/>
  <c r="AC493" i="721"/>
  <c r="W383" i="721"/>
  <c r="AC383" i="721"/>
  <c r="AE383" i="721"/>
  <c r="AC420" i="721"/>
  <c r="W434" i="721"/>
  <c r="AC434" i="721"/>
  <c r="AC118" i="721"/>
  <c r="AC150" i="721"/>
  <c r="W561" i="721"/>
  <c r="W26" i="721"/>
  <c r="AC26" i="721"/>
  <c r="W438" i="721"/>
  <c r="AC438" i="721"/>
  <c r="W429" i="721"/>
  <c r="AC426" i="721"/>
  <c r="AC781" i="721"/>
  <c r="W27" i="721"/>
  <c r="T576" i="721"/>
  <c r="W393" i="721"/>
  <c r="AC393" i="721"/>
  <c r="AE393" i="721"/>
  <c r="R574" i="721"/>
  <c r="P560" i="721"/>
  <c r="W829" i="721"/>
  <c r="N574" i="721"/>
  <c r="J560" i="721"/>
  <c r="L560" i="721"/>
  <c r="J574" i="721"/>
  <c r="AC668" i="721"/>
  <c r="J73" i="721"/>
  <c r="T574" i="721"/>
  <c r="P574" i="721"/>
  <c r="L574" i="721"/>
  <c r="W464" i="721"/>
  <c r="W449" i="721"/>
  <c r="AC449" i="721"/>
  <c r="AE449" i="721"/>
  <c r="W46" i="721"/>
  <c r="AC46" i="721"/>
  <c r="W48" i="721"/>
  <c r="AC48" i="721"/>
  <c r="AC813" i="721"/>
  <c r="W164" i="721"/>
  <c r="AE164" i="721"/>
  <c r="W36" i="721"/>
  <c r="W35" i="721"/>
  <c r="W29" i="721"/>
  <c r="AC29" i="721"/>
  <c r="W28" i="721"/>
  <c r="AC28" i="721"/>
  <c r="AE28" i="721"/>
  <c r="AC340" i="721"/>
  <c r="W322" i="721"/>
  <c r="AC322" i="721"/>
  <c r="W416" i="721"/>
  <c r="AC416" i="721"/>
  <c r="W425" i="721"/>
  <c r="AC425" i="721"/>
  <c r="AC457" i="721"/>
  <c r="W53" i="721"/>
  <c r="AC53" i="721"/>
  <c r="AC116" i="721"/>
  <c r="W163" i="721"/>
  <c r="W569" i="721"/>
  <c r="AC569" i="721"/>
  <c r="AE569" i="721"/>
  <c r="W25" i="721"/>
  <c r="AC25" i="721"/>
  <c r="AC577" i="721"/>
  <c r="W574" i="721"/>
  <c r="AC574" i="721"/>
  <c r="Y274" i="721"/>
  <c r="Y273" i="721"/>
  <c r="Y336" i="721"/>
  <c r="Y335" i="721"/>
  <c r="Y253" i="721"/>
  <c r="Y32" i="721"/>
  <c r="Y303" i="721"/>
  <c r="Y302" i="721"/>
  <c r="Y283" i="721"/>
  <c r="Y317" i="721"/>
  <c r="Y90" i="721"/>
  <c r="Y89" i="721"/>
  <c r="Y355" i="721"/>
  <c r="Y354" i="721"/>
  <c r="Y20" i="721"/>
  <c r="N24" i="721"/>
  <c r="L24" i="721"/>
  <c r="L23" i="721"/>
  <c r="T24" i="721"/>
  <c r="T23" i="721"/>
  <c r="AC24" i="721"/>
  <c r="AC23" i="721"/>
  <c r="AE23" i="721"/>
  <c r="W377" i="721"/>
  <c r="AC377" i="721"/>
  <c r="L153" i="721"/>
  <c r="T153" i="721"/>
  <c r="N153" i="721"/>
  <c r="P199" i="721"/>
  <c r="J199" i="721"/>
  <c r="R199" i="721"/>
  <c r="T352" i="721"/>
  <c r="P352" i="721"/>
  <c r="L352" i="721"/>
  <c r="N352" i="721"/>
  <c r="R352" i="721"/>
  <c r="J352" i="721"/>
  <c r="T488" i="721"/>
  <c r="P488" i="721"/>
  <c r="L488" i="721"/>
  <c r="R488" i="721"/>
  <c r="N488" i="721"/>
  <c r="J488" i="721"/>
  <c r="R711" i="721"/>
  <c r="N711" i="721"/>
  <c r="J711" i="721"/>
  <c r="T711" i="721"/>
  <c r="AC711" i="721"/>
  <c r="AE711" i="721"/>
  <c r="P711" i="721"/>
  <c r="L711" i="721"/>
  <c r="T331" i="721"/>
  <c r="P331" i="721"/>
  <c r="L331" i="721"/>
  <c r="R331" i="721"/>
  <c r="N331" i="721"/>
  <c r="J331" i="721"/>
  <c r="R285" i="721"/>
  <c r="N285" i="721"/>
  <c r="T285" i="721"/>
  <c r="P285" i="721"/>
  <c r="L285" i="721"/>
  <c r="J285" i="721"/>
  <c r="T275" i="721"/>
  <c r="P275" i="721"/>
  <c r="R275" i="721"/>
  <c r="N275" i="721"/>
  <c r="L275" i="721"/>
  <c r="R338" i="721"/>
  <c r="N338" i="721"/>
  <c r="J338" i="721"/>
  <c r="T338" i="721"/>
  <c r="L338" i="721"/>
  <c r="P338" i="721"/>
  <c r="T284" i="721"/>
  <c r="P284" i="721"/>
  <c r="L284" i="721"/>
  <c r="R284" i="721"/>
  <c r="N284" i="721"/>
  <c r="J284" i="721"/>
  <c r="T333" i="721"/>
  <c r="P333" i="721"/>
  <c r="L333" i="721"/>
  <c r="R333" i="721"/>
  <c r="N333" i="721"/>
  <c r="J333" i="721"/>
  <c r="T318" i="721"/>
  <c r="P318" i="721"/>
  <c r="L318" i="721"/>
  <c r="R318" i="721"/>
  <c r="N318" i="721"/>
  <c r="J318" i="721"/>
  <c r="T287" i="721"/>
  <c r="P287" i="721"/>
  <c r="R287" i="721"/>
  <c r="N287" i="721"/>
  <c r="L287" i="721"/>
  <c r="T91" i="721"/>
  <c r="P91" i="721"/>
  <c r="L91" i="721"/>
  <c r="R91" i="721"/>
  <c r="N91" i="721"/>
  <c r="J91" i="721"/>
  <c r="T353" i="721"/>
  <c r="P353" i="721"/>
  <c r="L353" i="721"/>
  <c r="N353" i="721"/>
  <c r="R353" i="721"/>
  <c r="J353" i="721"/>
  <c r="T321" i="721"/>
  <c r="P321" i="721"/>
  <c r="L321" i="721"/>
  <c r="R321" i="721"/>
  <c r="N321" i="721"/>
  <c r="J321" i="721"/>
  <c r="R281" i="721"/>
  <c r="N281" i="721"/>
  <c r="T281" i="721"/>
  <c r="P281" i="721"/>
  <c r="L281" i="721"/>
  <c r="J281" i="721"/>
  <c r="N696" i="721"/>
  <c r="T696" i="721"/>
  <c r="P696" i="721"/>
  <c r="L696" i="721"/>
  <c r="T32" i="721"/>
  <c r="P32" i="721"/>
  <c r="L32" i="721"/>
  <c r="R32" i="721"/>
  <c r="J32" i="721"/>
  <c r="N32" i="721"/>
  <c r="R700" i="721"/>
  <c r="N700" i="721"/>
  <c r="P700" i="721"/>
  <c r="L700" i="721"/>
  <c r="J700" i="721"/>
  <c r="R698" i="721"/>
  <c r="N698" i="721"/>
  <c r="T698" i="721"/>
  <c r="P698" i="721"/>
  <c r="L698" i="721"/>
  <c r="J698" i="721"/>
  <c r="R251" i="721"/>
  <c r="N251" i="721"/>
  <c r="T251" i="721"/>
  <c r="P251" i="721"/>
  <c r="L251" i="721"/>
  <c r="J251" i="721"/>
  <c r="T701" i="721"/>
  <c r="AC701" i="721"/>
  <c r="AE701" i="721"/>
  <c r="P701" i="721"/>
  <c r="L701" i="721"/>
  <c r="R701" i="721"/>
  <c r="N701" i="721"/>
  <c r="J701" i="721"/>
  <c r="R250" i="721"/>
  <c r="N250" i="721"/>
  <c r="T250" i="721"/>
  <c r="P250" i="721"/>
  <c r="L250" i="721"/>
  <c r="T21" i="721"/>
  <c r="T19" i="721"/>
  <c r="J21" i="721"/>
  <c r="P21" i="721"/>
  <c r="L21" i="721"/>
  <c r="R21" i="721"/>
  <c r="R19" i="721"/>
  <c r="N21" i="721"/>
  <c r="R550" i="721"/>
  <c r="L550" i="721"/>
  <c r="T550" i="721"/>
  <c r="P550" i="721"/>
  <c r="N550" i="721"/>
  <c r="J550" i="721"/>
  <c r="T463" i="721"/>
  <c r="P463" i="721"/>
  <c r="L463" i="721"/>
  <c r="N463" i="721"/>
  <c r="R463" i="721"/>
  <c r="J463" i="721"/>
  <c r="P376" i="721"/>
  <c r="P375" i="721"/>
  <c r="L376" i="721"/>
  <c r="N376" i="721"/>
  <c r="R376" i="721"/>
  <c r="R332" i="721"/>
  <c r="N332" i="721"/>
  <c r="P332" i="721"/>
  <c r="T332" i="721"/>
  <c r="L332" i="721"/>
  <c r="J332" i="721"/>
  <c r="R319" i="721"/>
  <c r="N319" i="721"/>
  <c r="T319" i="721"/>
  <c r="AC319" i="721"/>
  <c r="AE319" i="721"/>
  <c r="P319" i="721"/>
  <c r="L319" i="721"/>
  <c r="J319" i="721"/>
  <c r="T84" i="721"/>
  <c r="AC84" i="721"/>
  <c r="AE84" i="721"/>
  <c r="P84" i="721"/>
  <c r="L84" i="721"/>
  <c r="R84" i="721"/>
  <c r="N84" i="721"/>
  <c r="J84" i="721"/>
  <c r="R256" i="721"/>
  <c r="N256" i="721"/>
  <c r="J256" i="721"/>
  <c r="T256" i="721"/>
  <c r="AC256" i="721"/>
  <c r="AE256" i="721"/>
  <c r="P256" i="721"/>
  <c r="L256" i="721"/>
  <c r="R276" i="721"/>
  <c r="N276" i="721"/>
  <c r="T276" i="721"/>
  <c r="P276" i="721"/>
  <c r="L276" i="721"/>
  <c r="T697" i="721"/>
  <c r="P697" i="721"/>
  <c r="L697" i="721"/>
  <c r="R697" i="721"/>
  <c r="N697" i="721"/>
  <c r="J697" i="721"/>
  <c r="R712" i="721"/>
  <c r="N712" i="721"/>
  <c r="T712" i="721"/>
  <c r="AC712" i="721"/>
  <c r="AE712" i="721"/>
  <c r="P712" i="721"/>
  <c r="L712" i="721"/>
  <c r="J712" i="721"/>
  <c r="R255" i="721"/>
  <c r="N255" i="721"/>
  <c r="J255" i="721"/>
  <c r="T255" i="721"/>
  <c r="P255" i="721"/>
  <c r="L255" i="721"/>
  <c r="T356" i="721"/>
  <c r="T354" i="721"/>
  <c r="P356" i="721"/>
  <c r="P354" i="721"/>
  <c r="L356" i="721"/>
  <c r="L354" i="721"/>
  <c r="R356" i="721"/>
  <c r="R354" i="721"/>
  <c r="N356" i="721"/>
  <c r="N354" i="721"/>
  <c r="J356" i="721"/>
  <c r="AA649" i="721"/>
  <c r="AA648" i="721"/>
  <c r="AA653" i="721"/>
  <c r="AA647" i="721"/>
  <c r="R24" i="721"/>
  <c r="J24" i="721"/>
  <c r="P24" i="721"/>
  <c r="AC115" i="721"/>
  <c r="P153" i="721"/>
  <c r="J153" i="721"/>
  <c r="R153" i="721"/>
  <c r="L199" i="721"/>
  <c r="W199" i="721"/>
  <c r="AC199" i="721"/>
  <c r="T199" i="721"/>
  <c r="N199" i="721"/>
  <c r="W571" i="721"/>
  <c r="W570" i="721"/>
  <c r="AC571" i="721"/>
  <c r="AC570" i="721"/>
  <c r="P761" i="721"/>
  <c r="P770" i="721"/>
  <c r="P768" i="721"/>
  <c r="T761" i="721"/>
  <c r="T770" i="721"/>
  <c r="L827" i="721"/>
  <c r="AC827" i="721"/>
  <c r="W827" i="721"/>
  <c r="T827" i="721"/>
  <c r="R827" i="721"/>
  <c r="P827" i="721"/>
  <c r="AE827" i="721"/>
  <c r="J827" i="721"/>
  <c r="AC732" i="721"/>
  <c r="W731" i="721"/>
  <c r="AC731" i="721"/>
  <c r="AC16" i="721"/>
  <c r="AC597" i="721"/>
  <c r="AC806" i="721"/>
  <c r="R761" i="721"/>
  <c r="R770" i="721"/>
  <c r="AC594" i="721"/>
  <c r="AC618" i="721"/>
  <c r="AC615" i="721"/>
  <c r="AC614" i="721"/>
  <c r="W587" i="721"/>
  <c r="AC587" i="721"/>
  <c r="W584" i="721"/>
  <c r="AC584" i="721"/>
  <c r="W17" i="721"/>
  <c r="AC18" i="721"/>
  <c r="AC590" i="721"/>
  <c r="W589" i="721"/>
  <c r="AC589" i="721"/>
  <c r="L317" i="721"/>
  <c r="L761" i="721"/>
  <c r="L770" i="721"/>
  <c r="W24" i="721"/>
  <c r="AC334" i="721"/>
  <c r="W560" i="721"/>
  <c r="W559" i="721"/>
  <c r="AE560" i="721"/>
  <c r="J761" i="721"/>
  <c r="J770" i="721"/>
  <c r="J768" i="721"/>
  <c r="N761" i="721"/>
  <c r="N770" i="721"/>
  <c r="P90" i="721"/>
  <c r="N317" i="721"/>
  <c r="T90" i="721"/>
  <c r="L90" i="721"/>
  <c r="L89" i="721"/>
  <c r="R317" i="721"/>
  <c r="R316" i="721"/>
  <c r="R90" i="721"/>
  <c r="T317" i="721"/>
  <c r="J90" i="721"/>
  <c r="N90" i="721"/>
  <c r="N89" i="721"/>
  <c r="J317" i="721"/>
  <c r="P317" i="721"/>
  <c r="W198" i="721"/>
  <c r="W197" i="721"/>
  <c r="AC198" i="721"/>
  <c r="AE198" i="721"/>
  <c r="W255" i="721"/>
  <c r="AC255" i="721"/>
  <c r="AE255" i="721"/>
  <c r="AC51" i="721"/>
  <c r="AC247" i="721"/>
  <c r="AC286" i="721"/>
  <c r="AC308" i="721"/>
  <c r="W256" i="721"/>
  <c r="AC312" i="721"/>
  <c r="AC288" i="721"/>
  <c r="AC297" i="721"/>
  <c r="W319" i="721"/>
  <c r="W463" i="721"/>
  <c r="AC463" i="721"/>
  <c r="AC704" i="721"/>
  <c r="W21" i="721"/>
  <c r="AC21" i="721"/>
  <c r="AE21" i="721"/>
  <c r="W250" i="721"/>
  <c r="AC250" i="721"/>
  <c r="W251" i="721"/>
  <c r="AC251" i="721"/>
  <c r="W700" i="721"/>
  <c r="W281" i="721"/>
  <c r="AC281" i="721"/>
  <c r="AC313" i="721"/>
  <c r="W321" i="721"/>
  <c r="AC321" i="721"/>
  <c r="W353" i="721"/>
  <c r="AC353" i="721"/>
  <c r="AE353" i="721"/>
  <c r="AC277" i="721"/>
  <c r="W287" i="721"/>
  <c r="AC287" i="721"/>
  <c r="AE287" i="721"/>
  <c r="AC296" i="721"/>
  <c r="AC307" i="721"/>
  <c r="W333" i="721"/>
  <c r="AC333" i="721"/>
  <c r="AE333" i="721"/>
  <c r="W770" i="721"/>
  <c r="AC770" i="721"/>
  <c r="W338" i="721"/>
  <c r="AC338" i="721"/>
  <c r="AC710" i="721"/>
  <c r="AC305" i="721"/>
  <c r="W331" i="721"/>
  <c r="AC331" i="721"/>
  <c r="W488" i="721"/>
  <c r="AC488" i="721"/>
  <c r="AC320" i="721"/>
  <c r="W352" i="721"/>
  <c r="AC352" i="721"/>
  <c r="AC361" i="721"/>
  <c r="AC362" i="721"/>
  <c r="W712" i="721"/>
  <c r="W697" i="721"/>
  <c r="AC697" i="721"/>
  <c r="AE697" i="721"/>
  <c r="W276" i="721"/>
  <c r="AC276" i="721"/>
  <c r="AC330" i="721"/>
  <c r="AC329" i="721"/>
  <c r="AC332" i="721"/>
  <c r="AC328" i="721"/>
  <c r="AC291" i="721"/>
  <c r="AC365" i="721"/>
  <c r="W84" i="721"/>
  <c r="AC101" i="721"/>
  <c r="W332" i="721"/>
  <c r="AC350" i="721"/>
  <c r="W550" i="721"/>
  <c r="AC550" i="721"/>
  <c r="W701" i="721"/>
  <c r="W698" i="721"/>
  <c r="AC698" i="721"/>
  <c r="W696" i="721"/>
  <c r="AC696" i="721"/>
  <c r="W91" i="721"/>
  <c r="AC91" i="721"/>
  <c r="W318" i="721"/>
  <c r="AC318" i="721"/>
  <c r="AC317" i="721"/>
  <c r="AC316" i="721"/>
  <c r="W284" i="721"/>
  <c r="AC284" i="721"/>
  <c r="AC283" i="721"/>
  <c r="AC285" i="721"/>
  <c r="AC282" i="721"/>
  <c r="AC292" i="721"/>
  <c r="AC306" i="721"/>
  <c r="W324" i="721"/>
  <c r="AC324" i="721"/>
  <c r="AC87" i="721"/>
  <c r="W275" i="721"/>
  <c r="AC275" i="721"/>
  <c r="W285" i="721"/>
  <c r="AE285" i="721"/>
  <c r="W711" i="721"/>
  <c r="W784" i="721"/>
  <c r="AC784" i="721"/>
  <c r="AC289" i="721"/>
  <c r="AC309" i="721"/>
  <c r="W153" i="721"/>
  <c r="T548" i="721"/>
  <c r="P548" i="721"/>
  <c r="L548" i="721"/>
  <c r="R548" i="721"/>
  <c r="N548" i="721"/>
  <c r="J548" i="721"/>
  <c r="T523" i="721"/>
  <c r="P523" i="721"/>
  <c r="R523" i="721"/>
  <c r="N523" i="721"/>
  <c r="L523" i="721"/>
  <c r="T215" i="721"/>
  <c r="R215" i="721"/>
  <c r="N215" i="721"/>
  <c r="T224" i="721"/>
  <c r="P224" i="721"/>
  <c r="L224" i="721"/>
  <c r="R224" i="721"/>
  <c r="N224" i="721"/>
  <c r="J224" i="721"/>
  <c r="T183" i="721"/>
  <c r="R183" i="721"/>
  <c r="N183" i="721"/>
  <c r="AA760" i="721"/>
  <c r="J497" i="721"/>
  <c r="L283" i="721"/>
  <c r="L282" i="721"/>
  <c r="T283" i="721"/>
  <c r="AE283" i="721"/>
  <c r="N283" i="721"/>
  <c r="P303" i="721"/>
  <c r="R303" i="721"/>
  <c r="L329" i="721"/>
  <c r="L328" i="721"/>
  <c r="T329" i="721"/>
  <c r="L254" i="721"/>
  <c r="W254" i="721"/>
  <c r="AC254" i="721"/>
  <c r="T254" i="721"/>
  <c r="N254" i="721"/>
  <c r="P337" i="721"/>
  <c r="W337" i="721"/>
  <c r="AC337" i="721"/>
  <c r="T337" i="721"/>
  <c r="N337" i="721"/>
  <c r="P274" i="721"/>
  <c r="P273" i="721"/>
  <c r="R274" i="721"/>
  <c r="W356" i="721"/>
  <c r="AC356" i="721"/>
  <c r="AE356" i="721"/>
  <c r="J376" i="721"/>
  <c r="T376" i="721"/>
  <c r="R605" i="721"/>
  <c r="N605" i="721"/>
  <c r="J605" i="721"/>
  <c r="P605" i="721"/>
  <c r="L605" i="721"/>
  <c r="R539" i="721"/>
  <c r="W539" i="721"/>
  <c r="T539" i="721"/>
  <c r="P539" i="721"/>
  <c r="N539" i="721"/>
  <c r="L539" i="721"/>
  <c r="AE539" i="721"/>
  <c r="J539" i="721"/>
  <c r="P473" i="721"/>
  <c r="N473" i="721"/>
  <c r="L473" i="721"/>
  <c r="J473" i="721"/>
  <c r="T473" i="721"/>
  <c r="R473" i="721"/>
  <c r="Y376" i="721"/>
  <c r="Y375" i="721"/>
  <c r="P58" i="721"/>
  <c r="N58" i="721"/>
  <c r="T807" i="721"/>
  <c r="P807" i="721"/>
  <c r="L807" i="721"/>
  <c r="N807" i="721"/>
  <c r="R807" i="721"/>
  <c r="J807" i="721"/>
  <c r="T184" i="721"/>
  <c r="P184" i="721"/>
  <c r="L184" i="721"/>
  <c r="J184" i="721"/>
  <c r="Y665" i="721"/>
  <c r="Y672" i="721"/>
  <c r="Y679" i="721"/>
  <c r="Y664" i="721"/>
  <c r="Y329" i="721"/>
  <c r="Y328" i="721"/>
  <c r="X328" i="721"/>
  <c r="P283" i="721"/>
  <c r="J283" i="721"/>
  <c r="R283" i="721"/>
  <c r="L303" i="721"/>
  <c r="L302" i="721"/>
  <c r="T303" i="721"/>
  <c r="J303" i="721"/>
  <c r="N303" i="721"/>
  <c r="N302" i="721"/>
  <c r="N329" i="721"/>
  <c r="R329" i="721"/>
  <c r="J329" i="721"/>
  <c r="P329" i="721"/>
  <c r="P328" i="721"/>
  <c r="P254" i="721"/>
  <c r="J254" i="721"/>
  <c r="R254" i="721"/>
  <c r="L337" i="721"/>
  <c r="J337" i="721"/>
  <c r="R337" i="721"/>
  <c r="L274" i="721"/>
  <c r="T274" i="721"/>
  <c r="AC274" i="721"/>
  <c r="AE274" i="721"/>
  <c r="J274" i="721"/>
  <c r="N274" i="721"/>
  <c r="W355" i="721"/>
  <c r="AC355" i="721"/>
  <c r="AE355" i="721"/>
  <c r="W33" i="721"/>
  <c r="AC33" i="721"/>
  <c r="J477" i="721"/>
  <c r="N477" i="721"/>
  <c r="R477" i="721"/>
  <c r="L477" i="721"/>
  <c r="P477" i="721"/>
  <c r="W477" i="721"/>
  <c r="AC477" i="721"/>
  <c r="T477" i="721"/>
  <c r="AE477" i="721"/>
  <c r="Y729" i="721"/>
  <c r="AA729" i="721"/>
  <c r="AC593" i="721"/>
  <c r="AC592" i="721"/>
  <c r="AC486" i="721"/>
  <c r="N694" i="721"/>
  <c r="N693" i="721"/>
  <c r="AC567" i="721"/>
  <c r="W303" i="721"/>
  <c r="AC303" i="721"/>
  <c r="W183" i="721"/>
  <c r="AC183" i="721"/>
  <c r="W253" i="721"/>
  <c r="AC253" i="721"/>
  <c r="AC135" i="721"/>
  <c r="AC230" i="721"/>
  <c r="W336" i="721"/>
  <c r="AC336" i="721"/>
  <c r="R190" i="721"/>
  <c r="J504" i="721"/>
  <c r="N190" i="721"/>
  <c r="AC136" i="721"/>
  <c r="AC724" i="721"/>
  <c r="T504" i="721"/>
  <c r="AC233" i="721"/>
  <c r="AC606" i="721"/>
  <c r="AC485" i="721"/>
  <c r="W548" i="721"/>
  <c r="AC548" i="721"/>
  <c r="AE548" i="721"/>
  <c r="W283" i="721"/>
  <c r="W282" i="721"/>
  <c r="AC192" i="721"/>
  <c r="W274" i="721"/>
  <c r="W273" i="721"/>
  <c r="J190" i="721"/>
  <c r="AC803" i="721"/>
  <c r="AC215" i="721"/>
  <c r="W224" i="721"/>
  <c r="AC224" i="721"/>
  <c r="W523" i="721"/>
  <c r="AC523" i="721"/>
  <c r="W317" i="721"/>
  <c r="W90" i="721"/>
  <c r="W89" i="721"/>
  <c r="AC90" i="721"/>
  <c r="AE90" i="721"/>
  <c r="P504" i="721"/>
  <c r="L190" i="721"/>
  <c r="AC769" i="721"/>
  <c r="R504" i="721"/>
  <c r="T190" i="721"/>
  <c r="AC498" i="721"/>
  <c r="L694" i="721"/>
  <c r="L693" i="721"/>
  <c r="N504" i="721"/>
  <c r="L504" i="721"/>
  <c r="L502" i="721"/>
  <c r="P190" i="721"/>
  <c r="P694" i="721"/>
  <c r="AC694" i="721"/>
  <c r="AA694" i="721"/>
  <c r="Y694" i="721"/>
  <c r="W694" i="721"/>
  <c r="T694" i="721"/>
  <c r="AE694" i="721"/>
  <c r="W473" i="721"/>
  <c r="AC473" i="721"/>
  <c r="W184" i="721"/>
  <c r="AC184" i="721"/>
  <c r="AC343" i="721"/>
  <c r="AC804" i="721"/>
  <c r="AC68" i="721"/>
  <c r="AC131" i="721"/>
  <c r="W605" i="721"/>
  <c r="AC208" i="721"/>
  <c r="W807" i="721"/>
  <c r="AC807" i="721"/>
  <c r="AE807" i="721"/>
  <c r="T58" i="721"/>
  <c r="AE58" i="721"/>
  <c r="AC522" i="721"/>
  <c r="AC140" i="721"/>
  <c r="L130" i="721"/>
  <c r="W130" i="721"/>
  <c r="AC130" i="721"/>
  <c r="T130" i="721"/>
  <c r="AE130" i="721"/>
  <c r="N130" i="721"/>
  <c r="AC134" i="721"/>
  <c r="AC520" i="721"/>
  <c r="Y760" i="721"/>
  <c r="R182" i="721"/>
  <c r="R181" i="721"/>
  <c r="N182" i="721"/>
  <c r="P182" i="721"/>
  <c r="P181" i="721"/>
  <c r="L182" i="721"/>
  <c r="L181" i="721"/>
  <c r="R227" i="721"/>
  <c r="N227" i="721"/>
  <c r="P227" i="721"/>
  <c r="L227" i="721"/>
  <c r="J227" i="721"/>
  <c r="P130" i="721"/>
  <c r="J130" i="721"/>
  <c r="R130" i="721"/>
  <c r="L518" i="721"/>
  <c r="L517" i="721"/>
  <c r="T518" i="721"/>
  <c r="AC295" i="721"/>
  <c r="T783" i="721"/>
  <c r="T782" i="721"/>
  <c r="N783" i="721"/>
  <c r="N782" i="721"/>
  <c r="L133" i="721"/>
  <c r="T133" i="721"/>
  <c r="N133" i="721"/>
  <c r="N132" i="721"/>
  <c r="AC533" i="721"/>
  <c r="J718" i="721"/>
  <c r="R718" i="721"/>
  <c r="W476" i="721"/>
  <c r="W475" i="721"/>
  <c r="AC476" i="721"/>
  <c r="W516" i="721"/>
  <c r="W515" i="721"/>
  <c r="AC516" i="721"/>
  <c r="N472" i="721"/>
  <c r="W472" i="721"/>
  <c r="AC472" i="721"/>
  <c r="N55" i="721"/>
  <c r="N54" i="721"/>
  <c r="L55" i="721"/>
  <c r="L54" i="721"/>
  <c r="T55" i="721"/>
  <c r="W540" i="721"/>
  <c r="AC540" i="721"/>
  <c r="J604" i="721"/>
  <c r="R582" i="721"/>
  <c r="R604" i="721"/>
  <c r="P582" i="721"/>
  <c r="P581" i="721"/>
  <c r="P604" i="721"/>
  <c r="P549" i="721"/>
  <c r="L549" i="721"/>
  <c r="J549" i="721"/>
  <c r="P547" i="721"/>
  <c r="L547" i="721"/>
  <c r="R547" i="721"/>
  <c r="N547" i="721"/>
  <c r="N546" i="721"/>
  <c r="AC342" i="721"/>
  <c r="P518" i="721"/>
  <c r="P517" i="721"/>
  <c r="R783" i="721"/>
  <c r="R782" i="721"/>
  <c r="P133" i="721"/>
  <c r="P132" i="721"/>
  <c r="J133" i="721"/>
  <c r="R133" i="721"/>
  <c r="L718" i="721"/>
  <c r="AC723" i="721"/>
  <c r="N718" i="721"/>
  <c r="N716" i="721"/>
  <c r="P472" i="721"/>
  <c r="J55" i="721"/>
  <c r="J54" i="721"/>
  <c r="R55" i="721"/>
  <c r="P55" i="721"/>
  <c r="W538" i="721"/>
  <c r="AC538" i="721"/>
  <c r="AE538" i="721"/>
  <c r="AC537" i="721"/>
  <c r="N582" i="721"/>
  <c r="N604" i="721"/>
  <c r="L582" i="721"/>
  <c r="L581" i="721"/>
  <c r="L604" i="721"/>
  <c r="W604" i="721"/>
  <c r="AC604" i="721"/>
  <c r="J582" i="721"/>
  <c r="J581" i="721"/>
  <c r="T582" i="721"/>
  <c r="T581" i="721"/>
  <c r="T604" i="721"/>
  <c r="AC189" i="721"/>
  <c r="W227" i="721"/>
  <c r="W129" i="721"/>
  <c r="AC129" i="721"/>
  <c r="AE129" i="721"/>
  <c r="AC110" i="721"/>
  <c r="W185" i="721"/>
  <c r="AC185" i="721"/>
  <c r="W503" i="721"/>
  <c r="AC503" i="721"/>
  <c r="W182" i="721"/>
  <c r="AC182" i="721"/>
  <c r="T182" i="721"/>
  <c r="AE182" i="721"/>
  <c r="J182" i="721"/>
  <c r="J181" i="721"/>
  <c r="AC518" i="721"/>
  <c r="AE518" i="721"/>
  <c r="AC126" i="721"/>
  <c r="AA547" i="721"/>
  <c r="Y547" i="721"/>
  <c r="J547" i="721"/>
  <c r="J546" i="721"/>
  <c r="T547" i="721"/>
  <c r="AA14" i="721"/>
  <c r="Y14" i="721"/>
  <c r="AA717" i="721"/>
  <c r="Y717" i="721"/>
  <c r="AC549" i="721"/>
  <c r="AC203" i="721"/>
  <c r="AC202" i="721"/>
  <c r="AC722" i="721"/>
  <c r="AA582" i="721"/>
  <c r="Y582" i="721"/>
  <c r="R264" i="721"/>
  <c r="N264" i="721"/>
  <c r="T264" i="721"/>
  <c r="P264" i="721"/>
  <c r="L264" i="721"/>
  <c r="J264" i="721"/>
  <c r="W55" i="721"/>
  <c r="W54" i="721"/>
  <c r="AC55" i="721"/>
  <c r="AC783" i="721"/>
  <c r="W133" i="721"/>
  <c r="W132" i="721"/>
  <c r="AC133" i="721"/>
  <c r="Y125" i="721"/>
  <c r="AC125" i="721"/>
  <c r="AC124" i="721"/>
  <c r="AC777" i="721"/>
  <c r="AA125" i="721"/>
  <c r="AA777" i="721"/>
  <c r="W264" i="721"/>
  <c r="AC264" i="721"/>
  <c r="AE264" i="721"/>
  <c r="AC83" i="721"/>
  <c r="W717" i="721"/>
  <c r="W718" i="721"/>
  <c r="W716" i="721"/>
  <c r="AC717" i="721"/>
  <c r="AC718" i="721"/>
  <c r="AC716" i="721"/>
  <c r="AC226" i="721"/>
  <c r="W125" i="721"/>
  <c r="W143" i="721"/>
  <c r="AC143" i="721"/>
  <c r="AE143" i="721"/>
  <c r="W760" i="721"/>
  <c r="AC760" i="721"/>
  <c r="W532" i="721"/>
  <c r="AC532" i="721"/>
  <c r="AE532" i="721"/>
  <c r="W20" i="721"/>
  <c r="W19" i="721"/>
  <c r="AC20" i="721"/>
  <c r="W491" i="721"/>
  <c r="AC491" i="721"/>
  <c r="AE491" i="721"/>
  <c r="W649" i="721"/>
  <c r="AC649" i="721"/>
  <c r="AE718" i="721"/>
  <c r="W190" i="721"/>
  <c r="AC190" i="721"/>
  <c r="W504" i="721"/>
  <c r="AC504" i="721"/>
  <c r="AE504" i="721"/>
  <c r="W761" i="721"/>
  <c r="AC761" i="721"/>
  <c r="AC758" i="721"/>
  <c r="W120" i="721"/>
  <c r="W119" i="721"/>
  <c r="AC120" i="721"/>
  <c r="AC119" i="721"/>
  <c r="AE119" i="721"/>
  <c r="W510" i="721"/>
  <c r="W509" i="721"/>
  <c r="AC510" i="721"/>
  <c r="AC509" i="721"/>
  <c r="AE509" i="721"/>
  <c r="W528" i="721"/>
  <c r="W527" i="721"/>
  <c r="AC528" i="721"/>
  <c r="AC527" i="721"/>
  <c r="AE527" i="721"/>
  <c r="W530" i="721"/>
  <c r="W529" i="721"/>
  <c r="AC530" i="721"/>
  <c r="AC529" i="721"/>
  <c r="AE529" i="721"/>
  <c r="W512" i="721"/>
  <c r="W511" i="721"/>
  <c r="AC512" i="721"/>
  <c r="AC511" i="721"/>
  <c r="W329" i="721"/>
  <c r="W328" i="721"/>
  <c r="AE329" i="721"/>
  <c r="W376" i="721"/>
  <c r="AC376" i="721"/>
  <c r="N14" i="721"/>
  <c r="L14" i="721"/>
  <c r="R14" i="721"/>
  <c r="P14" i="721"/>
  <c r="T14" i="721"/>
  <c r="AC14" i="721"/>
  <c r="W14" i="721"/>
  <c r="AE14" i="721"/>
  <c r="AC483" i="721"/>
  <c r="AC482" i="721"/>
  <c r="J14" i="721"/>
  <c r="W32" i="721"/>
  <c r="AC32" i="721"/>
  <c r="AC258" i="721"/>
  <c r="W582" i="721"/>
  <c r="AC582" i="721"/>
  <c r="W547" i="721"/>
  <c r="W546" i="721"/>
  <c r="AC547" i="721"/>
  <c r="W729" i="721"/>
  <c r="W728" i="721"/>
  <c r="AC729" i="721"/>
  <c r="AE729" i="721"/>
  <c r="W777" i="721"/>
  <c r="Y777" i="721"/>
  <c r="AC826" i="721"/>
  <c r="AC142" i="721"/>
  <c r="Y716" i="721"/>
  <c r="J19" i="721"/>
  <c r="AA716" i="721"/>
  <c r="AA124" i="721"/>
  <c r="AA752" i="721"/>
  <c r="L830" i="721"/>
  <c r="L744" i="721"/>
  <c r="AC768" i="721"/>
  <c r="L124" i="721"/>
  <c r="P648" i="721"/>
  <c r="N554" i="721"/>
  <c r="AA679" i="721"/>
  <c r="AA734" i="721"/>
  <c r="R653" i="721"/>
  <c r="R648" i="721"/>
  <c r="R647" i="721"/>
  <c r="J328" i="721"/>
  <c r="L19" i="721"/>
  <c r="AA672" i="721"/>
  <c r="W648" i="721"/>
  <c r="W658" i="721"/>
  <c r="W647" i="721"/>
  <c r="R744" i="721"/>
  <c r="AA758" i="721"/>
  <c r="AA757" i="721"/>
  <c r="L768" i="721"/>
  <c r="J734" i="721"/>
  <c r="Y499" i="721"/>
  <c r="N633" i="721"/>
  <c r="N744" i="721"/>
  <c r="AE746" i="721"/>
  <c r="L716" i="721"/>
  <c r="R559" i="721"/>
  <c r="AC633" i="721"/>
  <c r="AC499" i="721"/>
  <c r="J628" i="721"/>
  <c r="J633" i="721"/>
  <c r="J554" i="721"/>
  <c r="AC19" i="721"/>
  <c r="AC82" i="721"/>
  <c r="AA524" i="721"/>
  <c r="J744" i="721"/>
  <c r="Y166" i="721"/>
  <c r="Y370" i="721"/>
  <c r="L672" i="721"/>
  <c r="J716" i="721"/>
  <c r="P744" i="721"/>
  <c r="R716" i="721"/>
  <c r="AA19" i="721"/>
  <c r="T554" i="721"/>
  <c r="AE554" i="721"/>
  <c r="AC335" i="721"/>
  <c r="R758" i="721"/>
  <c r="AA142" i="721"/>
  <c r="AA537" i="721"/>
  <c r="AA693" i="721"/>
  <c r="AA581" i="721"/>
  <c r="AA728" i="721"/>
  <c r="AA546" i="721"/>
  <c r="AA665" i="721"/>
  <c r="AA335" i="721"/>
  <c r="J142" i="721"/>
  <c r="L273" i="721"/>
  <c r="R728" i="721"/>
  <c r="R727" i="721"/>
  <c r="J728" i="721"/>
  <c r="N328" i="721"/>
  <c r="L728" i="721"/>
  <c r="L559" i="721"/>
  <c r="Y546" i="721"/>
  <c r="J252" i="721"/>
  <c r="R328" i="721"/>
  <c r="N665" i="721"/>
  <c r="Y128" i="721"/>
  <c r="Y124" i="721"/>
  <c r="N502" i="721"/>
  <c r="Y728" i="721"/>
  <c r="Y727" i="721"/>
  <c r="R252" i="721"/>
  <c r="J302" i="721"/>
  <c r="J282" i="721"/>
  <c r="P302" i="721"/>
  <c r="R89" i="721"/>
  <c r="J559" i="721"/>
  <c r="Y581" i="721"/>
  <c r="J335" i="721"/>
  <c r="N316" i="721"/>
  <c r="Y132" i="721"/>
  <c r="T693" i="721"/>
  <c r="Y693" i="721"/>
  <c r="W693" i="721"/>
  <c r="W581" i="721"/>
  <c r="AC648" i="721"/>
  <c r="J197" i="721"/>
  <c r="Y559" i="721"/>
  <c r="L628" i="721"/>
  <c r="L627" i="721"/>
  <c r="P734" i="721"/>
  <c r="Y830" i="721"/>
  <c r="AE249" i="721"/>
  <c r="AE271" i="721"/>
  <c r="T830" i="721"/>
  <c r="T744" i="721"/>
  <c r="R672" i="721"/>
  <c r="N581" i="721"/>
  <c r="P693" i="721"/>
  <c r="N273" i="721"/>
  <c r="T302" i="721"/>
  <c r="P282" i="721"/>
  <c r="R273" i="721"/>
  <c r="N335" i="721"/>
  <c r="P335" i="721"/>
  <c r="N197" i="721"/>
  <c r="L197" i="721"/>
  <c r="N19" i="721"/>
  <c r="AE46" i="721"/>
  <c r="AE74" i="721"/>
  <c r="Y782" i="721"/>
  <c r="P653" i="721"/>
  <c r="P658" i="721"/>
  <c r="P647" i="721"/>
  <c r="AE779" i="721"/>
  <c r="T633" i="721"/>
  <c r="W31" i="721"/>
  <c r="R581" i="721"/>
  <c r="T728" i="721"/>
  <c r="J273" i="721"/>
  <c r="T375" i="721"/>
  <c r="N252" i="721"/>
  <c r="L252" i="721"/>
  <c r="AE251" i="721"/>
  <c r="N728" i="721"/>
  <c r="P665" i="721"/>
  <c r="P664" i="721"/>
  <c r="AE157" i="721"/>
  <c r="AE238" i="721"/>
  <c r="AE814" i="721"/>
  <c r="AC132" i="721"/>
  <c r="AE698" i="721"/>
  <c r="AE465" i="721"/>
  <c r="AE534" i="721"/>
  <c r="AE670" i="721"/>
  <c r="L734" i="721"/>
  <c r="W375" i="721"/>
  <c r="L132" i="721"/>
  <c r="R128" i="721"/>
  <c r="AC581" i="721"/>
  <c r="AC252" i="721"/>
  <c r="L335" i="721"/>
  <c r="R282" i="721"/>
  <c r="AE338" i="721"/>
  <c r="P728" i="721"/>
  <c r="Y282" i="721"/>
  <c r="AE438" i="721"/>
  <c r="AE494" i="721"/>
  <c r="AE676" i="721"/>
  <c r="AE771" i="721"/>
  <c r="AC89" i="721"/>
  <c r="P23" i="721"/>
  <c r="Y19" i="721"/>
  <c r="AE576" i="721"/>
  <c r="AC273" i="721"/>
  <c r="R335" i="721"/>
  <c r="T502" i="721"/>
  <c r="P252" i="721"/>
  <c r="T335" i="721"/>
  <c r="AE696" i="721"/>
  <c r="P316" i="721"/>
  <c r="AE589" i="721"/>
  <c r="AE584" i="721"/>
  <c r="T197" i="721"/>
  <c r="AA302" i="721"/>
  <c r="AC679" i="721"/>
  <c r="R679" i="721"/>
  <c r="L679" i="721"/>
  <c r="AE679" i="721"/>
  <c r="W499" i="721"/>
  <c r="AE229" i="721"/>
  <c r="AE270" i="721"/>
  <c r="AE558" i="721"/>
  <c r="AE22" i="721"/>
  <c r="AE346" i="721"/>
  <c r="P19" i="721"/>
  <c r="P197" i="721"/>
  <c r="N23" i="721"/>
  <c r="AE45" i="721"/>
  <c r="AE368" i="721"/>
  <c r="AE622" i="721"/>
  <c r="AE109" i="721"/>
  <c r="AE108" i="721"/>
  <c r="AE220" i="721"/>
  <c r="AE223" i="721"/>
  <c r="P830" i="721"/>
  <c r="AE738" i="721"/>
  <c r="AE601" i="721"/>
  <c r="AE617" i="721"/>
  <c r="AE638" i="721"/>
  <c r="AE640" i="721"/>
  <c r="T627" i="721"/>
  <c r="J23" i="721"/>
  <c r="Y316" i="721"/>
  <c r="AE425" i="721"/>
  <c r="P559" i="721"/>
  <c r="AE49" i="721"/>
  <c r="Y23" i="721"/>
  <c r="Y181" i="721"/>
  <c r="AA502" i="721"/>
  <c r="W752" i="721"/>
  <c r="W672" i="721"/>
  <c r="AA830" i="721"/>
  <c r="AE596" i="721"/>
  <c r="AE211" i="721"/>
  <c r="AE674" i="721"/>
  <c r="AE797" i="721"/>
  <c r="AE616" i="721"/>
  <c r="R23" i="721"/>
  <c r="Y252" i="721"/>
  <c r="N559" i="721"/>
  <c r="Y54" i="721"/>
  <c r="AE780" i="721"/>
  <c r="AA128" i="721"/>
  <c r="AA273" i="721"/>
  <c r="AA628" i="721"/>
  <c r="R628" i="721"/>
  <c r="Y506" i="721"/>
  <c r="AE262" i="721"/>
  <c r="AA553" i="721"/>
  <c r="AE241" i="721"/>
  <c r="AE564" i="721"/>
  <c r="AE686" i="721"/>
  <c r="AE708" i="721"/>
  <c r="AE821" i="721"/>
  <c r="R502" i="721"/>
  <c r="AE165" i="721"/>
  <c r="AE367" i="721"/>
  <c r="AE210" i="721"/>
  <c r="AE557" i="721"/>
  <c r="AE652" i="721"/>
  <c r="AE739" i="721"/>
  <c r="AE748" i="721"/>
  <c r="AE235" i="721"/>
  <c r="AE366" i="721"/>
  <c r="AE473" i="721"/>
  <c r="T665" i="721"/>
  <c r="AE474" i="721"/>
  <c r="AE709" i="721"/>
  <c r="AE742" i="721"/>
  <c r="AE348" i="721"/>
  <c r="P124" i="721"/>
  <c r="R124" i="721"/>
  <c r="AE276" i="721"/>
  <c r="R132" i="721"/>
  <c r="W316" i="721"/>
  <c r="AE331" i="721"/>
  <c r="AE770" i="721"/>
  <c r="AE321" i="721"/>
  <c r="AE250" i="721"/>
  <c r="T316" i="721"/>
  <c r="W537" i="721"/>
  <c r="T89" i="721"/>
  <c r="AE89" i="721"/>
  <c r="T546" i="721"/>
  <c r="L546" i="721"/>
  <c r="P89" i="721"/>
  <c r="W142" i="721"/>
  <c r="W124" i="721"/>
  <c r="R142" i="721"/>
  <c r="W128" i="721"/>
  <c r="N181" i="721"/>
  <c r="AE224" i="721"/>
  <c r="AE183" i="721"/>
  <c r="AE303" i="721"/>
  <c r="W354" i="721"/>
  <c r="T282" i="721"/>
  <c r="AE731" i="721"/>
  <c r="AE25" i="721"/>
  <c r="AE451" i="721"/>
  <c r="AE466" i="721"/>
  <c r="AE376" i="721"/>
  <c r="AE184" i="721"/>
  <c r="AE215" i="721"/>
  <c r="AE430" i="721"/>
  <c r="AE91" i="721"/>
  <c r="AE332" i="721"/>
  <c r="AE463" i="721"/>
  <c r="AE574" i="721"/>
  <c r="AE322" i="721"/>
  <c r="AE668" i="721"/>
  <c r="AE561" i="721"/>
  <c r="L665" i="721"/>
  <c r="AE190" i="721"/>
  <c r="AC181" i="721"/>
  <c r="P142" i="721"/>
  <c r="AE547" i="721"/>
  <c r="AE717" i="721"/>
  <c r="T181" i="721"/>
  <c r="AE181" i="721"/>
  <c r="J132" i="721"/>
  <c r="R546" i="721"/>
  <c r="P546" i="721"/>
  <c r="T132" i="721"/>
  <c r="AE132" i="721"/>
  <c r="T517" i="721"/>
  <c r="P502" i="721"/>
  <c r="AE523" i="721"/>
  <c r="W335" i="721"/>
  <c r="W252" i="721"/>
  <c r="W302" i="721"/>
  <c r="T328" i="721"/>
  <c r="R302" i="721"/>
  <c r="N282" i="721"/>
  <c r="AE275" i="721"/>
  <c r="AE318" i="721"/>
  <c r="AE550" i="721"/>
  <c r="AE352" i="721"/>
  <c r="AE488" i="721"/>
  <c r="AE281" i="721"/>
  <c r="J316" i="721"/>
  <c r="AE587" i="721"/>
  <c r="N375" i="721"/>
  <c r="AE53" i="721"/>
  <c r="AE416" i="721"/>
  <c r="AE26" i="721"/>
  <c r="AE384" i="721"/>
  <c r="AE15" i="721"/>
  <c r="AE382" i="721"/>
  <c r="AE379" i="721"/>
  <c r="AE417" i="721"/>
  <c r="AA282" i="721"/>
  <c r="AA181" i="721"/>
  <c r="AE459" i="721"/>
  <c r="AA328" i="721"/>
  <c r="Z328" i="721"/>
  <c r="AA89" i="721"/>
  <c r="AA252" i="721"/>
  <c r="AE753" i="721"/>
  <c r="AE169" i="721"/>
  <c r="AE301" i="721"/>
  <c r="AE695" i="721"/>
  <c r="AE47" i="721"/>
  <c r="AE620" i="721"/>
  <c r="AE323" i="721"/>
  <c r="AE222" i="721"/>
  <c r="AE236" i="721"/>
  <c r="AE240" i="721"/>
  <c r="AE651" i="721"/>
  <c r="AE683" i="721"/>
  <c r="AE747" i="721"/>
  <c r="AE835" i="721"/>
  <c r="AE347" i="721"/>
  <c r="AE703" i="721"/>
  <c r="AE637" i="721"/>
  <c r="T142" i="721"/>
  <c r="AC693" i="721"/>
  <c r="AC546" i="721"/>
  <c r="AE582" i="721"/>
  <c r="AE32" i="721"/>
  <c r="AC375" i="721"/>
  <c r="AE530" i="721"/>
  <c r="AE528" i="721"/>
  <c r="AE120" i="721"/>
  <c r="AE649" i="721"/>
  <c r="AE20" i="721"/>
  <c r="AC531" i="721"/>
  <c r="T124" i="721"/>
  <c r="AE133" i="721"/>
  <c r="AE55" i="721"/>
  <c r="AC721" i="721"/>
  <c r="W181" i="721"/>
  <c r="AC515" i="721"/>
  <c r="AC128" i="721"/>
  <c r="AC475" i="721"/>
  <c r="AE604" i="721"/>
  <c r="AE317" i="721"/>
  <c r="AE336" i="721"/>
  <c r="AC354" i="721"/>
  <c r="AE354" i="721"/>
  <c r="AE153" i="721"/>
  <c r="L316" i="721"/>
  <c r="R375" i="721"/>
  <c r="L375" i="721"/>
  <c r="AE24" i="721"/>
  <c r="T54" i="721"/>
  <c r="AC197" i="721"/>
  <c r="Y197" i="721"/>
  <c r="J89" i="721"/>
  <c r="W23" i="721"/>
  <c r="AE648" i="721"/>
  <c r="P54" i="721"/>
  <c r="R197" i="721"/>
  <c r="J665" i="721"/>
  <c r="AC687" i="721"/>
  <c r="AC553" i="721"/>
  <c r="AE500" i="721"/>
  <c r="AC642" i="721"/>
  <c r="AE654" i="721"/>
  <c r="AC506" i="721"/>
  <c r="AE506" i="721"/>
  <c r="AE659" i="721"/>
  <c r="R166" i="721"/>
  <c r="AE832" i="721"/>
  <c r="AE833" i="721"/>
  <c r="J764" i="721"/>
  <c r="R54" i="721"/>
  <c r="W830" i="721"/>
  <c r="AE337" i="721"/>
  <c r="AE254" i="721"/>
  <c r="AE199" i="721"/>
  <c r="AE629" i="721"/>
  <c r="AE754" i="721"/>
  <c r="AE644" i="721"/>
  <c r="W502" i="721"/>
  <c r="AE555" i="721"/>
  <c r="AE19" i="721"/>
  <c r="AE546" i="721"/>
  <c r="F11" i="232"/>
  <c r="H11" i="232"/>
  <c r="I19" i="496"/>
  <c r="V575" i="721"/>
  <c r="W575" i="721"/>
  <c r="Z359" i="720"/>
  <c r="AA359" i="720"/>
  <c r="Z203" i="720"/>
  <c r="AA203" i="720"/>
  <c r="AA202" i="720"/>
  <c r="I32" i="216"/>
  <c r="I30" i="225"/>
  <c r="Z114" i="720"/>
  <c r="AA114" i="720"/>
  <c r="I30" i="512"/>
  <c r="Z187" i="721"/>
  <c r="AA187" i="721"/>
  <c r="Z409" i="720"/>
  <c r="AA409" i="720"/>
  <c r="Z409" i="721"/>
  <c r="AA409" i="721"/>
  <c r="H73" i="27"/>
  <c r="N73" i="27"/>
  <c r="D64" i="27"/>
  <c r="D65" i="27"/>
  <c r="D66" i="27"/>
  <c r="Z410" i="721"/>
  <c r="AA410" i="721"/>
  <c r="Z305" i="720"/>
  <c r="AA305" i="720"/>
  <c r="Z829" i="721"/>
  <c r="AA829" i="721"/>
  <c r="Z426" i="720"/>
  <c r="AA426" i="720"/>
  <c r="N59" i="27"/>
  <c r="I33" i="342"/>
  <c r="I30" i="471"/>
  <c r="Z320" i="721"/>
  <c r="AA320" i="721"/>
  <c r="Z380" i="721"/>
  <c r="AA380" i="721"/>
  <c r="I30" i="455"/>
  <c r="D67" i="27"/>
  <c r="D68" i="27"/>
  <c r="D69" i="27"/>
  <c r="I30" i="205"/>
  <c r="Z361" i="720"/>
  <c r="AA361" i="720"/>
  <c r="Z107" i="721"/>
  <c r="AA107" i="721"/>
  <c r="Z299" i="720"/>
  <c r="AA299" i="720"/>
  <c r="I33" i="677"/>
  <c r="I19" i="466"/>
  <c r="V573" i="721"/>
  <c r="W573" i="721"/>
  <c r="W572" i="721"/>
  <c r="Z230" i="720"/>
  <c r="AA230" i="720"/>
  <c r="Z230" i="721"/>
  <c r="AA230" i="721"/>
  <c r="Z360" i="720"/>
  <c r="AA360" i="720"/>
  <c r="Z360" i="721"/>
  <c r="AA360" i="721"/>
  <c r="Z293" i="720"/>
  <c r="AA293" i="720"/>
  <c r="Z505" i="721"/>
  <c r="AA505" i="721"/>
  <c r="Z505" i="720"/>
  <c r="AA505" i="720"/>
  <c r="I31" i="98"/>
  <c r="Z437" i="720"/>
  <c r="AA437" i="720"/>
  <c r="Z437" i="721"/>
  <c r="AA437" i="721"/>
  <c r="I33" i="684"/>
  <c r="Z261" i="721"/>
  <c r="AA261" i="721"/>
  <c r="Z261" i="720"/>
  <c r="AA261" i="720"/>
  <c r="Z175" i="720"/>
  <c r="Z702" i="721"/>
  <c r="AA702" i="721"/>
  <c r="Z702" i="720"/>
  <c r="AA702" i="720"/>
  <c r="Z396" i="721"/>
  <c r="AA396" i="721"/>
  <c r="Z396" i="720"/>
  <c r="AA396" i="720"/>
  <c r="Z486" i="721"/>
  <c r="AA486" i="721"/>
  <c r="Z486" i="720"/>
  <c r="AA486" i="720"/>
  <c r="Z442" i="720"/>
  <c r="AA442" i="720"/>
  <c r="Z442" i="721"/>
  <c r="AA442" i="721"/>
  <c r="I54" i="338"/>
  <c r="I57" i="338"/>
  <c r="I30" i="137"/>
  <c r="I30" i="303"/>
  <c r="I30" i="561"/>
  <c r="Z395" i="720"/>
  <c r="AA395" i="720"/>
  <c r="Z573" i="721"/>
  <c r="AA573" i="721"/>
  <c r="AA572" i="721"/>
  <c r="I33" i="688"/>
  <c r="F9" i="505"/>
  <c r="H9" i="505"/>
  <c r="F10" i="277"/>
  <c r="H10" i="277"/>
  <c r="F11" i="587"/>
  <c r="H11" i="587"/>
  <c r="F16" i="197"/>
  <c r="H16" i="197"/>
  <c r="F11" i="408"/>
  <c r="H11" i="408"/>
  <c r="F8" i="434"/>
  <c r="H8" i="434"/>
  <c r="F12" i="565"/>
  <c r="H12" i="565"/>
  <c r="F12" i="569"/>
  <c r="H12" i="569"/>
  <c r="F12" i="568"/>
  <c r="H12" i="568"/>
  <c r="F13" i="228"/>
  <c r="H13" i="228"/>
  <c r="F13" i="227"/>
  <c r="H13" i="227"/>
  <c r="F13" i="548"/>
  <c r="H13" i="548"/>
  <c r="F8" i="631"/>
  <c r="H8" i="631"/>
  <c r="F9" i="34"/>
  <c r="H9" i="34"/>
  <c r="F9" i="30"/>
  <c r="H9" i="30"/>
  <c r="F9" i="471"/>
  <c r="H9" i="471"/>
  <c r="F9" i="25"/>
  <c r="H9" i="25"/>
  <c r="F9" i="455"/>
  <c r="H9" i="455"/>
  <c r="F10" i="395"/>
  <c r="H10" i="395"/>
  <c r="F10" i="651"/>
  <c r="H10" i="651"/>
  <c r="F9" i="651"/>
  <c r="H9" i="651"/>
  <c r="F10" i="593"/>
  <c r="H10" i="593"/>
  <c r="F10" i="716"/>
  <c r="H10" i="716"/>
  <c r="F11" i="197"/>
  <c r="H11" i="197"/>
  <c r="F14" i="391"/>
  <c r="H14" i="391"/>
  <c r="F14" i="502"/>
  <c r="H14" i="502"/>
  <c r="F14" i="251"/>
  <c r="H14" i="251"/>
  <c r="F14" i="607"/>
  <c r="H14" i="607"/>
  <c r="F15" i="252"/>
  <c r="H15" i="252"/>
  <c r="F15" i="215"/>
  <c r="H15" i="215"/>
  <c r="F10" i="607"/>
  <c r="H10" i="607"/>
  <c r="F13" i="250"/>
  <c r="H13" i="250"/>
  <c r="F9" i="388"/>
  <c r="H9" i="388"/>
  <c r="F9" i="533"/>
  <c r="H9" i="533"/>
  <c r="I19" i="533"/>
  <c r="V811" i="721"/>
  <c r="F9" i="551"/>
  <c r="H9" i="551"/>
  <c r="F11" i="228"/>
  <c r="H11" i="228"/>
  <c r="F11" i="356"/>
  <c r="H11" i="356"/>
  <c r="F8" i="648"/>
  <c r="H8" i="648"/>
  <c r="F9" i="708"/>
  <c r="H9" i="708"/>
  <c r="F13" i="571"/>
  <c r="H13" i="571"/>
  <c r="F9" i="595"/>
  <c r="H9" i="595"/>
  <c r="F9" i="598"/>
  <c r="H9" i="598"/>
  <c r="F10" i="562"/>
  <c r="H10" i="562"/>
  <c r="F10" i="516"/>
  <c r="H10" i="516"/>
  <c r="F13" i="565"/>
  <c r="H13" i="565"/>
  <c r="F10" i="502"/>
  <c r="H10" i="502"/>
  <c r="F16" i="624"/>
  <c r="H16" i="624"/>
  <c r="F8" i="329"/>
  <c r="H8" i="329"/>
  <c r="F15" i="502"/>
  <c r="H15" i="502"/>
  <c r="F13" i="342"/>
  <c r="H13" i="342"/>
  <c r="F10" i="497"/>
  <c r="H10" i="497"/>
  <c r="F13" i="691"/>
  <c r="H13" i="691"/>
  <c r="F13" i="278"/>
  <c r="H13" i="278"/>
  <c r="F8" i="517"/>
  <c r="H8" i="517"/>
  <c r="F14" i="252"/>
  <c r="H14" i="252"/>
  <c r="F13" i="231"/>
  <c r="H13" i="231"/>
  <c r="F9" i="165"/>
  <c r="H9" i="165"/>
  <c r="F8" i="597"/>
  <c r="H8" i="597"/>
  <c r="F8" i="610"/>
  <c r="H8" i="610"/>
  <c r="F13" i="623"/>
  <c r="H13" i="623"/>
  <c r="F10" i="391"/>
  <c r="H10" i="391"/>
  <c r="F13" i="613"/>
  <c r="H13" i="613"/>
  <c r="F11" i="250"/>
  <c r="H11" i="250"/>
  <c r="F11" i="539"/>
  <c r="H11" i="539"/>
  <c r="F13" i="346"/>
  <c r="H13" i="346"/>
  <c r="F9" i="232"/>
  <c r="H9" i="232"/>
  <c r="F13" i="252"/>
  <c r="H13" i="252"/>
  <c r="F16" i="287"/>
  <c r="H16" i="287"/>
  <c r="F8" i="592"/>
  <c r="H8" i="592"/>
  <c r="F10" i="620"/>
  <c r="H10" i="620"/>
  <c r="F10" i="563"/>
  <c r="H10" i="563"/>
  <c r="F10" i="561"/>
  <c r="H10" i="561"/>
  <c r="F12" i="514"/>
  <c r="H12" i="514"/>
  <c r="F8" i="285"/>
  <c r="H8" i="285"/>
  <c r="I19" i="285"/>
  <c r="V828" i="721"/>
  <c r="W828" i="721"/>
  <c r="F16" i="250"/>
  <c r="H16" i="250"/>
  <c r="F9" i="640"/>
  <c r="H9" i="640"/>
  <c r="F9" i="280"/>
  <c r="H9" i="280"/>
  <c r="F9" i="607"/>
  <c r="H9" i="607"/>
  <c r="Z278" i="720"/>
  <c r="AA278" i="720"/>
  <c r="Z278" i="721"/>
  <c r="AA278" i="721"/>
  <c r="Z402" i="720"/>
  <c r="AA402" i="720"/>
  <c r="Z402" i="721"/>
  <c r="AA402" i="721"/>
  <c r="Z412" i="720"/>
  <c r="AA412" i="720"/>
  <c r="Z412" i="721"/>
  <c r="AA412" i="721"/>
  <c r="Z520" i="720"/>
  <c r="AA520" i="720"/>
  <c r="Z520" i="721"/>
  <c r="AA520" i="721"/>
  <c r="Z723" i="720"/>
  <c r="AA723" i="720"/>
  <c r="Z723" i="721"/>
  <c r="AA723" i="721"/>
  <c r="Z820" i="721"/>
  <c r="AA820" i="721"/>
  <c r="Z820" i="720"/>
  <c r="AA820" i="720"/>
  <c r="Z292" i="720"/>
  <c r="AA292" i="720"/>
  <c r="Z292" i="721"/>
  <c r="AA292" i="721"/>
  <c r="Z350" i="720"/>
  <c r="AA350" i="720"/>
  <c r="Z350" i="721"/>
  <c r="AA350" i="721"/>
  <c r="Z394" i="720"/>
  <c r="AA394" i="720"/>
  <c r="Z394" i="721"/>
  <c r="AA394" i="721"/>
  <c r="Z401" i="721"/>
  <c r="AA401" i="721"/>
  <c r="Z401" i="720"/>
  <c r="AA401" i="720"/>
  <c r="Z811" i="720"/>
  <c r="AA811" i="720"/>
  <c r="Z811" i="721"/>
  <c r="AA811" i="721"/>
  <c r="Z819" i="721"/>
  <c r="AA819" i="721"/>
  <c r="Z819" i="720"/>
  <c r="AA819" i="720"/>
  <c r="Z813" i="720"/>
  <c r="AA813" i="720"/>
  <c r="Z813" i="721"/>
  <c r="AA813" i="721"/>
  <c r="Z828" i="721"/>
  <c r="AA828" i="721"/>
  <c r="Z828" i="720"/>
  <c r="AA828" i="720"/>
  <c r="F27" i="708"/>
  <c r="H27" i="708"/>
  <c r="F24" i="582"/>
  <c r="H24" i="582"/>
  <c r="I30" i="582"/>
  <c r="F27" i="646"/>
  <c r="H27" i="646"/>
  <c r="F24" i="548"/>
  <c r="H24" i="548"/>
  <c r="I30" i="548"/>
  <c r="F26" i="641"/>
  <c r="H26" i="641"/>
  <c r="F24" i="587"/>
  <c r="H24" i="587"/>
  <c r="I30" i="587"/>
  <c r="F24" i="556"/>
  <c r="H24" i="556"/>
  <c r="I30" i="556"/>
  <c r="F26" i="470"/>
  <c r="H26" i="470"/>
  <c r="F25" i="200"/>
  <c r="H25" i="200"/>
  <c r="F25" i="446"/>
  <c r="H25" i="446"/>
  <c r="I30" i="30"/>
  <c r="Z260" i="720"/>
  <c r="AA260" i="720"/>
  <c r="Z295" i="720"/>
  <c r="AA295" i="720"/>
  <c r="Z405" i="720"/>
  <c r="AA405" i="720"/>
  <c r="Z577" i="721"/>
  <c r="AA577" i="721"/>
  <c r="Z387" i="721"/>
  <c r="AA387" i="721"/>
  <c r="Z411" i="721"/>
  <c r="AA411" i="721"/>
  <c r="Z148" i="720"/>
  <c r="Z259" i="720"/>
  <c r="AA259" i="720"/>
  <c r="Z330" i="721"/>
  <c r="AA330" i="721"/>
  <c r="Z406" i="721"/>
  <c r="AA406" i="721"/>
  <c r="Z363" i="720"/>
  <c r="AA363" i="720"/>
  <c r="Z427" i="721"/>
  <c r="AA427" i="721"/>
  <c r="Z104" i="720"/>
  <c r="AA104" i="720"/>
  <c r="Z104" i="721"/>
  <c r="AA104" i="721"/>
  <c r="Z304" i="720"/>
  <c r="AA304" i="720"/>
  <c r="Z304" i="721"/>
  <c r="AA304" i="721"/>
  <c r="F25" i="640"/>
  <c r="H25" i="640"/>
  <c r="I31" i="640"/>
  <c r="Z590" i="720"/>
  <c r="AA590" i="720"/>
  <c r="F24" i="708"/>
  <c r="H24" i="708"/>
  <c r="F24" i="566"/>
  <c r="H24" i="566"/>
  <c r="I30" i="580"/>
  <c r="F27" i="347"/>
  <c r="H27" i="347"/>
  <c r="F24" i="442"/>
  <c r="H24" i="442"/>
  <c r="F24" i="243"/>
  <c r="H24" i="243"/>
  <c r="I30" i="243"/>
  <c r="F24" i="635"/>
  <c r="H24" i="635"/>
  <c r="F24" i="557"/>
  <c r="H24" i="557"/>
  <c r="F25" i="206"/>
  <c r="H25" i="206"/>
  <c r="F24" i="284"/>
  <c r="H24" i="284"/>
  <c r="F24" i="621"/>
  <c r="H24" i="621"/>
  <c r="I30" i="621"/>
  <c r="F24" i="537"/>
  <c r="H24" i="537"/>
  <c r="I30" i="537"/>
  <c r="F25" i="442"/>
  <c r="H25" i="442"/>
  <c r="Z266" i="720"/>
  <c r="AA266" i="720"/>
  <c r="Z391" i="720"/>
  <c r="AA391" i="720"/>
  <c r="Z291" i="721"/>
  <c r="AA291" i="721"/>
  <c r="Z314" i="720"/>
  <c r="AA314" i="720"/>
  <c r="I33" i="683"/>
  <c r="Z385" i="721"/>
  <c r="AA385" i="721"/>
  <c r="Z385" i="720"/>
  <c r="AA385" i="720"/>
  <c r="I30" i="34"/>
  <c r="I30" i="25"/>
  <c r="Z362" i="720"/>
  <c r="AA362" i="720"/>
  <c r="Z362" i="721"/>
  <c r="AA362" i="721"/>
  <c r="Z461" i="720"/>
  <c r="AA461" i="720"/>
  <c r="Z461" i="721"/>
  <c r="AA461" i="721"/>
  <c r="F26" i="333"/>
  <c r="H26" i="333"/>
  <c r="F24" i="641"/>
  <c r="H24" i="641"/>
  <c r="F24" i="241"/>
  <c r="H24" i="241"/>
  <c r="I30" i="707"/>
  <c r="Z781" i="721"/>
  <c r="AA781" i="721"/>
  <c r="AA776" i="721"/>
  <c r="I30" i="464"/>
  <c r="Z65" i="720"/>
  <c r="AA65" i="720"/>
  <c r="I30" i="636"/>
  <c r="I30" i="649"/>
  <c r="F27" i="241"/>
  <c r="H27" i="241"/>
  <c r="F24" i="347"/>
  <c r="H24" i="347"/>
  <c r="Z298" i="721"/>
  <c r="AA298" i="721"/>
  <c r="AA294" i="721"/>
  <c r="Z388" i="720"/>
  <c r="AA388" i="720"/>
  <c r="Z795" i="721"/>
  <c r="AA795" i="721"/>
  <c r="Z149" i="721"/>
  <c r="Z342" i="721"/>
  <c r="AA342" i="721"/>
  <c r="Z342" i="720"/>
  <c r="AA342" i="720"/>
  <c r="Z315" i="721"/>
  <c r="AA315" i="721"/>
  <c r="Z315" i="720"/>
  <c r="AA315" i="720"/>
  <c r="Z343" i="720"/>
  <c r="AA343" i="720"/>
  <c r="Z343" i="721"/>
  <c r="AA343" i="721"/>
  <c r="Z420" i="721"/>
  <c r="AA420" i="721"/>
  <c r="Z420" i="720"/>
  <c r="AA420" i="720"/>
  <c r="Z455" i="721"/>
  <c r="AA455" i="721"/>
  <c r="Z455" i="720"/>
  <c r="AA455" i="720"/>
  <c r="Z462" i="720"/>
  <c r="AA462" i="720"/>
  <c r="Z462" i="721"/>
  <c r="AA462" i="721"/>
  <c r="F24" i="287"/>
  <c r="H24" i="287"/>
  <c r="F26" i="386"/>
  <c r="H26" i="386"/>
  <c r="F26" i="347"/>
  <c r="H26" i="347"/>
  <c r="Z200" i="720"/>
  <c r="AA200" i="720"/>
  <c r="Z200" i="721"/>
  <c r="AA200" i="721"/>
  <c r="Z445" i="721"/>
  <c r="AA445" i="721"/>
  <c r="Z445" i="720"/>
  <c r="AA445" i="720"/>
  <c r="I30" i="259"/>
  <c r="F11" i="252"/>
  <c r="H11" i="252"/>
  <c r="F11" i="215"/>
  <c r="H11" i="215"/>
  <c r="F13" i="224"/>
  <c r="H13" i="224"/>
  <c r="F12" i="446"/>
  <c r="H12" i="446"/>
  <c r="F12" i="549"/>
  <c r="H12" i="549"/>
  <c r="F13" i="636"/>
  <c r="H13" i="636"/>
  <c r="F13" i="547"/>
  <c r="H13" i="547"/>
  <c r="F12" i="494"/>
  <c r="H12" i="494"/>
  <c r="F12" i="548"/>
  <c r="H12" i="548"/>
  <c r="F10" i="641"/>
  <c r="H10" i="641"/>
  <c r="F12" i="227"/>
  <c r="H12" i="227"/>
  <c r="F12" i="575"/>
  <c r="H12" i="575"/>
  <c r="F12" i="444"/>
  <c r="H12" i="444"/>
  <c r="F12" i="364"/>
  <c r="H12" i="364"/>
  <c r="F12" i="279"/>
  <c r="H12" i="279"/>
  <c r="F10" i="197"/>
  <c r="H10" i="197"/>
  <c r="F12" i="335"/>
  <c r="H12" i="335"/>
  <c r="F10" i="459"/>
  <c r="H10" i="459"/>
  <c r="F9" i="98"/>
  <c r="H9" i="98"/>
  <c r="F9" i="534"/>
  <c r="H9" i="534"/>
  <c r="F9" i="535"/>
  <c r="H9" i="535"/>
  <c r="I19" i="535"/>
  <c r="F9" i="450"/>
  <c r="H9" i="450"/>
  <c r="F8" i="512"/>
  <c r="H8" i="512"/>
  <c r="F10" i="241"/>
  <c r="H10" i="241"/>
  <c r="F9" i="481"/>
  <c r="H9" i="481"/>
  <c r="F10" i="601"/>
  <c r="H10" i="601"/>
  <c r="F10" i="621"/>
  <c r="H10" i="621"/>
  <c r="F9" i="460"/>
  <c r="H9" i="460"/>
  <c r="F8" i="501"/>
  <c r="H8" i="501"/>
  <c r="F8" i="215"/>
  <c r="H8" i="215"/>
  <c r="F11" i="383"/>
  <c r="H11" i="383"/>
  <c r="F8" i="581"/>
  <c r="H8" i="581"/>
  <c r="F8" i="608"/>
  <c r="H8" i="608"/>
  <c r="F8" i="306"/>
  <c r="H8" i="306"/>
  <c r="F12" i="638"/>
  <c r="H12" i="638"/>
  <c r="F10" i="281"/>
  <c r="H10" i="281"/>
  <c r="F12" i="396"/>
  <c r="H12" i="396"/>
  <c r="F12" i="333"/>
  <c r="H12" i="333"/>
  <c r="F9" i="304"/>
  <c r="H9" i="304"/>
  <c r="F9" i="335"/>
  <c r="H9" i="335"/>
  <c r="F10" i="358"/>
  <c r="H10" i="358"/>
  <c r="F10" i="392"/>
  <c r="H10" i="392"/>
  <c r="F9" i="279"/>
  <c r="H9" i="279"/>
  <c r="F9" i="336"/>
  <c r="H9" i="336"/>
  <c r="F9" i="610"/>
  <c r="H9" i="610"/>
  <c r="I19" i="610"/>
  <c r="F13" i="607"/>
  <c r="H13" i="607"/>
  <c r="F18" i="502"/>
  <c r="H18" i="502"/>
  <c r="F17" i="250"/>
  <c r="H17" i="250"/>
  <c r="F8" i="685"/>
  <c r="H8" i="685"/>
  <c r="I22" i="685"/>
  <c r="V442" i="720"/>
  <c r="F11" i="689"/>
  <c r="H11" i="689"/>
  <c r="F11" i="691"/>
  <c r="H11" i="691"/>
  <c r="F9" i="550"/>
  <c r="H9" i="550"/>
  <c r="F9" i="628"/>
  <c r="H9" i="628"/>
  <c r="F10" i="538"/>
  <c r="H10" i="538"/>
  <c r="F8" i="564"/>
  <c r="H8" i="564"/>
  <c r="I19" i="564"/>
  <c r="F8" i="295"/>
  <c r="H8" i="295"/>
  <c r="F12" i="607"/>
  <c r="H12" i="607"/>
  <c r="F9" i="504"/>
  <c r="H9" i="504"/>
  <c r="F9" i="464"/>
  <c r="H9" i="464"/>
  <c r="F10" i="291"/>
  <c r="H10" i="291"/>
  <c r="F8" i="619"/>
  <c r="H8" i="619"/>
  <c r="F9" i="619"/>
  <c r="H9" i="619"/>
  <c r="I20" i="619"/>
  <c r="I53" i="619"/>
  <c r="F8" i="594"/>
  <c r="H8" i="594"/>
  <c r="F8" i="609"/>
  <c r="H8" i="609"/>
  <c r="I19" i="609"/>
  <c r="F14" i="396"/>
  <c r="H14" i="396"/>
  <c r="F11" i="279"/>
  <c r="H11" i="279"/>
  <c r="F8" i="534"/>
  <c r="H8" i="534"/>
  <c r="F13" i="569"/>
  <c r="H13" i="569"/>
  <c r="F8" i="580"/>
  <c r="H8" i="580"/>
  <c r="F8" i="296"/>
  <c r="H8" i="296"/>
  <c r="F9" i="296"/>
  <c r="H9" i="296"/>
  <c r="I19" i="296"/>
  <c r="I34" i="296"/>
  <c r="I41" i="296"/>
  <c r="I52" i="296"/>
  <c r="F9" i="565"/>
  <c r="H9" i="565"/>
  <c r="F8" i="567"/>
  <c r="H8" i="567"/>
  <c r="F8" i="235"/>
  <c r="H8" i="235"/>
  <c r="F9" i="155"/>
  <c r="H9" i="155"/>
  <c r="F9" i="259"/>
  <c r="H9" i="259"/>
  <c r="F9" i="620"/>
  <c r="H9" i="620"/>
  <c r="F8" i="716"/>
  <c r="H8" i="716"/>
  <c r="F8" i="346"/>
  <c r="H8" i="346"/>
  <c r="F8" i="570"/>
  <c r="H8" i="570"/>
  <c r="F9" i="503"/>
  <c r="H9" i="503"/>
  <c r="F8" i="645"/>
  <c r="H8" i="645"/>
  <c r="I19" i="645"/>
  <c r="V50" i="720"/>
  <c r="W50" i="720"/>
  <c r="F18" i="251"/>
  <c r="H18" i="251"/>
  <c r="F17" i="252"/>
  <c r="H17" i="252"/>
  <c r="F17" i="215"/>
  <c r="H17" i="215"/>
  <c r="F9" i="512"/>
  <c r="H9" i="512"/>
  <c r="F10" i="450"/>
  <c r="H10" i="450"/>
  <c r="F12" i="448"/>
  <c r="H12" i="448"/>
  <c r="F9" i="306"/>
  <c r="H9" i="306"/>
  <c r="I19" i="306"/>
  <c r="V710" i="721"/>
  <c r="F9" i="524"/>
  <c r="H9" i="524"/>
  <c r="F9" i="618"/>
  <c r="H9" i="618"/>
  <c r="I20" i="618"/>
  <c r="F9" i="617"/>
  <c r="H9" i="617"/>
  <c r="F9" i="604"/>
  <c r="H9" i="604"/>
  <c r="F9" i="566"/>
  <c r="H9" i="566"/>
  <c r="F11" i="504"/>
  <c r="H11" i="504"/>
  <c r="F10" i="236"/>
  <c r="H10" i="236"/>
  <c r="F8" i="404"/>
  <c r="H8" i="404"/>
  <c r="F15" i="624"/>
  <c r="H15" i="624"/>
  <c r="F11" i="505"/>
  <c r="H11" i="505"/>
  <c r="F8" i="566"/>
  <c r="H8" i="566"/>
  <c r="F9" i="502"/>
  <c r="H9" i="502"/>
  <c r="F10" i="612"/>
  <c r="H10" i="612"/>
  <c r="F8" i="281"/>
  <c r="H8" i="281"/>
  <c r="I19" i="281"/>
  <c r="F27" i="281"/>
  <c r="H27" i="281"/>
  <c r="F28" i="281"/>
  <c r="H28" i="281"/>
  <c r="I30" i="281"/>
  <c r="I52" i="281"/>
  <c r="F8" i="379"/>
  <c r="H8" i="379"/>
  <c r="I19" i="379"/>
  <c r="V732" i="721"/>
  <c r="W732" i="721"/>
  <c r="F8" i="250"/>
  <c r="H8" i="250"/>
  <c r="F9" i="383"/>
  <c r="H9" i="383"/>
  <c r="F8" i="391"/>
  <c r="H8" i="391"/>
  <c r="I19" i="391"/>
  <c r="Z174" i="721"/>
  <c r="AA174" i="721"/>
  <c r="Z174" i="720"/>
  <c r="AA174" i="720"/>
  <c r="Z804" i="721"/>
  <c r="AA804" i="721"/>
  <c r="Z804" i="720"/>
  <c r="AA804" i="720"/>
  <c r="Z178" i="720"/>
  <c r="AA178" i="720"/>
  <c r="Z178" i="721"/>
  <c r="AA178" i="721"/>
  <c r="Z72" i="720"/>
  <c r="Z72" i="721"/>
  <c r="Z221" i="721"/>
  <c r="AA221" i="721"/>
  <c r="Z221" i="720"/>
  <c r="AA221" i="720"/>
  <c r="Z448" i="720"/>
  <c r="AA448" i="720"/>
  <c r="Z448" i="721"/>
  <c r="AA448" i="721"/>
  <c r="Z13" i="721"/>
  <c r="AA13" i="721"/>
  <c r="AA12" i="721"/>
  <c r="Z13" i="720"/>
  <c r="AA13" i="720"/>
  <c r="AA12" i="720"/>
  <c r="Z724" i="721"/>
  <c r="AA724" i="721"/>
  <c r="Z724" i="720"/>
  <c r="AA724" i="720"/>
  <c r="X375" i="721"/>
  <c r="F24" i="565"/>
  <c r="H24" i="565"/>
  <c r="I30" i="565"/>
  <c r="F25" i="461"/>
  <c r="H25" i="461"/>
  <c r="I30" i="461"/>
  <c r="F24" i="581"/>
  <c r="H24" i="581"/>
  <c r="I30" i="581"/>
  <c r="F24" i="356"/>
  <c r="H24" i="356"/>
  <c r="I30" i="356"/>
  <c r="I30" i="635"/>
  <c r="F24" i="224"/>
  <c r="H24" i="224"/>
  <c r="I30" i="224"/>
  <c r="F24" i="575"/>
  <c r="H24" i="575"/>
  <c r="F26" i="241"/>
  <c r="H26" i="241"/>
  <c r="I30" i="241"/>
  <c r="Z139" i="721"/>
  <c r="AA139" i="721"/>
  <c r="I30" i="557"/>
  <c r="I52" i="557"/>
  <c r="F24" i="563"/>
  <c r="H24" i="563"/>
  <c r="I30" i="563"/>
  <c r="F25" i="504"/>
  <c r="H25" i="504"/>
  <c r="I30" i="206"/>
  <c r="F24" i="270"/>
  <c r="H24" i="270"/>
  <c r="I30" i="270"/>
  <c r="F24" i="573"/>
  <c r="H24" i="573"/>
  <c r="I30" i="573"/>
  <c r="I30" i="547"/>
  <c r="Z296" i="720"/>
  <c r="AA296" i="720"/>
  <c r="Z446" i="720"/>
  <c r="AA446" i="720"/>
  <c r="Z483" i="720"/>
  <c r="AA483" i="720"/>
  <c r="Z522" i="720"/>
  <c r="AA522" i="720"/>
  <c r="Z802" i="720"/>
  <c r="AA802" i="720"/>
  <c r="Z419" i="721"/>
  <c r="AA419" i="721"/>
  <c r="Z816" i="721"/>
  <c r="AA816" i="721"/>
  <c r="Z816" i="720"/>
  <c r="AA816" i="720"/>
  <c r="Z413" i="720"/>
  <c r="AA413" i="720"/>
  <c r="Z413" i="721"/>
  <c r="AA413" i="721"/>
  <c r="Z307" i="720"/>
  <c r="AA307" i="720"/>
  <c r="Z307" i="721"/>
  <c r="AA307" i="721"/>
  <c r="Z286" i="720"/>
  <c r="AA286" i="720"/>
  <c r="Z286" i="721"/>
  <c r="AA286" i="721"/>
  <c r="Z99" i="720"/>
  <c r="AA99" i="720"/>
  <c r="Z99" i="721"/>
  <c r="AA99" i="721"/>
  <c r="Z246" i="721"/>
  <c r="AA246" i="721"/>
  <c r="Z246" i="720"/>
  <c r="AA246" i="720"/>
  <c r="Z403" i="721"/>
  <c r="AA403" i="721"/>
  <c r="Z403" i="720"/>
  <c r="AA403" i="720"/>
  <c r="Z415" i="720"/>
  <c r="AA415" i="720"/>
  <c r="Z415" i="721"/>
  <c r="AA415" i="721"/>
  <c r="I30" i="566"/>
  <c r="I27" i="445"/>
  <c r="I30" i="165"/>
  <c r="Z187" i="720"/>
  <c r="AA187" i="720"/>
  <c r="I30" i="586"/>
  <c r="I30" i="207"/>
  <c r="Z267" i="720"/>
  <c r="AA267" i="720"/>
  <c r="Z267" i="721"/>
  <c r="AA267" i="721"/>
  <c r="Z704" i="721"/>
  <c r="AA704" i="721"/>
  <c r="Z704" i="720"/>
  <c r="AA704" i="720"/>
  <c r="Z418" i="720"/>
  <c r="AA418" i="720"/>
  <c r="Z418" i="721"/>
  <c r="AA418" i="721"/>
  <c r="I30" i="232"/>
  <c r="F25" i="462"/>
  <c r="H25" i="462"/>
  <c r="I30" i="462"/>
  <c r="F24" i="355"/>
  <c r="H24" i="355"/>
  <c r="I28" i="355"/>
  <c r="F24" i="472"/>
  <c r="H24" i="472"/>
  <c r="I30" i="472"/>
  <c r="F24" i="244"/>
  <c r="H24" i="244"/>
  <c r="I30" i="244"/>
  <c r="F24" i="364"/>
  <c r="H24" i="364"/>
  <c r="I30" i="364"/>
  <c r="F23" i="577"/>
  <c r="H23" i="577"/>
  <c r="I29" i="577"/>
  <c r="F24" i="227"/>
  <c r="H24" i="227"/>
  <c r="I30" i="227"/>
  <c r="I30" i="442"/>
  <c r="Z79" i="721"/>
  <c r="AA79" i="721"/>
  <c r="Z390" i="721"/>
  <c r="AA390" i="721"/>
  <c r="Z111" i="721"/>
  <c r="AA111" i="721"/>
  <c r="Z111" i="720"/>
  <c r="AA111" i="720"/>
  <c r="Z110" i="720"/>
  <c r="AA110" i="720"/>
  <c r="Z110" i="721"/>
  <c r="AA110" i="721"/>
  <c r="I30" i="287"/>
  <c r="I30" i="450"/>
  <c r="Z585" i="721"/>
  <c r="AA585" i="721"/>
  <c r="Z88" i="720"/>
  <c r="AA88" i="720"/>
  <c r="Z88" i="721"/>
  <c r="AA88" i="721"/>
  <c r="Z279" i="721"/>
  <c r="AA279" i="721"/>
  <c r="Z279" i="720"/>
  <c r="AA279" i="720"/>
  <c r="Z365" i="721"/>
  <c r="AA365" i="721"/>
  <c r="AA358" i="721"/>
  <c r="Z365" i="720"/>
  <c r="AA365" i="720"/>
  <c r="Z452" i="720"/>
  <c r="AA452" i="720"/>
  <c r="Z452" i="721"/>
  <c r="AA452" i="721"/>
  <c r="I30" i="155"/>
  <c r="I30" i="284"/>
  <c r="Z733" i="720"/>
  <c r="AA733" i="720"/>
  <c r="Z95" i="720"/>
  <c r="AA95" i="720"/>
  <c r="F26" i="396"/>
  <c r="H26" i="396"/>
  <c r="F27" i="396"/>
  <c r="H27" i="396"/>
  <c r="I30" i="396"/>
  <c r="F24" i="436"/>
  <c r="H24" i="436"/>
  <c r="F25" i="347"/>
  <c r="H25" i="347"/>
  <c r="I30" i="347"/>
  <c r="Z146" i="721"/>
  <c r="AA146" i="721"/>
  <c r="F27" i="575"/>
  <c r="H27" i="575"/>
  <c r="I33" i="703"/>
  <c r="Z460" i="721"/>
  <c r="AA460" i="721"/>
  <c r="I30" i="262"/>
  <c r="I31" i="263"/>
  <c r="V409" i="721"/>
  <c r="W409" i="721"/>
  <c r="I50" i="217"/>
  <c r="I53" i="217"/>
  <c r="I19" i="220"/>
  <c r="F24" i="220"/>
  <c r="H24" i="220"/>
  <c r="I30" i="220"/>
  <c r="I52" i="220"/>
  <c r="I50" i="715"/>
  <c r="X44" i="720"/>
  <c r="V375" i="721"/>
  <c r="V568" i="720"/>
  <c r="W568" i="720"/>
  <c r="V610" i="720"/>
  <c r="W610" i="720"/>
  <c r="V610" i="721"/>
  <c r="W610" i="721"/>
  <c r="F8" i="472"/>
  <c r="H8" i="472"/>
  <c r="F8" i="244"/>
  <c r="H8" i="244"/>
  <c r="F9" i="470"/>
  <c r="H9" i="470"/>
  <c r="F8" i="586"/>
  <c r="H8" i="586"/>
  <c r="F9" i="646"/>
  <c r="H9" i="646"/>
  <c r="F8" i="243"/>
  <c r="H8" i="243"/>
  <c r="F12" i="539"/>
  <c r="H12" i="539"/>
  <c r="V406" i="721"/>
  <c r="W406" i="721"/>
  <c r="F9" i="444"/>
  <c r="H9" i="444"/>
  <c r="F8" i="551"/>
  <c r="H8" i="551"/>
  <c r="F9" i="549"/>
  <c r="H9" i="549"/>
  <c r="F16" i="251"/>
  <c r="H16" i="251"/>
  <c r="F10" i="598"/>
  <c r="H10" i="598"/>
  <c r="F16" i="502"/>
  <c r="H16" i="502"/>
  <c r="F15" i="250"/>
  <c r="H15" i="250"/>
  <c r="F8" i="462"/>
  <c r="H8" i="462"/>
  <c r="F8" i="463"/>
  <c r="H8" i="463"/>
  <c r="I19" i="463"/>
  <c r="F8" i="460"/>
  <c r="H8" i="460"/>
  <c r="I19" i="460"/>
  <c r="F8" i="464"/>
  <c r="H8" i="464"/>
  <c r="F8" i="461"/>
  <c r="H8" i="461"/>
  <c r="I19" i="461"/>
  <c r="F8" i="478"/>
  <c r="H8" i="478"/>
  <c r="F9" i="623"/>
  <c r="H9" i="623"/>
  <c r="I18" i="623"/>
  <c r="F8" i="479"/>
  <c r="H8" i="479"/>
  <c r="F10" i="594"/>
  <c r="H10" i="594"/>
  <c r="I20" i="594"/>
  <c r="V269" i="721"/>
  <c r="F11" i="606"/>
  <c r="H11" i="606"/>
  <c r="F10" i="523"/>
  <c r="H10" i="523"/>
  <c r="F12" i="636"/>
  <c r="H12" i="636"/>
  <c r="F10" i="587"/>
  <c r="H10" i="587"/>
  <c r="F9" i="586"/>
  <c r="H9" i="586"/>
  <c r="F9" i="235"/>
  <c r="H9" i="235"/>
  <c r="F11" i="577"/>
  <c r="H11" i="577"/>
  <c r="F10" i="613"/>
  <c r="H10" i="613"/>
  <c r="F10" i="346"/>
  <c r="H10" i="346"/>
  <c r="F11" i="262"/>
  <c r="H11" i="262"/>
  <c r="F9" i="632"/>
  <c r="H9" i="632"/>
  <c r="F9" i="472"/>
  <c r="H9" i="472"/>
  <c r="F11" i="503"/>
  <c r="H11" i="503"/>
  <c r="F9" i="243"/>
  <c r="H9" i="243"/>
  <c r="F9" i="479"/>
  <c r="H9" i="479"/>
  <c r="F10" i="345"/>
  <c r="H10" i="345"/>
  <c r="F9" i="478"/>
  <c r="H9" i="478"/>
  <c r="I19" i="478"/>
  <c r="F9" i="631"/>
  <c r="H9" i="631"/>
  <c r="I19" i="631"/>
  <c r="F10" i="505"/>
  <c r="H10" i="505"/>
  <c r="F11" i="494"/>
  <c r="H11" i="494"/>
  <c r="F9" i="244"/>
  <c r="H9" i="244"/>
  <c r="F9" i="575"/>
  <c r="H9" i="575"/>
  <c r="F14" i="442"/>
  <c r="H14" i="442"/>
  <c r="F10" i="571"/>
  <c r="H10" i="571"/>
  <c r="F10" i="224"/>
  <c r="H10" i="224"/>
  <c r="F9" i="295"/>
  <c r="H9" i="295"/>
  <c r="F9" i="629"/>
  <c r="H9" i="629"/>
  <c r="I19" i="629"/>
  <c r="F10" i="504"/>
  <c r="H10" i="504"/>
  <c r="F13" i="446"/>
  <c r="H13" i="446"/>
  <c r="F9" i="583"/>
  <c r="H9" i="583"/>
  <c r="I19" i="583"/>
  <c r="I52" i="583"/>
  <c r="I25" i="24"/>
  <c r="G25" i="24"/>
  <c r="D45" i="583"/>
  <c r="H45" i="583"/>
  <c r="I50" i="583"/>
  <c r="I53" i="583"/>
  <c r="I54" i="583"/>
  <c r="F10" i="231"/>
  <c r="H10" i="231"/>
  <c r="F13" i="470"/>
  <c r="H13" i="470"/>
  <c r="F10" i="570"/>
  <c r="H10" i="570"/>
  <c r="F10" i="547"/>
  <c r="H10" i="547"/>
  <c r="F12" i="304"/>
  <c r="H12" i="304"/>
  <c r="F15" i="436"/>
  <c r="H15" i="436"/>
  <c r="F18" i="250"/>
  <c r="H18" i="250"/>
  <c r="F11" i="502"/>
  <c r="H11" i="502"/>
  <c r="F10" i="599"/>
  <c r="H10" i="599"/>
  <c r="F11" i="607"/>
  <c r="H11" i="607"/>
  <c r="F11" i="251"/>
  <c r="H11" i="251"/>
  <c r="F14" i="570"/>
  <c r="H14" i="570"/>
  <c r="F9" i="346"/>
  <c r="H9" i="346"/>
  <c r="F9" i="613"/>
  <c r="H9" i="613"/>
  <c r="F13" i="575"/>
  <c r="H13" i="575"/>
  <c r="F9" i="345"/>
  <c r="H9" i="345"/>
  <c r="F9" i="570"/>
  <c r="H9" i="570"/>
  <c r="F9" i="571"/>
  <c r="H9" i="571"/>
  <c r="F9" i="459"/>
  <c r="H9" i="459"/>
  <c r="F10" i="367"/>
  <c r="H10" i="367"/>
  <c r="F9" i="347"/>
  <c r="H9" i="347"/>
  <c r="F9" i="433"/>
  <c r="H9" i="433"/>
  <c r="F8" i="422"/>
  <c r="H8" i="422"/>
  <c r="I22" i="422"/>
  <c r="F8" i="423"/>
  <c r="H8" i="423"/>
  <c r="I22" i="423"/>
  <c r="F9" i="406"/>
  <c r="H9" i="406"/>
  <c r="F9" i="376"/>
  <c r="H9" i="376"/>
  <c r="F11" i="646"/>
  <c r="H11" i="646"/>
  <c r="F11" i="347"/>
  <c r="H11" i="347"/>
  <c r="F11" i="708"/>
  <c r="H11" i="708"/>
  <c r="F11" i="470"/>
  <c r="H11" i="470"/>
  <c r="F12" i="383"/>
  <c r="H12" i="383"/>
  <c r="F10" i="691"/>
  <c r="H10" i="691"/>
  <c r="F10" i="689"/>
  <c r="H10" i="689"/>
  <c r="F10" i="690"/>
  <c r="H10" i="690"/>
  <c r="F10" i="427"/>
  <c r="H10" i="427"/>
  <c r="F9" i="587"/>
  <c r="H9" i="587"/>
  <c r="V87" i="720"/>
  <c r="W87" i="720"/>
  <c r="F9" i="291"/>
  <c r="H9" i="291"/>
  <c r="F9" i="462"/>
  <c r="H9" i="462"/>
  <c r="F8" i="303"/>
  <c r="H8" i="303"/>
  <c r="F12" i="252"/>
  <c r="H12" i="252"/>
  <c r="F17" i="606"/>
  <c r="H17" i="606"/>
  <c r="F8" i="611"/>
  <c r="H8" i="611"/>
  <c r="F13" i="497"/>
  <c r="H13" i="497"/>
  <c r="F12" i="358"/>
  <c r="H12" i="358"/>
  <c r="F11" i="392"/>
  <c r="H11" i="392"/>
  <c r="F11" i="304"/>
  <c r="H11" i="304"/>
  <c r="F11" i="335"/>
  <c r="H11" i="335"/>
  <c r="F11" i="391"/>
  <c r="H11" i="391"/>
  <c r="F11" i="436"/>
  <c r="H11" i="436"/>
  <c r="F11" i="387"/>
  <c r="H11" i="387"/>
  <c r="F11" i="336"/>
  <c r="H11" i="336"/>
  <c r="F9" i="358"/>
  <c r="H9" i="358"/>
  <c r="I23" i="358"/>
  <c r="F9" i="436"/>
  <c r="H9" i="436"/>
  <c r="F8" i="335"/>
  <c r="H8" i="335"/>
  <c r="F8" i="279"/>
  <c r="H8" i="279"/>
  <c r="F8" i="336"/>
  <c r="H8" i="336"/>
  <c r="F8" i="280"/>
  <c r="H8" i="280"/>
  <c r="I19" i="280"/>
  <c r="V597" i="721"/>
  <c r="F13" i="358"/>
  <c r="H13" i="358"/>
  <c r="F10" i="600"/>
  <c r="H10" i="600"/>
  <c r="I20" i="600"/>
  <c r="F12" i="251"/>
  <c r="H12" i="251"/>
  <c r="F8" i="593"/>
  <c r="H8" i="593"/>
  <c r="F9" i="591"/>
  <c r="H9" i="591"/>
  <c r="F8" i="599"/>
  <c r="H8" i="599"/>
  <c r="F10" i="557"/>
  <c r="H10" i="557"/>
  <c r="F12" i="434"/>
  <c r="H12" i="434"/>
  <c r="F10" i="555"/>
  <c r="H10" i="555"/>
  <c r="F8" i="262"/>
  <c r="H8" i="262"/>
  <c r="F11" i="280"/>
  <c r="H11" i="280"/>
  <c r="F11" i="281"/>
  <c r="H11" i="281"/>
  <c r="F14" i="360"/>
  <c r="H14" i="360"/>
  <c r="F14" i="342"/>
  <c r="H14" i="342"/>
  <c r="F14" i="624"/>
  <c r="H14" i="624"/>
  <c r="F14" i="392"/>
  <c r="H14" i="392"/>
  <c r="F12" i="566"/>
  <c r="H12" i="566"/>
  <c r="F12" i="442"/>
  <c r="H12" i="442"/>
  <c r="F15" i="708"/>
  <c r="H15" i="708"/>
  <c r="F8" i="485"/>
  <c r="H8" i="485"/>
  <c r="I19" i="485"/>
  <c r="F8" i="345"/>
  <c r="H8" i="345"/>
  <c r="F8" i="617"/>
  <c r="H8" i="617"/>
  <c r="F15" i="251"/>
  <c r="H15" i="251"/>
  <c r="F8" i="624"/>
  <c r="H8" i="624"/>
  <c r="F11" i="690"/>
  <c r="H11" i="690"/>
  <c r="F9" i="227"/>
  <c r="H9" i="227"/>
  <c r="F15" i="497"/>
  <c r="H15" i="497"/>
  <c r="F15" i="392"/>
  <c r="H15" i="392"/>
  <c r="F15" i="391"/>
  <c r="H15" i="391"/>
  <c r="F11" i="604"/>
  <c r="H11" i="604"/>
  <c r="F19" i="502"/>
  <c r="H19" i="502"/>
  <c r="F19" i="250"/>
  <c r="H19" i="250"/>
  <c r="F9" i="408"/>
  <c r="H9" i="408"/>
  <c r="F12" i="407"/>
  <c r="H12" i="407"/>
  <c r="F9" i="592"/>
  <c r="H9" i="592"/>
  <c r="F10" i="568"/>
  <c r="H10" i="568"/>
  <c r="F11" i="565"/>
  <c r="H11" i="565"/>
  <c r="F12" i="614"/>
  <c r="H12" i="614"/>
  <c r="F15" i="606"/>
  <c r="H15" i="606"/>
  <c r="F9" i="434"/>
  <c r="H9" i="434"/>
  <c r="F9" i="404"/>
  <c r="H9" i="404"/>
  <c r="F9" i="588"/>
  <c r="H9" i="588"/>
  <c r="F11" i="569"/>
  <c r="H11" i="569"/>
  <c r="F12" i="216"/>
  <c r="H12" i="216"/>
  <c r="F12" i="612"/>
  <c r="H12" i="612"/>
  <c r="F15" i="607"/>
  <c r="H15" i="607"/>
  <c r="F9" i="599"/>
  <c r="H9" i="599"/>
  <c r="F9" i="403"/>
  <c r="H9" i="403"/>
  <c r="F9" i="348"/>
  <c r="H9" i="348"/>
  <c r="F10" i="567"/>
  <c r="H10" i="567"/>
  <c r="F9" i="215"/>
  <c r="H9" i="215"/>
  <c r="F11" i="517"/>
  <c r="H11" i="517"/>
  <c r="F9" i="252"/>
  <c r="H9" i="252"/>
  <c r="F19" i="251"/>
  <c r="H19" i="251"/>
  <c r="F10" i="514"/>
  <c r="H10" i="514"/>
  <c r="F9" i="409"/>
  <c r="H9" i="409"/>
  <c r="F9" i="596"/>
  <c r="H9" i="596"/>
  <c r="F11" i="566"/>
  <c r="H11" i="566"/>
  <c r="F8" i="387"/>
  <c r="H8" i="387"/>
  <c r="F13" i="304"/>
  <c r="H13" i="304"/>
  <c r="F18" i="215"/>
  <c r="H18" i="215"/>
  <c r="F10" i="215"/>
  <c r="H10" i="215"/>
  <c r="I20" i="215"/>
  <c r="I52" i="215"/>
  <c r="I32" i="24"/>
  <c r="H32" i="24"/>
  <c r="G32" i="24"/>
  <c r="D45" i="215"/>
  <c r="H45" i="215"/>
  <c r="I50" i="215"/>
  <c r="I53" i="215"/>
  <c r="I54" i="215"/>
  <c r="F18" i="252"/>
  <c r="H18" i="252"/>
  <c r="F10" i="364"/>
  <c r="H10" i="364"/>
  <c r="F9" i="228"/>
  <c r="H9" i="228"/>
  <c r="F11" i="547"/>
  <c r="H11" i="547"/>
  <c r="F10" i="636"/>
  <c r="H10" i="636"/>
  <c r="F9" i="577"/>
  <c r="H9" i="577"/>
  <c r="F10" i="446"/>
  <c r="H10" i="446"/>
  <c r="F10" i="442"/>
  <c r="H10" i="442"/>
  <c r="F11" i="224"/>
  <c r="H11" i="224"/>
  <c r="F9" i="494"/>
  <c r="H9" i="494"/>
  <c r="F9" i="446"/>
  <c r="H9" i="446"/>
  <c r="F9" i="442"/>
  <c r="H9" i="442"/>
  <c r="F11" i="586"/>
  <c r="H11" i="586"/>
  <c r="F11" i="243"/>
  <c r="H11" i="243"/>
  <c r="F11" i="472"/>
  <c r="H11" i="472"/>
  <c r="F8" i="231"/>
  <c r="H8" i="231"/>
  <c r="F8" i="613"/>
  <c r="H8" i="613"/>
  <c r="F8" i="571"/>
  <c r="H8" i="571"/>
  <c r="F13" i="624"/>
  <c r="H13" i="624"/>
  <c r="F11" i="649"/>
  <c r="H11" i="649"/>
  <c r="F11" i="444"/>
  <c r="H11" i="444"/>
  <c r="F10" i="227"/>
  <c r="H10" i="227"/>
  <c r="F12" i="503"/>
  <c r="H12" i="503"/>
  <c r="F10" i="228"/>
  <c r="H10" i="228"/>
  <c r="F12" i="224"/>
  <c r="H12" i="224"/>
  <c r="F11" i="244"/>
  <c r="H11" i="244"/>
  <c r="F10" i="548"/>
  <c r="H10" i="548"/>
  <c r="F11" i="549"/>
  <c r="H11" i="549"/>
  <c r="F11" i="636"/>
  <c r="H11" i="636"/>
  <c r="F9" i="364"/>
  <c r="H9" i="364"/>
  <c r="F12" i="547"/>
  <c r="H12" i="547"/>
  <c r="F16" i="436"/>
  <c r="H16" i="436"/>
  <c r="F11" i="333"/>
  <c r="H11" i="333"/>
  <c r="F11" i="259"/>
  <c r="H11" i="259"/>
  <c r="I19" i="259"/>
  <c r="F9" i="523"/>
  <c r="H9" i="523"/>
  <c r="F9" i="601"/>
  <c r="H9" i="601"/>
  <c r="I20" i="601"/>
  <c r="F11" i="396"/>
  <c r="H11" i="396"/>
  <c r="F14" i="287"/>
  <c r="H14" i="287"/>
  <c r="F9" i="616"/>
  <c r="H9" i="616"/>
  <c r="F9" i="517"/>
  <c r="H9" i="517"/>
  <c r="F10" i="455"/>
  <c r="H10" i="455"/>
  <c r="F10" i="30"/>
  <c r="H10" i="30"/>
  <c r="F12" i="278"/>
  <c r="H12" i="278"/>
  <c r="F8" i="588"/>
  <c r="H8" i="588"/>
  <c r="F11" i="404"/>
  <c r="H11" i="404"/>
  <c r="F11" i="348"/>
  <c r="H11" i="348"/>
  <c r="F9" i="522"/>
  <c r="H9" i="522"/>
  <c r="I20" i="522"/>
  <c r="F9" i="608"/>
  <c r="H9" i="608"/>
  <c r="F12" i="250"/>
  <c r="H12" i="250"/>
  <c r="F13" i="442"/>
  <c r="H13" i="442"/>
  <c r="F9" i="569"/>
  <c r="H9" i="569"/>
  <c r="F9" i="250"/>
  <c r="H9" i="250"/>
  <c r="F12" i="244"/>
  <c r="H12" i="244"/>
  <c r="F9" i="568"/>
  <c r="H9" i="568"/>
  <c r="I19" i="386"/>
  <c r="I19" i="709"/>
  <c r="Z65" i="721"/>
  <c r="AA65" i="721"/>
  <c r="I31" i="407"/>
  <c r="Z431" i="720"/>
  <c r="AA431" i="720"/>
  <c r="Z431" i="721"/>
  <c r="AA431" i="721"/>
  <c r="I33" i="700"/>
  <c r="Z192" i="720"/>
  <c r="AA192" i="720"/>
  <c r="Z192" i="721"/>
  <c r="AA192" i="721"/>
  <c r="Z140" i="721"/>
  <c r="AA140" i="721"/>
  <c r="Z140" i="720"/>
  <c r="AA140" i="720"/>
  <c r="I27" i="549"/>
  <c r="Z803" i="721"/>
  <c r="AA803" i="721"/>
  <c r="Z803" i="720"/>
  <c r="AA803" i="720"/>
  <c r="Z207" i="721"/>
  <c r="AA207" i="721"/>
  <c r="Z207" i="720"/>
  <c r="Z35" i="720"/>
  <c r="AA35" i="720"/>
  <c r="Z35" i="721"/>
  <c r="AA35" i="721"/>
  <c r="Z37" i="720"/>
  <c r="AA37" i="720"/>
  <c r="Z37" i="721"/>
  <c r="Z781" i="720"/>
  <c r="AA781" i="720"/>
  <c r="Z98" i="720"/>
  <c r="AA98" i="720"/>
  <c r="Z98" i="721"/>
  <c r="AA98" i="721"/>
  <c r="Z189" i="721"/>
  <c r="AA189" i="721"/>
  <c r="Z189" i="720"/>
  <c r="AA189" i="720"/>
  <c r="I29" i="236"/>
  <c r="Z209" i="720"/>
  <c r="AA209" i="720"/>
  <c r="Z209" i="721"/>
  <c r="AA209" i="721"/>
  <c r="Z226" i="720"/>
  <c r="AA226" i="720"/>
  <c r="AA225" i="720"/>
  <c r="Z226" i="721"/>
  <c r="AA226" i="721"/>
  <c r="AA225" i="721"/>
  <c r="Z92" i="720"/>
  <c r="AA92" i="720"/>
  <c r="Z92" i="721"/>
  <c r="AA92" i="721"/>
  <c r="Z86" i="720"/>
  <c r="AA86" i="720"/>
  <c r="I52" i="556"/>
  <c r="Z86" i="721"/>
  <c r="Z57" i="720"/>
  <c r="AA57" i="720"/>
  <c r="Z57" i="721"/>
  <c r="AA57" i="721"/>
  <c r="Z567" i="721"/>
  <c r="AA567" i="721"/>
  <c r="Z567" i="720"/>
  <c r="AA567" i="720"/>
  <c r="F24" i="499"/>
  <c r="H24" i="499"/>
  <c r="I30" i="499"/>
  <c r="Z568" i="720"/>
  <c r="AA568" i="720"/>
  <c r="AA566" i="720"/>
  <c r="AA545" i="720"/>
  <c r="Z127" i="721"/>
  <c r="AA127" i="721"/>
  <c r="Z127" i="720"/>
  <c r="AA127" i="720"/>
  <c r="Z733" i="721"/>
  <c r="Z36" i="720"/>
  <c r="AA36" i="720"/>
  <c r="Z36" i="721"/>
  <c r="AA36" i="721"/>
  <c r="F24" i="568"/>
  <c r="H24" i="568"/>
  <c r="I30" i="568"/>
  <c r="Z100" i="721"/>
  <c r="AA100" i="721"/>
  <c r="F25" i="463"/>
  <c r="H25" i="463"/>
  <c r="I30" i="463"/>
  <c r="F24" i="516"/>
  <c r="H24" i="516"/>
  <c r="I30" i="516"/>
  <c r="F24" i="562"/>
  <c r="H24" i="562"/>
  <c r="I30" i="562"/>
  <c r="F23" i="217"/>
  <c r="H23" i="217"/>
  <c r="I30" i="217"/>
  <c r="F26" i="646"/>
  <c r="H26" i="646"/>
  <c r="F25" i="646"/>
  <c r="H25" i="646"/>
  <c r="I30" i="646"/>
  <c r="Z145" i="721"/>
  <c r="AA145" i="721"/>
  <c r="F24" i="645"/>
  <c r="H24" i="645"/>
  <c r="I30" i="645"/>
  <c r="F27" i="427"/>
  <c r="H27" i="427"/>
  <c r="F26" i="446"/>
  <c r="H26" i="446"/>
  <c r="I30" i="446"/>
  <c r="F27" i="360"/>
  <c r="H27" i="360"/>
  <c r="I33" i="360"/>
  <c r="Z432" i="721"/>
  <c r="AA432" i="721"/>
  <c r="F25" i="448"/>
  <c r="H25" i="448"/>
  <c r="F24" i="379"/>
  <c r="H24" i="379"/>
  <c r="I30" i="379"/>
  <c r="Z195" i="720"/>
  <c r="AA195" i="720"/>
  <c r="Z258" i="721"/>
  <c r="AA258" i="721"/>
  <c r="AA257" i="721"/>
  <c r="Z408" i="721"/>
  <c r="Z397" i="720"/>
  <c r="AA397" i="720"/>
  <c r="Z588" i="721"/>
  <c r="AA588" i="721"/>
  <c r="Z588" i="720"/>
  <c r="AA588" i="720"/>
  <c r="Z722" i="720"/>
  <c r="AA722" i="720"/>
  <c r="AA721" i="720"/>
  <c r="Z722" i="721"/>
  <c r="AA722" i="721"/>
  <c r="AA721" i="721"/>
  <c r="AA715" i="721"/>
  <c r="Z422" i="720"/>
  <c r="AA422" i="720"/>
  <c r="Z422" i="721"/>
  <c r="AA422" i="721"/>
  <c r="Z309" i="720"/>
  <c r="AA309" i="720"/>
  <c r="Z309" i="721"/>
  <c r="AA309" i="721"/>
  <c r="Z277" i="720"/>
  <c r="Z277" i="721"/>
  <c r="AA277" i="721"/>
  <c r="F24" i="569"/>
  <c r="H24" i="569"/>
  <c r="I30" i="569"/>
  <c r="F25" i="460"/>
  <c r="H25" i="460"/>
  <c r="I30" i="460"/>
  <c r="Z61" i="720"/>
  <c r="AA61" i="720"/>
  <c r="F24" i="555"/>
  <c r="H24" i="555"/>
  <c r="I30" i="555"/>
  <c r="F25" i="427"/>
  <c r="H25" i="427"/>
  <c r="F25" i="641"/>
  <c r="H25" i="641"/>
  <c r="F27" i="701"/>
  <c r="H27" i="701"/>
  <c r="I33" i="701"/>
  <c r="Z180" i="721"/>
  <c r="AA180" i="721"/>
  <c r="Z590" i="721"/>
  <c r="AA590" i="721"/>
  <c r="Z706" i="720"/>
  <c r="AA706" i="720"/>
  <c r="Z706" i="721"/>
  <c r="AA706" i="721"/>
  <c r="Z710" i="721"/>
  <c r="AA710" i="721"/>
  <c r="AA705" i="721"/>
  <c r="AA692" i="721"/>
  <c r="Z179" i="720"/>
  <c r="AA179" i="720"/>
  <c r="Z179" i="721"/>
  <c r="AA179" i="721"/>
  <c r="Z575" i="720"/>
  <c r="AA575" i="720"/>
  <c r="Z575" i="721"/>
  <c r="AA575" i="721"/>
  <c r="Z441" i="720"/>
  <c r="Z441" i="721"/>
  <c r="Z421" i="720"/>
  <c r="AA421" i="720"/>
  <c r="Z421" i="721"/>
  <c r="AA421" i="721"/>
  <c r="Z407" i="720"/>
  <c r="AA407" i="720"/>
  <c r="Z407" i="721"/>
  <c r="AA407" i="721"/>
  <c r="Z398" i="721"/>
  <c r="AA398" i="721"/>
  <c r="Z398" i="720"/>
  <c r="AA398" i="720"/>
  <c r="I55" i="398"/>
  <c r="Z76" i="721"/>
  <c r="AA76" i="721"/>
  <c r="Z76" i="720"/>
  <c r="AA76" i="720"/>
  <c r="Z399" i="720"/>
  <c r="Z399" i="721"/>
  <c r="AA399" i="721"/>
  <c r="Z389" i="720"/>
  <c r="AA389" i="720"/>
  <c r="Z389" i="721"/>
  <c r="AA389" i="721"/>
  <c r="Z306" i="720"/>
  <c r="Z306" i="721"/>
  <c r="AA306" i="721"/>
  <c r="F25" i="408"/>
  <c r="H25" i="408"/>
  <c r="I31" i="408"/>
  <c r="F27" i="641"/>
  <c r="H27" i="641"/>
  <c r="F24" i="470"/>
  <c r="H24" i="470"/>
  <c r="F25" i="470"/>
  <c r="H25" i="470"/>
  <c r="I30" i="470"/>
  <c r="Z112" i="721"/>
  <c r="Z568" i="721"/>
  <c r="AA568" i="721"/>
  <c r="F27" i="624"/>
  <c r="H27" i="624"/>
  <c r="I33" i="624"/>
  <c r="F23" i="623"/>
  <c r="H23" i="623"/>
  <c r="F25" i="575"/>
  <c r="H25" i="575"/>
  <c r="I30" i="575"/>
  <c r="Z533" i="720"/>
  <c r="Z533" i="721"/>
  <c r="AA533" i="721"/>
  <c r="AA531" i="721"/>
  <c r="Z439" i="721"/>
  <c r="AA439" i="721"/>
  <c r="Z439" i="720"/>
  <c r="AA439" i="720"/>
  <c r="Z404" i="720"/>
  <c r="AA404" i="720"/>
  <c r="Z404" i="721"/>
  <c r="AA404" i="721"/>
  <c r="Z313" i="720"/>
  <c r="Z52" i="721"/>
  <c r="AA52" i="721"/>
  <c r="Z52" i="720"/>
  <c r="AA52" i="720"/>
  <c r="Z339" i="721"/>
  <c r="AA339" i="721"/>
  <c r="Z339" i="720"/>
  <c r="AA339" i="720"/>
  <c r="I55" i="430"/>
  <c r="Z386" i="720"/>
  <c r="AA386" i="720"/>
  <c r="Z400" i="721"/>
  <c r="AA400" i="721"/>
  <c r="Z436" i="721"/>
  <c r="AA436" i="721"/>
  <c r="Z453" i="720"/>
  <c r="AA453" i="720"/>
  <c r="Z585" i="720"/>
  <c r="AA585" i="720"/>
  <c r="Z485" i="721"/>
  <c r="AA485" i="721"/>
  <c r="AA482" i="721"/>
  <c r="Z247" i="721"/>
  <c r="AA247" i="721"/>
  <c r="AA245" i="721"/>
  <c r="Z447" i="720"/>
  <c r="Z447" i="721"/>
  <c r="AA447" i="721"/>
  <c r="Z454" i="720"/>
  <c r="Z118" i="721"/>
  <c r="AA118" i="721"/>
  <c r="Z115" i="721"/>
  <c r="AA115" i="721"/>
  <c r="Z51" i="720"/>
  <c r="AA51" i="720"/>
  <c r="Z493" i="720"/>
  <c r="AA493" i="720"/>
  <c r="Z493" i="721"/>
  <c r="AA493" i="721"/>
  <c r="AA490" i="721"/>
  <c r="Z308" i="721"/>
  <c r="AA308" i="721"/>
  <c r="Z310" i="720"/>
  <c r="AA310" i="720"/>
  <c r="Z310" i="721"/>
  <c r="Z268" i="720"/>
  <c r="AA268" i="720"/>
  <c r="Z106" i="721"/>
  <c r="AA106" i="721"/>
  <c r="Z78" i="720"/>
  <c r="AA78" i="720"/>
  <c r="Z78" i="721"/>
  <c r="AA78" i="721"/>
  <c r="Z818" i="720"/>
  <c r="AA818" i="720"/>
  <c r="Z818" i="721"/>
  <c r="AA818" i="721"/>
  <c r="Z77" i="721"/>
  <c r="AA77" i="721"/>
  <c r="Z77" i="720"/>
  <c r="AA77" i="720"/>
  <c r="Z105" i="721"/>
  <c r="AA105" i="721"/>
  <c r="Z105" i="720"/>
  <c r="AA105" i="720"/>
  <c r="Z269" i="720"/>
  <c r="AA269" i="720"/>
  <c r="Z269" i="721"/>
  <c r="AA269" i="721"/>
  <c r="Z312" i="720"/>
  <c r="AA312" i="720"/>
  <c r="Z349" i="720"/>
  <c r="AA349" i="720"/>
  <c r="AA341" i="720"/>
  <c r="Z778" i="720"/>
  <c r="AA778" i="720"/>
  <c r="AA776" i="720"/>
  <c r="F24" i="504"/>
  <c r="H24" i="504"/>
  <c r="I30" i="504"/>
  <c r="F23" i="280"/>
  <c r="H23" i="280"/>
  <c r="F24" i="335"/>
  <c r="H24" i="335"/>
  <c r="F24" i="277"/>
  <c r="H24" i="277"/>
  <c r="I30" i="277"/>
  <c r="F24" i="228"/>
  <c r="H24" i="228"/>
  <c r="I30" i="228"/>
  <c r="Z70" i="721"/>
  <c r="AA70" i="721"/>
  <c r="F28" i="638"/>
  <c r="H28" i="638"/>
  <c r="F30" i="358"/>
  <c r="H30" i="358"/>
  <c r="F25" i="279"/>
  <c r="H25" i="279"/>
  <c r="F25" i="336"/>
  <c r="H25" i="336"/>
  <c r="F23" i="436"/>
  <c r="H23" i="436"/>
  <c r="F25" i="436"/>
  <c r="H25" i="436"/>
  <c r="F27" i="436"/>
  <c r="H27" i="436"/>
  <c r="I30" i="436"/>
  <c r="F26" i="391"/>
  <c r="H26" i="391"/>
  <c r="F25" i="387"/>
  <c r="H25" i="387"/>
  <c r="F26" i="392"/>
  <c r="H26" i="392"/>
  <c r="F27" i="497"/>
  <c r="H27" i="497"/>
  <c r="F25" i="623"/>
  <c r="H25" i="623"/>
  <c r="F27" i="391"/>
  <c r="H27" i="391"/>
  <c r="F26" i="497"/>
  <c r="H26" i="497"/>
  <c r="F23" i="279"/>
  <c r="H23" i="279"/>
  <c r="I30" i="279"/>
  <c r="Z593" i="721"/>
  <c r="AA593" i="721"/>
  <c r="F24" i="503"/>
  <c r="H24" i="503"/>
  <c r="I30" i="503"/>
  <c r="F23" i="336"/>
  <c r="H23" i="336"/>
  <c r="F28" i="358"/>
  <c r="H28" i="358"/>
  <c r="F27" i="333"/>
  <c r="H27" i="333"/>
  <c r="I30" i="333"/>
  <c r="F23" i="304"/>
  <c r="H23" i="304"/>
  <c r="F24" i="481"/>
  <c r="H24" i="481"/>
  <c r="I30" i="481"/>
  <c r="Z196" i="720"/>
  <c r="AA196" i="720"/>
  <c r="F24" i="291"/>
  <c r="H24" i="291"/>
  <c r="I30" i="291"/>
  <c r="F27" i="358"/>
  <c r="H27" i="358"/>
  <c r="I34" i="358"/>
  <c r="F24" i="280"/>
  <c r="H24" i="280"/>
  <c r="F24" i="623"/>
  <c r="H24" i="623"/>
  <c r="F24" i="638"/>
  <c r="H24" i="638"/>
  <c r="F24" i="391"/>
  <c r="H24" i="391"/>
  <c r="I30" i="391"/>
  <c r="F24" i="304"/>
  <c r="H24" i="304"/>
  <c r="F24" i="392"/>
  <c r="H24" i="392"/>
  <c r="F24" i="497"/>
  <c r="H24" i="497"/>
  <c r="I30" i="497"/>
  <c r="F24" i="336"/>
  <c r="H24" i="336"/>
  <c r="Z444" i="720"/>
  <c r="AA444" i="720"/>
  <c r="F24" i="633"/>
  <c r="H24" i="633"/>
  <c r="I30" i="633"/>
  <c r="F24" i="448"/>
  <c r="H24" i="448"/>
  <c r="I30" i="448"/>
  <c r="Z583" i="721"/>
  <c r="AA583" i="721"/>
  <c r="I19" i="573"/>
  <c r="V116" i="720"/>
  <c r="W116" i="720"/>
  <c r="I19" i="630"/>
  <c r="I52" i="630"/>
  <c r="I19" i="715"/>
  <c r="V44" i="721"/>
  <c r="W44" i="721"/>
  <c r="I23" i="338"/>
  <c r="I56" i="338"/>
  <c r="I58" i="338"/>
  <c r="I19" i="137"/>
  <c r="I52" i="137"/>
  <c r="I19" i="200"/>
  <c r="I19" i="207"/>
  <c r="I52" i="207"/>
  <c r="I19" i="217"/>
  <c r="V810" i="720"/>
  <c r="W810" i="720"/>
  <c r="I19" i="572"/>
  <c r="I52" i="572"/>
  <c r="I22" i="703"/>
  <c r="I55" i="703"/>
  <c r="I22" i="705"/>
  <c r="V413" i="720"/>
  <c r="W413" i="720"/>
  <c r="V413" i="721"/>
  <c r="W413" i="721"/>
  <c r="V395" i="721"/>
  <c r="W395" i="721"/>
  <c r="I55" i="413"/>
  <c r="V395" i="720"/>
  <c r="W395" i="720"/>
  <c r="V391" i="721"/>
  <c r="W391" i="721"/>
  <c r="X810" i="721"/>
  <c r="Y810" i="721"/>
  <c r="X810" i="720"/>
  <c r="Y810" i="720"/>
  <c r="I19" i="205"/>
  <c r="I52" i="205"/>
  <c r="V86" i="720"/>
  <c r="W86" i="720"/>
  <c r="I19" i="206"/>
  <c r="I52" i="206"/>
  <c r="I19" i="270"/>
  <c r="I19" i="225"/>
  <c r="I52" i="225"/>
  <c r="D45" i="225"/>
  <c r="H45" i="225"/>
  <c r="I50" i="225"/>
  <c r="I53" i="225"/>
  <c r="I54" i="225"/>
  <c r="I19" i="269"/>
  <c r="I52" i="269"/>
  <c r="I19" i="574"/>
  <c r="V118" i="720"/>
  <c r="W118" i="720"/>
  <c r="I22" i="704"/>
  <c r="I55" i="704"/>
  <c r="I19" i="239"/>
  <c r="I52" i="239"/>
  <c r="I54" i="239"/>
  <c r="V175" i="720"/>
  <c r="V93" i="721"/>
  <c r="W93" i="721"/>
  <c r="V85" i="721"/>
  <c r="W85" i="721"/>
  <c r="I53" i="715"/>
  <c r="Z16" i="720"/>
  <c r="AA16" i="720"/>
  <c r="Z16" i="721"/>
  <c r="AA16" i="721"/>
  <c r="V50" i="721"/>
  <c r="W50" i="721"/>
  <c r="V781" i="720"/>
  <c r="W781" i="720"/>
  <c r="I52" i="707"/>
  <c r="V486" i="721"/>
  <c r="W486" i="721"/>
  <c r="V573" i="720"/>
  <c r="W573" i="720"/>
  <c r="W572" i="720"/>
  <c r="I52" i="273"/>
  <c r="V485" i="721"/>
  <c r="W485" i="721"/>
  <c r="V732" i="720"/>
  <c r="W732" i="720"/>
  <c r="D71" i="27"/>
  <c r="I30" i="427"/>
  <c r="D53" i="27"/>
  <c r="D54" i="27"/>
  <c r="D55" i="27"/>
  <c r="D50" i="27"/>
  <c r="D51" i="27"/>
  <c r="Z66" i="720"/>
  <c r="AA66" i="720"/>
  <c r="Z66" i="721"/>
  <c r="AA66" i="721"/>
  <c r="D70" i="27"/>
  <c r="E53" i="27"/>
  <c r="E54" i="27"/>
  <c r="E55" i="27"/>
  <c r="E67" i="27"/>
  <c r="E68" i="27"/>
  <c r="E69" i="27"/>
  <c r="H13" i="27"/>
  <c r="H14" i="27"/>
  <c r="N67" i="27"/>
  <c r="N68" i="27"/>
  <c r="N69" i="27"/>
  <c r="N64" i="27"/>
  <c r="N65" i="27"/>
  <c r="N66" i="27"/>
  <c r="N71" i="27"/>
  <c r="N53" i="27"/>
  <c r="N54" i="27"/>
  <c r="N55" i="27"/>
  <c r="K67" i="27"/>
  <c r="K68" i="27"/>
  <c r="K69" i="27"/>
  <c r="H67" i="27"/>
  <c r="H68" i="27"/>
  <c r="H53" i="27"/>
  <c r="H54" i="27"/>
  <c r="H55" i="27"/>
  <c r="K53" i="27"/>
  <c r="K54" i="27"/>
  <c r="K55" i="27"/>
  <c r="N13" i="27"/>
  <c r="N14" i="27"/>
  <c r="H10" i="27"/>
  <c r="H11" i="27"/>
  <c r="E64" i="27"/>
  <c r="H64" i="27"/>
  <c r="H65" i="27"/>
  <c r="N50" i="27"/>
  <c r="N51" i="27"/>
  <c r="N56" i="27"/>
  <c r="E50" i="27"/>
  <c r="E51" i="27"/>
  <c r="N10" i="27"/>
  <c r="N11" i="27"/>
  <c r="H50" i="27"/>
  <c r="H51" i="27"/>
  <c r="K64" i="27"/>
  <c r="K65" i="27"/>
  <c r="K50" i="27"/>
  <c r="K51" i="27"/>
  <c r="AA257" i="720"/>
  <c r="F15" i="342"/>
  <c r="H15" i="342"/>
  <c r="F15" i="360"/>
  <c r="H15" i="360"/>
  <c r="F11" i="450"/>
  <c r="H11" i="450"/>
  <c r="I19" i="450"/>
  <c r="F10" i="448"/>
  <c r="H10" i="448"/>
  <c r="Z69" i="721"/>
  <c r="AA69" i="721"/>
  <c r="Z69" i="720"/>
  <c r="AA69" i="720"/>
  <c r="Z826" i="721"/>
  <c r="AA826" i="721"/>
  <c r="AA825" i="721"/>
  <c r="AA824" i="721"/>
  <c r="Z826" i="720"/>
  <c r="AA826" i="720"/>
  <c r="AA825" i="720"/>
  <c r="AA341" i="721"/>
  <c r="Z440" i="721"/>
  <c r="AA440" i="721"/>
  <c r="Z440" i="720"/>
  <c r="AA440" i="720"/>
  <c r="I19" i="512"/>
  <c r="V588" i="721"/>
  <c r="W588" i="721"/>
  <c r="I53" i="618"/>
  <c r="V350" i="720"/>
  <c r="W350" i="720"/>
  <c r="V350" i="721"/>
  <c r="W350" i="721"/>
  <c r="V95" i="720"/>
  <c r="W95" i="720"/>
  <c r="F12" i="472"/>
  <c r="H12" i="472"/>
  <c r="F12" i="243"/>
  <c r="H12" i="243"/>
  <c r="F10" i="575"/>
  <c r="H10" i="575"/>
  <c r="F15" i="197"/>
  <c r="H15" i="197"/>
  <c r="F12" i="586"/>
  <c r="H12" i="586"/>
  <c r="F12" i="649"/>
  <c r="H12" i="649"/>
  <c r="F10" i="355"/>
  <c r="H10" i="355"/>
  <c r="Z340" i="721"/>
  <c r="AA340" i="721"/>
  <c r="Z340" i="720"/>
  <c r="AA340" i="720"/>
  <c r="Z87" i="721"/>
  <c r="AA87" i="721"/>
  <c r="Z87" i="720"/>
  <c r="AA87" i="720"/>
  <c r="Z136" i="721"/>
  <c r="AA136" i="721"/>
  <c r="Z136" i="720"/>
  <c r="AA136" i="720"/>
  <c r="Z460" i="720"/>
  <c r="AA460" i="720"/>
  <c r="V114" i="721"/>
  <c r="W114" i="721"/>
  <c r="F11" i="342"/>
  <c r="H11" i="342"/>
  <c r="F11" i="624"/>
  <c r="H11" i="624"/>
  <c r="F11" i="360"/>
  <c r="H11" i="360"/>
  <c r="F8" i="382"/>
  <c r="H8" i="382"/>
  <c r="I22" i="382"/>
  <c r="F11" i="278"/>
  <c r="H11" i="278"/>
  <c r="F10" i="278"/>
  <c r="H10" i="278"/>
  <c r="F8" i="688"/>
  <c r="H8" i="688"/>
  <c r="I22" i="688"/>
  <c r="F8" i="687"/>
  <c r="H8" i="687"/>
  <c r="I22" i="687"/>
  <c r="F9" i="360"/>
  <c r="H9" i="360"/>
  <c r="F9" i="278"/>
  <c r="H9" i="278"/>
  <c r="F12" i="342"/>
  <c r="H12" i="342"/>
  <c r="F12" i="624"/>
  <c r="H12" i="624"/>
  <c r="F12" i="360"/>
  <c r="H12" i="360"/>
  <c r="F11" i="508"/>
  <c r="H11" i="508"/>
  <c r="I19" i="508"/>
  <c r="F11" i="381"/>
  <c r="H11" i="381"/>
  <c r="I19" i="381"/>
  <c r="F11" i="507"/>
  <c r="H11" i="507"/>
  <c r="I19" i="507"/>
  <c r="I52" i="507"/>
  <c r="D45" i="507"/>
  <c r="H45" i="507"/>
  <c r="I50" i="507"/>
  <c r="I53" i="507"/>
  <c r="I54" i="507"/>
  <c r="F55" i="507"/>
  <c r="F12" i="691"/>
  <c r="H12" i="691"/>
  <c r="F12" i="690"/>
  <c r="H12" i="690"/>
  <c r="Z334" i="720"/>
  <c r="AA334" i="720"/>
  <c r="Z583" i="720"/>
  <c r="AA583" i="720"/>
  <c r="I52" i="499"/>
  <c r="I30" i="304"/>
  <c r="Z70" i="720"/>
  <c r="AA70" i="720"/>
  <c r="AA533" i="720"/>
  <c r="AA441" i="720"/>
  <c r="I30" i="641"/>
  <c r="Z61" i="721"/>
  <c r="AA61" i="721"/>
  <c r="AA277" i="720"/>
  <c r="Z432" i="720"/>
  <c r="AA432" i="720"/>
  <c r="Z150" i="721"/>
  <c r="AA150" i="721"/>
  <c r="Z150" i="720"/>
  <c r="AA150" i="720"/>
  <c r="Z146" i="720"/>
  <c r="AA146" i="720"/>
  <c r="Z593" i="720"/>
  <c r="AA593" i="720"/>
  <c r="Z145" i="720"/>
  <c r="AA145" i="720"/>
  <c r="I30" i="280"/>
  <c r="Z597" i="720"/>
  <c r="AA597" i="720"/>
  <c r="AA310" i="721"/>
  <c r="AA306" i="720"/>
  <c r="AA399" i="720"/>
  <c r="AA75" i="720"/>
  <c r="Z138" i="720"/>
  <c r="AA138" i="720"/>
  <c r="Z138" i="721"/>
  <c r="AA138" i="721"/>
  <c r="AA37" i="721"/>
  <c r="AA207" i="720"/>
  <c r="Z67" i="721"/>
  <c r="AA67" i="721"/>
  <c r="Z67" i="720"/>
  <c r="AA67" i="720"/>
  <c r="Z457" i="720"/>
  <c r="Z457" i="721"/>
  <c r="I52" i="463"/>
  <c r="Z810" i="720"/>
  <c r="AA733" i="721"/>
  <c r="Z289" i="720"/>
  <c r="AA289" i="720"/>
  <c r="Z289" i="721"/>
  <c r="AA289" i="721"/>
  <c r="Z196" i="721"/>
  <c r="AA196" i="721"/>
  <c r="AA194" i="721"/>
  <c r="I30" i="336"/>
  <c r="AA454" i="720"/>
  <c r="AA447" i="720"/>
  <c r="AA313" i="720"/>
  <c r="AA441" i="721"/>
  <c r="I52" i="555"/>
  <c r="AA408" i="721"/>
  <c r="Z93" i="721"/>
  <c r="AA93" i="721"/>
  <c r="Z100" i="720"/>
  <c r="AA100" i="720"/>
  <c r="AA86" i="721"/>
  <c r="H52" i="27"/>
  <c r="H57" i="27"/>
  <c r="H56" i="27"/>
  <c r="H66" i="27"/>
  <c r="B15" i="24"/>
  <c r="N15" i="27"/>
  <c r="D15" i="27"/>
  <c r="D42" i="28"/>
  <c r="E65" i="27"/>
  <c r="N70" i="27"/>
  <c r="K66" i="27"/>
  <c r="K71" i="27"/>
  <c r="K70" i="27"/>
  <c r="E56" i="27"/>
  <c r="E52" i="27"/>
  <c r="E57" i="27"/>
  <c r="K12" i="27"/>
  <c r="N52" i="27"/>
  <c r="N57" i="27"/>
  <c r="D16" i="27"/>
  <c r="D12" i="27"/>
  <c r="D17" i="27"/>
  <c r="E15" i="27"/>
  <c r="F10" i="356"/>
  <c r="H10" i="356"/>
  <c r="F11" i="236"/>
  <c r="H11" i="236"/>
  <c r="F11" i="312"/>
  <c r="H11" i="312"/>
  <c r="F11" i="612"/>
  <c r="H11" i="612"/>
  <c r="I19" i="612"/>
  <c r="F10" i="566"/>
  <c r="H10" i="566"/>
  <c r="I19" i="566"/>
  <c r="F10" i="408"/>
  <c r="H10" i="408"/>
  <c r="F13" i="614"/>
  <c r="H13" i="614"/>
  <c r="I20" i="614"/>
  <c r="F10" i="403"/>
  <c r="H10" i="403"/>
  <c r="I20" i="403"/>
  <c r="F16" i="607"/>
  <c r="H16" i="607"/>
  <c r="F9" i="567"/>
  <c r="H9" i="567"/>
  <c r="I19" i="567"/>
  <c r="F20" i="251"/>
  <c r="H20" i="251"/>
  <c r="F10" i="616"/>
  <c r="H10" i="616"/>
  <c r="F10" i="404"/>
  <c r="H10" i="404"/>
  <c r="I20" i="404"/>
  <c r="I53" i="404"/>
  <c r="F20" i="502"/>
  <c r="H20" i="502"/>
  <c r="F10" i="569"/>
  <c r="H10" i="569"/>
  <c r="F9" i="514"/>
  <c r="H9" i="514"/>
  <c r="I20" i="514"/>
  <c r="F10" i="409"/>
  <c r="H10" i="409"/>
  <c r="F10" i="252"/>
  <c r="H10" i="252"/>
  <c r="F11" i="568"/>
  <c r="H11" i="568"/>
  <c r="F16" i="606"/>
  <c r="H16" i="606"/>
  <c r="F13" i="216"/>
  <c r="H13" i="216"/>
  <c r="I21" i="216"/>
  <c r="I54" i="216"/>
  <c r="D47" i="216"/>
  <c r="H47" i="216"/>
  <c r="I52" i="216"/>
  <c r="I55" i="216"/>
  <c r="I56" i="216"/>
  <c r="F11" i="407"/>
  <c r="H11" i="407"/>
  <c r="I20" i="407"/>
  <c r="V289" i="720"/>
  <c r="W289" i="720"/>
  <c r="F10" i="604"/>
  <c r="H10" i="604"/>
  <c r="F10" i="348"/>
  <c r="H10" i="348"/>
  <c r="I20" i="348"/>
  <c r="F20" i="250"/>
  <c r="H20" i="250"/>
  <c r="F10" i="565"/>
  <c r="H10" i="565"/>
  <c r="I19" i="565"/>
  <c r="I52" i="565"/>
  <c r="F10" i="434"/>
  <c r="H10" i="434"/>
  <c r="I20" i="434"/>
  <c r="F10" i="517"/>
  <c r="H10" i="517"/>
  <c r="I19" i="517"/>
  <c r="I41" i="517"/>
  <c r="I52" i="517"/>
  <c r="F10" i="588"/>
  <c r="H10" i="588"/>
  <c r="F11" i="459"/>
  <c r="H11" i="459"/>
  <c r="F9" i="342"/>
  <c r="H9" i="342"/>
  <c r="F9" i="367"/>
  <c r="F8" i="700"/>
  <c r="H8" i="700"/>
  <c r="F8" i="697"/>
  <c r="H8" i="697"/>
  <c r="I22" i="697"/>
  <c r="F8" i="696"/>
  <c r="H8" i="696"/>
  <c r="I22" i="696"/>
  <c r="I44" i="696"/>
  <c r="I55" i="696"/>
  <c r="F8" i="695"/>
  <c r="H8" i="695"/>
  <c r="I22" i="695"/>
  <c r="I55" i="695"/>
  <c r="F8" i="690"/>
  <c r="H8" i="690"/>
  <c r="F8" i="689"/>
  <c r="H8" i="689"/>
  <c r="F8" i="691"/>
  <c r="H8" i="691"/>
  <c r="F9" i="673"/>
  <c r="H9" i="673"/>
  <c r="F8" i="374"/>
  <c r="H8" i="374"/>
  <c r="I22" i="374"/>
  <c r="V385" i="720"/>
  <c r="AA457" i="721"/>
  <c r="Z112" i="720"/>
  <c r="AA112" i="720"/>
  <c r="AA112" i="721"/>
  <c r="AA103" i="721"/>
  <c r="AA457" i="720"/>
  <c r="Z597" i="721"/>
  <c r="AA597" i="721"/>
  <c r="Z141" i="720"/>
  <c r="AA141" i="720"/>
  <c r="Z141" i="721"/>
  <c r="AA141" i="721"/>
  <c r="Z594" i="720"/>
  <c r="Z594" i="721"/>
  <c r="E66" i="27"/>
  <c r="E71" i="27"/>
  <c r="E70" i="27"/>
  <c r="F42" i="28"/>
  <c r="F26" i="444"/>
  <c r="H26" i="444"/>
  <c r="I28" i="444"/>
  <c r="Z135" i="721"/>
  <c r="B42" i="28"/>
  <c r="I18" i="24"/>
  <c r="G18" i="24"/>
  <c r="I20" i="24"/>
  <c r="G20" i="24"/>
  <c r="I22" i="24"/>
  <c r="G22" i="24"/>
  <c r="I37" i="24"/>
  <c r="I23" i="24"/>
  <c r="G23" i="24"/>
  <c r="I21" i="24"/>
  <c r="G21" i="24"/>
  <c r="D45" i="291"/>
  <c r="H45" i="291"/>
  <c r="I50" i="291"/>
  <c r="I53" i="291"/>
  <c r="F8" i="605"/>
  <c r="H8" i="605"/>
  <c r="I20" i="605"/>
  <c r="I53" i="605"/>
  <c r="D46" i="605"/>
  <c r="H46" i="605"/>
  <c r="I51" i="605"/>
  <c r="I54" i="605"/>
  <c r="I55" i="605"/>
  <c r="D42" i="551"/>
  <c r="H42" i="551"/>
  <c r="I47" i="551"/>
  <c r="D45" i="646"/>
  <c r="H45" i="646"/>
  <c r="D45" i="503"/>
  <c r="H45" i="503"/>
  <c r="I50" i="503"/>
  <c r="D45" i="547"/>
  <c r="H45" i="547"/>
  <c r="I50" i="547"/>
  <c r="D42" i="552"/>
  <c r="H42" i="552"/>
  <c r="I47" i="552"/>
  <c r="X78" i="721"/>
  <c r="D45" i="427"/>
  <c r="H45" i="427"/>
  <c r="I50" i="427"/>
  <c r="D45" i="634"/>
  <c r="H45" i="634"/>
  <c r="I50" i="634"/>
  <c r="I53" i="634"/>
  <c r="D45" i="296"/>
  <c r="H45" i="296"/>
  <c r="I50" i="296"/>
  <c r="I53" i="296"/>
  <c r="D45" i="478"/>
  <c r="H45" i="478"/>
  <c r="I50" i="478"/>
  <c r="D45" i="241"/>
  <c r="H45" i="241"/>
  <c r="I50" i="241"/>
  <c r="D44" i="236"/>
  <c r="H44" i="236"/>
  <c r="I49" i="236"/>
  <c r="D45" i="629"/>
  <c r="H45" i="629"/>
  <c r="I50" i="629"/>
  <c r="D43" i="444"/>
  <c r="H43" i="444"/>
  <c r="I48" i="444"/>
  <c r="X135" i="720"/>
  <c r="Y135" i="720"/>
  <c r="D45" i="347"/>
  <c r="H45" i="347"/>
  <c r="D45" i="277"/>
  <c r="H45" i="277"/>
  <c r="I50" i="277"/>
  <c r="I53" i="277"/>
  <c r="D45" i="442"/>
  <c r="H45" i="442"/>
  <c r="I50" i="442"/>
  <c r="I53" i="442"/>
  <c r="D45" i="446"/>
  <c r="H45" i="446"/>
  <c r="I50" i="446"/>
  <c r="D45" i="470"/>
  <c r="H45" i="470"/>
  <c r="I50" i="470"/>
  <c r="X112" i="720"/>
  <c r="Y112" i="720"/>
  <c r="D45" i="548"/>
  <c r="H45" i="548"/>
  <c r="I50" i="548"/>
  <c r="X69" i="721"/>
  <c r="D42" i="445"/>
  <c r="H42" i="445"/>
  <c r="I47" i="445"/>
  <c r="D45" i="224"/>
  <c r="H45" i="224"/>
  <c r="I50" i="224"/>
  <c r="X66" i="721"/>
  <c r="Y66" i="721"/>
  <c r="D45" i="636"/>
  <c r="H45" i="636"/>
  <c r="I50" i="636"/>
  <c r="D45" i="631"/>
  <c r="H45" i="631"/>
  <c r="I50" i="631"/>
  <c r="D42" i="549"/>
  <c r="H42" i="549"/>
  <c r="I47" i="549"/>
  <c r="D45" i="364"/>
  <c r="H45" i="364"/>
  <c r="I50" i="364"/>
  <c r="X144" i="721"/>
  <c r="Y144" i="721"/>
  <c r="D43" i="355"/>
  <c r="H43" i="355"/>
  <c r="I48" i="355"/>
  <c r="X134" i="721"/>
  <c r="D45" i="295"/>
  <c r="H45" i="295"/>
  <c r="I50" i="295"/>
  <c r="I53" i="295"/>
  <c r="D45" i="228"/>
  <c r="H45" i="228"/>
  <c r="I50" i="228"/>
  <c r="X70" i="721"/>
  <c r="Y70" i="721"/>
  <c r="D45" i="494"/>
  <c r="H45" i="494"/>
  <c r="I50" i="494"/>
  <c r="D45" i="641"/>
  <c r="H45" i="641"/>
  <c r="I50" i="641"/>
  <c r="D45" i="235"/>
  <c r="H45" i="235"/>
  <c r="I50" i="235"/>
  <c r="D45" i="635"/>
  <c r="H45" i="635"/>
  <c r="I50" i="635"/>
  <c r="H35" i="24"/>
  <c r="H36" i="24"/>
  <c r="H37" i="24"/>
  <c r="G37" i="24"/>
  <c r="F9" i="674"/>
  <c r="H9" i="674"/>
  <c r="F8" i="698"/>
  <c r="H8" i="698"/>
  <c r="I22" i="698"/>
  <c r="F11" i="367"/>
  <c r="H11" i="367"/>
  <c r="F10" i="383"/>
  <c r="H10" i="383"/>
  <c r="I22" i="383"/>
  <c r="V387" i="720"/>
  <c r="W387" i="720"/>
  <c r="AA594" i="720"/>
  <c r="AA594" i="721"/>
  <c r="D46" i="571"/>
  <c r="H46" i="571"/>
  <c r="I51" i="571"/>
  <c r="D45" i="155"/>
  <c r="H45" i="155"/>
  <c r="I50" i="155"/>
  <c r="I53" i="155"/>
  <c r="D45" i="496"/>
  <c r="H45" i="496"/>
  <c r="I50" i="496"/>
  <c r="D45" i="273"/>
  <c r="H45" i="273"/>
  <c r="I50" i="273"/>
  <c r="D45" i="381"/>
  <c r="H45" i="381"/>
  <c r="I50" i="381"/>
  <c r="D45" i="425"/>
  <c r="H45" i="425"/>
  <c r="I50" i="425"/>
  <c r="D45" i="586"/>
  <c r="H45" i="586"/>
  <c r="I50" i="586"/>
  <c r="D45" i="243"/>
  <c r="H45" i="243"/>
  <c r="I50" i="243"/>
  <c r="D46" i="570"/>
  <c r="H46" i="570"/>
  <c r="I51" i="570"/>
  <c r="D45" i="485"/>
  <c r="H45" i="485"/>
  <c r="I50" i="485"/>
  <c r="X483" i="721"/>
  <c r="D45" i="466"/>
  <c r="H45" i="466"/>
  <c r="I50" i="466"/>
  <c r="I53" i="466"/>
  <c r="D45" i="481"/>
  <c r="H45" i="481"/>
  <c r="I50" i="481"/>
  <c r="X196" i="721"/>
  <c r="Y196" i="721"/>
  <c r="D45" i="165"/>
  <c r="H45" i="165"/>
  <c r="I50" i="165"/>
  <c r="I53" i="165"/>
  <c r="D45" i="334"/>
  <c r="H45" i="334"/>
  <c r="I50" i="334"/>
  <c r="D45" i="395"/>
  <c r="H45" i="395"/>
  <c r="I50" i="395"/>
  <c r="X520" i="720"/>
  <c r="D45" i="472"/>
  <c r="H45" i="472"/>
  <c r="I50" i="472"/>
  <c r="D45" i="337"/>
  <c r="H45" i="337"/>
  <c r="I50" i="337"/>
  <c r="D45" i="232"/>
  <c r="H45" i="232"/>
  <c r="I50" i="232"/>
  <c r="I53" i="232"/>
  <c r="D46" i="613"/>
  <c r="H46" i="613"/>
  <c r="D45" i="709"/>
  <c r="H45" i="709"/>
  <c r="I50" i="709"/>
  <c r="D46" i="516"/>
  <c r="H46" i="516"/>
  <c r="D47" i="514"/>
  <c r="H47" i="514"/>
  <c r="D46" i="562"/>
  <c r="H46" i="562"/>
  <c r="D47" i="708"/>
  <c r="H47" i="708"/>
  <c r="D45" i="270"/>
  <c r="H45" i="270"/>
  <c r="I50" i="270"/>
  <c r="D47" i="408"/>
  <c r="H47" i="408"/>
  <c r="D45" i="651"/>
  <c r="H45" i="651"/>
  <c r="I50" i="651"/>
  <c r="D47" i="561"/>
  <c r="H47" i="561"/>
  <c r="D47" i="565"/>
  <c r="H47" i="565"/>
  <c r="D48" i="434"/>
  <c r="H48" i="434"/>
  <c r="D48" i="407"/>
  <c r="H48" i="407"/>
  <c r="AA135" i="721"/>
  <c r="Z135" i="720"/>
  <c r="AA135" i="720"/>
  <c r="F8" i="674"/>
  <c r="H8" i="674"/>
  <c r="X803" i="720"/>
  <c r="Y803" i="720"/>
  <c r="I53" i="228"/>
  <c r="X70" i="720"/>
  <c r="Y70" i="720"/>
  <c r="I53" i="364"/>
  <c r="X144" i="720"/>
  <c r="Y144" i="720"/>
  <c r="I53" i="636"/>
  <c r="I53" i="548"/>
  <c r="X69" i="720"/>
  <c r="Y69" i="720"/>
  <c r="Y69" i="721"/>
  <c r="X214" i="721"/>
  <c r="Y214" i="721"/>
  <c r="X78" i="720"/>
  <c r="I50" i="552"/>
  <c r="I53" i="224"/>
  <c r="X66" i="720"/>
  <c r="Y66" i="720"/>
  <c r="X200" i="720"/>
  <c r="Y200" i="720"/>
  <c r="X127" i="721"/>
  <c r="Y127" i="721"/>
  <c r="X127" i="720"/>
  <c r="Y127" i="720"/>
  <c r="I53" i="241"/>
  <c r="X802" i="720"/>
  <c r="X802" i="721"/>
  <c r="Y802" i="721"/>
  <c r="I51" i="355"/>
  <c r="X134" i="720"/>
  <c r="Y134" i="720"/>
  <c r="Y134" i="721"/>
  <c r="X819" i="720"/>
  <c r="Y819" i="720"/>
  <c r="I53" i="494"/>
  <c r="X112" i="721"/>
  <c r="Y112" i="721"/>
  <c r="I53" i="470"/>
  <c r="I53" i="629"/>
  <c r="X72" i="720"/>
  <c r="X217" i="720"/>
  <c r="Y217" i="720"/>
  <c r="I53" i="651"/>
  <c r="X207" i="720"/>
  <c r="Y207" i="720"/>
  <c r="X575" i="720"/>
  <c r="X299" i="721"/>
  <c r="Y299" i="721"/>
  <c r="X299" i="720"/>
  <c r="Y299" i="720"/>
  <c r="X233" i="720"/>
  <c r="Y233" i="720"/>
  <c r="X209" i="720"/>
  <c r="Y209" i="720"/>
  <c r="I53" i="337"/>
  <c r="X196" i="720"/>
  <c r="Y196" i="720"/>
  <c r="I53" i="481"/>
  <c r="I53" i="485"/>
  <c r="X483" i="720"/>
  <c r="X117" i="721"/>
  <c r="Y802" i="720"/>
  <c r="Y78" i="721"/>
  <c r="Y483" i="720"/>
  <c r="Y575" i="720"/>
  <c r="Y483" i="721"/>
  <c r="F9" i="312"/>
  <c r="H9" i="312"/>
  <c r="D45" i="30"/>
  <c r="H45" i="30"/>
  <c r="I50" i="30"/>
  <c r="I53" i="30"/>
  <c r="D45" i="471"/>
  <c r="H45" i="471"/>
  <c r="I50" i="471"/>
  <c r="I53" i="471"/>
  <c r="D45" i="25"/>
  <c r="H45" i="25"/>
  <c r="I50" i="25"/>
  <c r="I53" i="25"/>
  <c r="H33" i="24"/>
  <c r="H34" i="24"/>
  <c r="H38" i="24"/>
  <c r="H39" i="24"/>
  <c r="H41" i="24"/>
  <c r="D45" i="648"/>
  <c r="H45" i="648"/>
  <c r="I50" i="648"/>
  <c r="D45" i="580"/>
  <c r="H45" i="580"/>
  <c r="I50" i="580"/>
  <c r="D45" i="237"/>
  <c r="H45" i="237"/>
  <c r="I50" i="237"/>
  <c r="X179" i="721"/>
  <c r="D45" i="585"/>
  <c r="H45" i="585"/>
  <c r="I50" i="585"/>
  <c r="D45" i="582"/>
  <c r="H45" i="582"/>
  <c r="I50" i="582"/>
  <c r="H40" i="24"/>
  <c r="X179" i="720"/>
  <c r="X203" i="720"/>
  <c r="X203" i="721"/>
  <c r="Y203" i="721"/>
  <c r="I53" i="585"/>
  <c r="Y203" i="720"/>
  <c r="Y179" i="720"/>
  <c r="Y202" i="720"/>
  <c r="I49" i="552"/>
  <c r="I51" i="552"/>
  <c r="F52" i="552"/>
  <c r="V78" i="721"/>
  <c r="V78" i="720"/>
  <c r="V733" i="720"/>
  <c r="W733" i="720"/>
  <c r="V733" i="721"/>
  <c r="W733" i="721"/>
  <c r="I20" i="595"/>
  <c r="I19" i="25"/>
  <c r="V575" i="720"/>
  <c r="W575" i="720"/>
  <c r="I20" i="608"/>
  <c r="I19" i="155"/>
  <c r="I19" i="501"/>
  <c r="I20" i="597"/>
  <c r="V115" i="720"/>
  <c r="W115" i="720"/>
  <c r="V394" i="721"/>
  <c r="W394" i="721"/>
  <c r="V83" i="720"/>
  <c r="W83" i="720"/>
  <c r="W82" i="720"/>
  <c r="V334" i="720"/>
  <c r="W334" i="720"/>
  <c r="I19" i="337"/>
  <c r="I19" i="455"/>
  <c r="I52" i="455"/>
  <c r="D45" i="455"/>
  <c r="H45" i="455"/>
  <c r="I50" i="455"/>
  <c r="I53" i="455"/>
  <c r="I54" i="455"/>
  <c r="F55" i="455"/>
  <c r="H56" i="455"/>
  <c r="V97" i="721"/>
  <c r="W97" i="721"/>
  <c r="W96" i="721"/>
  <c r="I20" i="593"/>
  <c r="I42" i="593"/>
  <c r="I53" i="593"/>
  <c r="I19" i="271"/>
  <c r="I52" i="271"/>
  <c r="V722" i="721"/>
  <c r="W722" i="721"/>
  <c r="V722" i="720"/>
  <c r="W722" i="720"/>
  <c r="V462" i="721"/>
  <c r="W462" i="721"/>
  <c r="I19" i="626"/>
  <c r="F25" i="626"/>
  <c r="H25" i="626"/>
  <c r="I30" i="626"/>
  <c r="I52" i="626"/>
  <c r="V116" i="721"/>
  <c r="W116" i="721"/>
  <c r="V117" i="720"/>
  <c r="I19" i="235"/>
  <c r="V94" i="720"/>
  <c r="W94" i="720"/>
  <c r="V94" i="721"/>
  <c r="W94" i="721"/>
  <c r="V114" i="720"/>
  <c r="W114" i="720"/>
  <c r="V118" i="721"/>
  <c r="W118" i="721"/>
  <c r="V460" i="720"/>
  <c r="W460" i="720"/>
  <c r="V460" i="721"/>
  <c r="W460" i="721"/>
  <c r="I17" i="551"/>
  <c r="V92" i="720"/>
  <c r="W92" i="720"/>
  <c r="I19" i="436"/>
  <c r="I20" i="640"/>
  <c r="V590" i="720"/>
  <c r="I55" i="412"/>
  <c r="V810" i="721"/>
  <c r="W810" i="721"/>
  <c r="I19" i="295"/>
  <c r="I52" i="295"/>
  <c r="I54" i="295"/>
  <c r="F55" i="295"/>
  <c r="H56" i="295"/>
  <c r="AE128" i="721"/>
  <c r="I19" i="165"/>
  <c r="I52" i="165"/>
  <c r="I54" i="165"/>
  <c r="F55" i="165"/>
  <c r="H56" i="165"/>
  <c r="I52" i="484"/>
  <c r="V178" i="721"/>
  <c r="W178" i="721"/>
  <c r="V178" i="720"/>
  <c r="W178" i="720"/>
  <c r="V88" i="721"/>
  <c r="W88" i="721"/>
  <c r="V88" i="720"/>
  <c r="W88" i="720"/>
  <c r="I19" i="628"/>
  <c r="I19" i="34"/>
  <c r="I52" i="34"/>
  <c r="D45" i="34"/>
  <c r="H45" i="34"/>
  <c r="I50" i="34"/>
  <c r="I53" i="34"/>
  <c r="I54" i="34"/>
  <c r="F55" i="34"/>
  <c r="H56" i="34"/>
  <c r="I19" i="509"/>
  <c r="I52" i="509"/>
  <c r="V363" i="721"/>
  <c r="W363" i="721"/>
  <c r="I19" i="329"/>
  <c r="I52" i="329"/>
  <c r="D45" i="329"/>
  <c r="H45" i="329"/>
  <c r="I50" i="329"/>
  <c r="I53" i="329"/>
  <c r="I54" i="329"/>
  <c r="F55" i="329"/>
  <c r="H56" i="329"/>
  <c r="I19" i="553"/>
  <c r="I52" i="553"/>
  <c r="D45" i="553"/>
  <c r="H45" i="553"/>
  <c r="I50" i="553"/>
  <c r="I53" i="553"/>
  <c r="I54" i="553"/>
  <c r="I19" i="621"/>
  <c r="I19" i="638"/>
  <c r="I19" i="464"/>
  <c r="V65" i="720"/>
  <c r="I20" i="716"/>
  <c r="AE693" i="721"/>
  <c r="I19" i="734"/>
  <c r="I52" i="734"/>
  <c r="D45" i="734"/>
  <c r="H45" i="734"/>
  <c r="I50" i="734"/>
  <c r="I53" i="734"/>
  <c r="I54" i="734"/>
  <c r="V704" i="721"/>
  <c r="W704" i="721"/>
  <c r="I19" i="232"/>
  <c r="V486" i="720"/>
  <c r="I52" i="425"/>
  <c r="V44" i="720"/>
  <c r="W44" i="720"/>
  <c r="V778" i="721"/>
  <c r="W778" i="721"/>
  <c r="W776" i="721"/>
  <c r="V778" i="720"/>
  <c r="W778" i="720"/>
  <c r="I19" i="632"/>
  <c r="I19" i="395"/>
  <c r="V520" i="721"/>
  <c r="AE197" i="721"/>
  <c r="AE335" i="721"/>
  <c r="I19" i="448"/>
  <c r="I19" i="279"/>
  <c r="I20" i="598"/>
  <c r="I20" i="98"/>
  <c r="I53" i="98"/>
  <c r="D46" i="98"/>
  <c r="H46" i="98"/>
  <c r="I51" i="98"/>
  <c r="I54" i="98"/>
  <c r="I55" i="98"/>
  <c r="F56" i="98"/>
  <c r="H57" i="98"/>
  <c r="I19" i="648"/>
  <c r="I19" i="237"/>
  <c r="I52" i="259"/>
  <c r="D45" i="259"/>
  <c r="H45" i="259"/>
  <c r="I50" i="259"/>
  <c r="I53" i="259"/>
  <c r="I54" i="259"/>
  <c r="I20" i="592"/>
  <c r="I19" i="335"/>
  <c r="F23" i="335"/>
  <c r="H23" i="335"/>
  <c r="I30" i="335"/>
  <c r="I52" i="335"/>
  <c r="I19" i="388"/>
  <c r="I19" i="579"/>
  <c r="I19" i="497"/>
  <c r="V97" i="720"/>
  <c r="W97" i="720"/>
  <c r="W96" i="720"/>
  <c r="V461" i="720"/>
  <c r="W461" i="720"/>
  <c r="I52" i="512"/>
  <c r="V588" i="720"/>
  <c r="W588" i="720"/>
  <c r="V461" i="721"/>
  <c r="W461" i="721"/>
  <c r="V187" i="721"/>
  <c r="I19" i="291"/>
  <c r="I52" i="291"/>
  <c r="I54" i="291"/>
  <c r="I20" i="599"/>
  <c r="I19" i="479"/>
  <c r="AE142" i="721"/>
  <c r="AE282" i="721"/>
  <c r="T727" i="721"/>
  <c r="I19" i="537"/>
  <c r="P727" i="721"/>
  <c r="I20" i="617"/>
  <c r="I53" i="617"/>
  <c r="I19" i="462"/>
  <c r="V269" i="720"/>
  <c r="W269" i="720"/>
  <c r="I19" i="471"/>
  <c r="AB375" i="721"/>
  <c r="AE316" i="721"/>
  <c r="J727" i="721"/>
  <c r="Y202" i="721"/>
  <c r="I53" i="582"/>
  <c r="X192" i="721"/>
  <c r="Y192" i="721"/>
  <c r="X192" i="720"/>
  <c r="Y192" i="720"/>
  <c r="H42" i="24"/>
  <c r="G42" i="24"/>
  <c r="G41" i="24"/>
  <c r="X189" i="721"/>
  <c r="Y189" i="721"/>
  <c r="X189" i="720"/>
  <c r="Y189" i="720"/>
  <c r="I53" i="580"/>
  <c r="Y179" i="721"/>
  <c r="X174" i="721"/>
  <c r="X174" i="720"/>
  <c r="I53" i="648"/>
  <c r="I53" i="237"/>
  <c r="Y520" i="720"/>
  <c r="F55" i="225"/>
  <c r="X149" i="720"/>
  <c r="X149" i="721"/>
  <c r="I53" i="235"/>
  <c r="I50" i="549"/>
  <c r="X67" i="720"/>
  <c r="Y67" i="720"/>
  <c r="X67" i="721"/>
  <c r="Y67" i="721"/>
  <c r="D45" i="207"/>
  <c r="H45" i="207"/>
  <c r="I50" i="207"/>
  <c r="D45" i="205"/>
  <c r="H45" i="205"/>
  <c r="I50" i="205"/>
  <c r="D45" i="386"/>
  <c r="H45" i="386"/>
  <c r="I50" i="386"/>
  <c r="D45" i="625"/>
  <c r="H45" i="625"/>
  <c r="I50" i="625"/>
  <c r="D45" i="200"/>
  <c r="H45" i="200"/>
  <c r="I50" i="200"/>
  <c r="D45" i="626"/>
  <c r="H45" i="626"/>
  <c r="I50" i="626"/>
  <c r="I53" i="626"/>
  <c r="D45" i="206"/>
  <c r="H45" i="206"/>
  <c r="I50" i="206"/>
  <c r="I53" i="273"/>
  <c r="I54" i="273"/>
  <c r="X485" i="720"/>
  <c r="X485" i="721"/>
  <c r="X111" i="721"/>
  <c r="Y111" i="721"/>
  <c r="X111" i="720"/>
  <c r="Y111" i="720"/>
  <c r="I54" i="571"/>
  <c r="D45" i="242"/>
  <c r="H45" i="242"/>
  <c r="I50" i="242"/>
  <c r="D45" i="473"/>
  <c r="H45" i="473"/>
  <c r="I50" i="473"/>
  <c r="D45" i="579"/>
  <c r="H45" i="579"/>
  <c r="I50" i="579"/>
  <c r="D45" i="484"/>
  <c r="H45" i="484"/>
  <c r="I50" i="484"/>
  <c r="D45" i="581"/>
  <c r="H45" i="581"/>
  <c r="I50" i="581"/>
  <c r="Y78" i="720"/>
  <c r="X723" i="721"/>
  <c r="X723" i="720"/>
  <c r="I53" i="472"/>
  <c r="X233" i="721"/>
  <c r="Y233" i="721"/>
  <c r="I53" i="243"/>
  <c r="X207" i="721"/>
  <c r="Y207" i="721"/>
  <c r="I53" i="381"/>
  <c r="X533" i="721"/>
  <c r="X533" i="720"/>
  <c r="Y533" i="720"/>
  <c r="X136" i="721"/>
  <c r="Y136" i="721"/>
  <c r="I50" i="445"/>
  <c r="X136" i="720"/>
  <c r="Y136" i="720"/>
  <c r="X200" i="721"/>
  <c r="Y200" i="721"/>
  <c r="X214" i="720"/>
  <c r="Y214" i="720"/>
  <c r="I53" i="446"/>
  <c r="X818" i="721"/>
  <c r="Y818" i="721"/>
  <c r="X818" i="720"/>
  <c r="Y818" i="720"/>
  <c r="X72" i="721"/>
  <c r="I53" i="478"/>
  <c r="X77" i="721"/>
  <c r="Y77" i="721"/>
  <c r="I50" i="551"/>
  <c r="X77" i="720"/>
  <c r="Y77" i="720"/>
  <c r="Y117" i="721"/>
  <c r="X573" i="720"/>
  <c r="X117" i="720"/>
  <c r="I53" i="270"/>
  <c r="I53" i="395"/>
  <c r="X520" i="721"/>
  <c r="X505" i="720"/>
  <c r="X505" i="721"/>
  <c r="Y505" i="721"/>
  <c r="I53" i="586"/>
  <c r="X209" i="721"/>
  <c r="Y209" i="721"/>
  <c r="X141" i="720"/>
  <c r="Y141" i="720"/>
  <c r="I53" i="641"/>
  <c r="X141" i="721"/>
  <c r="Y141" i="721"/>
  <c r="X804" i="720"/>
  <c r="Y804" i="720"/>
  <c r="X804" i="721"/>
  <c r="Y804" i="721"/>
  <c r="X150" i="720"/>
  <c r="Y150" i="720"/>
  <c r="I52" i="236"/>
  <c r="X150" i="721"/>
  <c r="Y150" i="721"/>
  <c r="I53" i="427"/>
  <c r="X138" i="721"/>
  <c r="Y138" i="721"/>
  <c r="X138" i="720"/>
  <c r="Y138" i="720"/>
  <c r="X573" i="721"/>
  <c r="X722" i="720"/>
  <c r="I53" i="334"/>
  <c r="X722" i="721"/>
  <c r="X216" i="721"/>
  <c r="Y216" i="721"/>
  <c r="X216" i="720"/>
  <c r="Y216" i="720"/>
  <c r="X217" i="721"/>
  <c r="Y217" i="721"/>
  <c r="I53" i="503"/>
  <c r="D48" i="408"/>
  <c r="H48" i="408"/>
  <c r="D47" i="555"/>
  <c r="H47" i="555"/>
  <c r="D47" i="568"/>
  <c r="H47" i="568"/>
  <c r="D47" i="556"/>
  <c r="H47" i="556"/>
  <c r="D47" i="566"/>
  <c r="H47" i="566"/>
  <c r="D47" i="516"/>
  <c r="H47" i="516"/>
  <c r="D47" i="562"/>
  <c r="H47" i="562"/>
  <c r="D48" i="409"/>
  <c r="H48" i="409"/>
  <c r="D47" i="563"/>
  <c r="H47" i="563"/>
  <c r="D48" i="514"/>
  <c r="H48" i="514"/>
  <c r="D47" i="569"/>
  <c r="H47" i="569"/>
  <c r="D47" i="557"/>
  <c r="H47" i="557"/>
  <c r="D47" i="347"/>
  <c r="H47" i="347"/>
  <c r="D45" i="220"/>
  <c r="H45" i="220"/>
  <c r="I50" i="220"/>
  <c r="D47" i="409"/>
  <c r="H47" i="409"/>
  <c r="D45" i="574"/>
  <c r="H45" i="574"/>
  <c r="I50" i="574"/>
  <c r="D45" i="464"/>
  <c r="H45" i="464"/>
  <c r="I50" i="464"/>
  <c r="D47" i="646"/>
  <c r="H47" i="646"/>
  <c r="D46" i="561"/>
  <c r="H46" i="561"/>
  <c r="D45" i="707"/>
  <c r="H45" i="707"/>
  <c r="I50" i="707"/>
  <c r="D45" i="460"/>
  <c r="H45" i="460"/>
  <c r="I50" i="460"/>
  <c r="D45" i="388"/>
  <c r="H45" i="388"/>
  <c r="I50" i="388"/>
  <c r="D45" i="463"/>
  <c r="H45" i="463"/>
  <c r="I50" i="463"/>
  <c r="D46" i="555"/>
  <c r="H46" i="555"/>
  <c r="D45" i="573"/>
  <c r="H45" i="573"/>
  <c r="I50" i="573"/>
  <c r="D46" i="556"/>
  <c r="H46" i="556"/>
  <c r="D45" i="461"/>
  <c r="H45" i="461"/>
  <c r="I50" i="461"/>
  <c r="D45" i="572"/>
  <c r="H45" i="572"/>
  <c r="I50" i="572"/>
  <c r="D46" i="565"/>
  <c r="H46" i="565"/>
  <c r="D45" i="630"/>
  <c r="H45" i="630"/>
  <c r="I50" i="630"/>
  <c r="D47" i="407"/>
  <c r="H47" i="407"/>
  <c r="D45" i="645"/>
  <c r="H45" i="645"/>
  <c r="I50" i="645"/>
  <c r="D46" i="569"/>
  <c r="H46" i="569"/>
  <c r="D46" i="568"/>
  <c r="H46" i="568"/>
  <c r="D46" i="566"/>
  <c r="H46" i="566"/>
  <c r="D46" i="557"/>
  <c r="H46" i="557"/>
  <c r="D45" i="269"/>
  <c r="H45" i="269"/>
  <c r="I50" i="269"/>
  <c r="D45" i="462"/>
  <c r="H45" i="462"/>
  <c r="I50" i="462"/>
  <c r="D45" i="533"/>
  <c r="H45" i="533"/>
  <c r="I50" i="533"/>
  <c r="D46" i="563"/>
  <c r="H46" i="563"/>
  <c r="D47" i="434"/>
  <c r="H47" i="434"/>
  <c r="X493" i="720"/>
  <c r="X493" i="721"/>
  <c r="X778" i="720"/>
  <c r="X778" i="721"/>
  <c r="I53" i="709"/>
  <c r="X486" i="721"/>
  <c r="X486" i="720"/>
  <c r="I53" i="425"/>
  <c r="I54" i="425"/>
  <c r="X135" i="721"/>
  <c r="Y135" i="721"/>
  <c r="I51" i="444"/>
  <c r="I53" i="547"/>
  <c r="X57" i="720"/>
  <c r="Y57" i="720"/>
  <c r="F8" i="414"/>
  <c r="H8" i="414"/>
  <c r="I22" i="414"/>
  <c r="Z615" i="720"/>
  <c r="AA615" i="720"/>
  <c r="Z615" i="721"/>
  <c r="AA615" i="721"/>
  <c r="X57" i="721"/>
  <c r="Y57" i="721"/>
  <c r="X110" i="720"/>
  <c r="Y110" i="720"/>
  <c r="I54" i="570"/>
  <c r="X110" i="721"/>
  <c r="Y110" i="721"/>
  <c r="I53" i="496"/>
  <c r="X575" i="721"/>
  <c r="I53" i="635"/>
  <c r="X803" i="721"/>
  <c r="Y803" i="721"/>
  <c r="X819" i="721"/>
  <c r="Y819" i="721"/>
  <c r="I53" i="631"/>
  <c r="X139" i="720"/>
  <c r="Y139" i="720"/>
  <c r="X139" i="721"/>
  <c r="Y139" i="721"/>
  <c r="D45" i="345"/>
  <c r="H45" i="345"/>
  <c r="I50" i="345"/>
  <c r="D45" i="231"/>
  <c r="H45" i="231"/>
  <c r="I50" i="231"/>
  <c r="D45" i="303"/>
  <c r="H45" i="303"/>
  <c r="I50" i="303"/>
  <c r="D45" i="287"/>
  <c r="H45" i="287"/>
  <c r="I50" i="287"/>
  <c r="D45" i="346"/>
  <c r="H45" i="346"/>
  <c r="I50" i="346"/>
  <c r="D45" i="271"/>
  <c r="H45" i="271"/>
  <c r="I50" i="271"/>
  <c r="D45" i="613"/>
  <c r="H45" i="613"/>
  <c r="I50" i="613"/>
  <c r="D45" i="530"/>
  <c r="H45" i="530"/>
  <c r="I50" i="530"/>
  <c r="D45" i="278"/>
  <c r="H45" i="278"/>
  <c r="I50" i="278"/>
  <c r="D45" i="508"/>
  <c r="H45" i="508"/>
  <c r="I50" i="508"/>
  <c r="D45" i="495"/>
  <c r="H45" i="495"/>
  <c r="I50" i="495"/>
  <c r="I53" i="495"/>
  <c r="I54" i="495"/>
  <c r="F15" i="24"/>
  <c r="I34" i="24"/>
  <c r="N16" i="27"/>
  <c r="N12" i="27"/>
  <c r="N17" i="27"/>
  <c r="H70" i="27"/>
  <c r="H69" i="27"/>
  <c r="H71" i="27"/>
  <c r="K15" i="27"/>
  <c r="K17" i="27"/>
  <c r="B13" i="24"/>
  <c r="H15" i="27"/>
  <c r="Z606" i="720"/>
  <c r="AA606" i="720"/>
  <c r="Z606" i="721"/>
  <c r="AA606" i="721"/>
  <c r="Z608" i="721"/>
  <c r="AA608" i="721"/>
  <c r="Z608" i="720"/>
  <c r="AA608" i="720"/>
  <c r="Z290" i="721"/>
  <c r="AA290" i="721"/>
  <c r="Z290" i="720"/>
  <c r="AA290" i="720"/>
  <c r="Z458" i="721"/>
  <c r="AA458" i="721"/>
  <c r="Z458" i="720"/>
  <c r="AA458" i="720"/>
  <c r="Z101" i="721"/>
  <c r="AA101" i="721"/>
  <c r="Z101" i="720"/>
  <c r="AA101" i="720"/>
  <c r="Z214" i="721"/>
  <c r="AA214" i="721"/>
  <c r="Z214" i="720"/>
  <c r="AA214" i="720"/>
  <c r="Z50" i="721"/>
  <c r="AA50" i="721"/>
  <c r="Z50" i="720"/>
  <c r="AA50" i="720"/>
  <c r="Z93" i="720"/>
  <c r="AA93" i="720"/>
  <c r="I55" i="422"/>
  <c r="V403" i="721"/>
  <c r="V403" i="720"/>
  <c r="V820" i="720"/>
  <c r="V162" i="721"/>
  <c r="V162" i="720"/>
  <c r="Z68" i="720"/>
  <c r="AA68" i="720"/>
  <c r="Z68" i="721"/>
  <c r="AA68" i="721"/>
  <c r="Z134" i="720"/>
  <c r="AA134" i="720"/>
  <c r="Z134" i="721"/>
  <c r="AA134" i="721"/>
  <c r="AA265" i="721"/>
  <c r="Z62" i="720"/>
  <c r="AA62" i="720"/>
  <c r="Z62" i="721"/>
  <c r="AA62" i="721"/>
  <c r="V342" i="721"/>
  <c r="W342" i="721"/>
  <c r="I52" i="535"/>
  <c r="I55" i="688"/>
  <c r="E12" i="27"/>
  <c r="E17" i="27"/>
  <c r="F13" i="24"/>
  <c r="H12" i="27"/>
  <c r="H16" i="27"/>
  <c r="Z603" i="721"/>
  <c r="AA603" i="721"/>
  <c r="AA602" i="721"/>
  <c r="Z603" i="720"/>
  <c r="AA603" i="720"/>
  <c r="AA602" i="720"/>
  <c r="Z609" i="721"/>
  <c r="AA609" i="721"/>
  <c r="Z609" i="720"/>
  <c r="AA609" i="720"/>
  <c r="Z611" i="720"/>
  <c r="AA611" i="720"/>
  <c r="Z611" i="721"/>
  <c r="AA611" i="721"/>
  <c r="I56" i="358"/>
  <c r="Z433" i="720"/>
  <c r="AA433" i="720"/>
  <c r="Z433" i="721"/>
  <c r="AA433" i="721"/>
  <c r="V298" i="720"/>
  <c r="W298" i="720"/>
  <c r="V298" i="721"/>
  <c r="W298" i="721"/>
  <c r="I53" i="600"/>
  <c r="V597" i="720"/>
  <c r="V615" i="721"/>
  <c r="W615" i="721"/>
  <c r="W614" i="721"/>
  <c r="V200" i="721"/>
  <c r="AB200" i="721"/>
  <c r="E200" i="721"/>
  <c r="V200" i="720"/>
  <c r="V64" i="720"/>
  <c r="V64" i="721"/>
  <c r="V295" i="720"/>
  <c r="Y44" i="720"/>
  <c r="Z208" i="720"/>
  <c r="AA208" i="720"/>
  <c r="AA206" i="720"/>
  <c r="AA237" i="720"/>
  <c r="AA234" i="720"/>
  <c r="AA205" i="720"/>
  <c r="Z208" i="721"/>
  <c r="AA208" i="721"/>
  <c r="Z63" i="721"/>
  <c r="AA63" i="721"/>
  <c r="Z63" i="720"/>
  <c r="AA63" i="720"/>
  <c r="AA265" i="720"/>
  <c r="Z116" i="720"/>
  <c r="AA116" i="720"/>
  <c r="I52" i="573"/>
  <c r="Z116" i="721"/>
  <c r="AA116" i="721"/>
  <c r="Z97" i="720"/>
  <c r="AA97" i="720"/>
  <c r="Z97" i="721"/>
  <c r="AA97" i="721"/>
  <c r="V608" i="721"/>
  <c r="V608" i="720"/>
  <c r="W608" i="720"/>
  <c r="I52" i="609"/>
  <c r="I52" i="306"/>
  <c r="I53" i="514"/>
  <c r="D46" i="514"/>
  <c r="H46" i="514"/>
  <c r="I51" i="514"/>
  <c r="I54" i="514"/>
  <c r="I55" i="514"/>
  <c r="D44" i="577"/>
  <c r="H44" i="577"/>
  <c r="I49" i="577"/>
  <c r="D45" i="632"/>
  <c r="H45" i="632"/>
  <c r="I50" i="632"/>
  <c r="D44" i="623"/>
  <c r="H44" i="623"/>
  <c r="I49" i="623"/>
  <c r="D45" i="575"/>
  <c r="H45" i="575"/>
  <c r="I50" i="575"/>
  <c r="D45" i="550"/>
  <c r="H45" i="550"/>
  <c r="I50" i="550"/>
  <c r="D45" i="479"/>
  <c r="H45" i="479"/>
  <c r="I50" i="479"/>
  <c r="D45" i="708"/>
  <c r="H45" i="708"/>
  <c r="D45" i="628"/>
  <c r="H45" i="628"/>
  <c r="I50" i="628"/>
  <c r="D45" i="227"/>
  <c r="H45" i="227"/>
  <c r="I50" i="227"/>
  <c r="D45" i="356"/>
  <c r="H45" i="356"/>
  <c r="I50" i="356"/>
  <c r="Z139" i="720"/>
  <c r="AA139" i="720"/>
  <c r="I52" i="645"/>
  <c r="I52" i="497"/>
  <c r="AA833" i="720"/>
  <c r="AA830" i="720"/>
  <c r="AA824" i="720"/>
  <c r="K56" i="27"/>
  <c r="K52" i="27"/>
  <c r="K57" i="27"/>
  <c r="Z217" i="721"/>
  <c r="AA217" i="721"/>
  <c r="Z217" i="720"/>
  <c r="AA217" i="720"/>
  <c r="Z228" i="721"/>
  <c r="AA228" i="721"/>
  <c r="Z228" i="720"/>
  <c r="AA228" i="720"/>
  <c r="AA75" i="721"/>
  <c r="AA243" i="721"/>
  <c r="Z48" i="721"/>
  <c r="AA48" i="721"/>
  <c r="Z48" i="720"/>
  <c r="AA48" i="720"/>
  <c r="AA194" i="720"/>
  <c r="Z810" i="721"/>
  <c r="I52" i="217"/>
  <c r="I54" i="217"/>
  <c r="Z83" i="721"/>
  <c r="AA83" i="721"/>
  <c r="I52" i="516"/>
  <c r="Z334" i="721"/>
  <c r="AA334" i="721"/>
  <c r="Z83" i="720"/>
  <c r="AA83" i="720"/>
  <c r="AA566" i="721"/>
  <c r="AA545" i="721"/>
  <c r="Z191" i="721"/>
  <c r="AA191" i="721"/>
  <c r="AA188" i="721"/>
  <c r="I52" i="485"/>
  <c r="I54" i="485"/>
  <c r="V483" i="721"/>
  <c r="V483" i="720"/>
  <c r="V62" i="721"/>
  <c r="Z618" i="721"/>
  <c r="AA618" i="721"/>
  <c r="Z618" i="720"/>
  <c r="AA618" i="720"/>
  <c r="Z131" i="721"/>
  <c r="AA131" i="721"/>
  <c r="Z131" i="720"/>
  <c r="AA131" i="720"/>
  <c r="Z233" i="720"/>
  <c r="AA233" i="720"/>
  <c r="Z233" i="721"/>
  <c r="AA233" i="721"/>
  <c r="Z191" i="720"/>
  <c r="AA191" i="720"/>
  <c r="AA188" i="720"/>
  <c r="F8" i="342"/>
  <c r="H8" i="342"/>
  <c r="F8" i="360"/>
  <c r="H8" i="360"/>
  <c r="V442" i="721"/>
  <c r="W442" i="721"/>
  <c r="I55" i="685"/>
  <c r="F9" i="624"/>
  <c r="H9" i="624"/>
  <c r="I52" i="448"/>
  <c r="E16" i="27"/>
  <c r="AA810" i="720"/>
  <c r="AA809" i="720"/>
  <c r="K16" i="27"/>
  <c r="D56" i="27"/>
  <c r="D52" i="27"/>
  <c r="D57" i="27"/>
  <c r="Z817" i="721"/>
  <c r="AA817" i="721"/>
  <c r="AA815" i="721"/>
  <c r="Z817" i="720"/>
  <c r="AA817" i="720"/>
  <c r="AA815" i="720"/>
  <c r="F27" i="392"/>
  <c r="H27" i="392"/>
  <c r="I30" i="392"/>
  <c r="Z126" i="720"/>
  <c r="AA126" i="720"/>
  <c r="Z126" i="721"/>
  <c r="AA126" i="721"/>
  <c r="Z85" i="720"/>
  <c r="AA85" i="720"/>
  <c r="Z85" i="721"/>
  <c r="AA85" i="721"/>
  <c r="Z732" i="721"/>
  <c r="AA732" i="721"/>
  <c r="Z732" i="720"/>
  <c r="AA732" i="720"/>
  <c r="Z64" i="721"/>
  <c r="AA64" i="721"/>
  <c r="Z64" i="720"/>
  <c r="AA64" i="720"/>
  <c r="V277" i="721"/>
  <c r="I52" i="279"/>
  <c r="I55" i="423"/>
  <c r="V818" i="720"/>
  <c r="V65" i="721"/>
  <c r="I52" i="464"/>
  <c r="Z144" i="721"/>
  <c r="AA144" i="721"/>
  <c r="Z144" i="720"/>
  <c r="AA144" i="720"/>
  <c r="Z117" i="721"/>
  <c r="AA117" i="721"/>
  <c r="Z117" i="720"/>
  <c r="AA117" i="720"/>
  <c r="Z94" i="720"/>
  <c r="AA94" i="720"/>
  <c r="Z94" i="721"/>
  <c r="AA94" i="721"/>
  <c r="I19" i="534"/>
  <c r="R540" i="721"/>
  <c r="R537" i="721"/>
  <c r="AE370" i="721"/>
  <c r="R769" i="721"/>
  <c r="R768" i="721"/>
  <c r="R757" i="721"/>
  <c r="AE658" i="721"/>
  <c r="T250" i="720"/>
  <c r="AE250" i="720"/>
  <c r="L224" i="720"/>
  <c r="P224" i="720"/>
  <c r="N224" i="720"/>
  <c r="J224" i="720"/>
  <c r="R224" i="720"/>
  <c r="T224" i="720"/>
  <c r="AE224" i="720"/>
  <c r="F224" i="720"/>
  <c r="P125" i="720"/>
  <c r="P124" i="720"/>
  <c r="F125" i="720"/>
  <c r="F124" i="720"/>
  <c r="N125" i="720"/>
  <c r="N124" i="720"/>
  <c r="T125" i="720"/>
  <c r="J125" i="720"/>
  <c r="J124" i="720"/>
  <c r="R125" i="720"/>
  <c r="R124" i="720"/>
  <c r="L125" i="720"/>
  <c r="L124" i="720"/>
  <c r="F30" i="721"/>
  <c r="T30" i="721"/>
  <c r="AE30" i="721"/>
  <c r="N30" i="721"/>
  <c r="P30" i="721"/>
  <c r="J30" i="721"/>
  <c r="L30" i="721"/>
  <c r="R30" i="721"/>
  <c r="V115" i="721"/>
  <c r="X44" i="721"/>
  <c r="Y44" i="721"/>
  <c r="Y43" i="721"/>
  <c r="I52" i="25"/>
  <c r="I54" i="25"/>
  <c r="T664" i="721"/>
  <c r="AA664" i="721"/>
  <c r="AA499" i="721"/>
  <c r="AE499" i="721"/>
  <c r="T185" i="721"/>
  <c r="AE185" i="721"/>
  <c r="AE570" i="721"/>
  <c r="N664" i="721"/>
  <c r="AE752" i="721"/>
  <c r="AC627" i="721"/>
  <c r="AE628" i="721"/>
  <c r="W237" i="720"/>
  <c r="W234" i="720"/>
  <c r="F163" i="721"/>
  <c r="R163" i="721"/>
  <c r="L163" i="721"/>
  <c r="N163" i="721"/>
  <c r="J163" i="721"/>
  <c r="T163" i="721"/>
  <c r="AE163" i="721"/>
  <c r="P163" i="721"/>
  <c r="F10" i="445"/>
  <c r="H10" i="445"/>
  <c r="I41" i="471"/>
  <c r="I52" i="471"/>
  <c r="I54" i="471"/>
  <c r="R627" i="721"/>
  <c r="L727" i="721"/>
  <c r="AE328" i="721"/>
  <c r="AB328" i="721"/>
  <c r="AE553" i="721"/>
  <c r="W664" i="721"/>
  <c r="N627" i="721"/>
  <c r="AC640" i="720"/>
  <c r="AC633" i="720"/>
  <c r="AC287" i="720"/>
  <c r="AC282" i="720"/>
  <c r="AC746" i="720"/>
  <c r="AC748" i="720"/>
  <c r="AC749" i="720"/>
  <c r="AC751" i="720"/>
  <c r="AC744" i="720"/>
  <c r="J549" i="720"/>
  <c r="T549" i="720"/>
  <c r="AE549" i="720"/>
  <c r="N549" i="720"/>
  <c r="L549" i="720"/>
  <c r="F549" i="720"/>
  <c r="R549" i="720"/>
  <c r="P549" i="720"/>
  <c r="F13" i="360"/>
  <c r="H13" i="360"/>
  <c r="AA627" i="721"/>
  <c r="N727" i="721"/>
  <c r="AA727" i="721"/>
  <c r="J627" i="721"/>
  <c r="W727" i="721"/>
  <c r="AC757" i="721"/>
  <c r="AC715" i="721"/>
  <c r="AE716" i="721"/>
  <c r="AE124" i="721"/>
  <c r="AB505" i="721"/>
  <c r="AC505" i="721"/>
  <c r="AC502" i="721"/>
  <c r="AE502" i="721"/>
  <c r="P540" i="721"/>
  <c r="P537" i="721"/>
  <c r="L647" i="721"/>
  <c r="AE653" i="721"/>
  <c r="AC647" i="721"/>
  <c r="AE734" i="721"/>
  <c r="AE830" i="721"/>
  <c r="W680" i="720"/>
  <c r="W679" i="720"/>
  <c r="W664" i="720"/>
  <c r="Y598" i="720"/>
  <c r="W598" i="720"/>
  <c r="AE598" i="720"/>
  <c r="AE581" i="720"/>
  <c r="T711" i="720"/>
  <c r="AE711" i="720"/>
  <c r="F185" i="721"/>
  <c r="R185" i="721"/>
  <c r="L185" i="721"/>
  <c r="N185" i="721"/>
  <c r="J185" i="721"/>
  <c r="P185" i="721"/>
  <c r="F540" i="721"/>
  <c r="F537" i="721"/>
  <c r="T540" i="721"/>
  <c r="T537" i="721"/>
  <c r="AE537" i="721"/>
  <c r="N540" i="721"/>
  <c r="N537" i="721"/>
  <c r="L540" i="721"/>
  <c r="L537" i="721"/>
  <c r="J540" i="721"/>
  <c r="J537" i="721"/>
  <c r="T182" i="720"/>
  <c r="T181" i="720"/>
  <c r="AE181" i="720"/>
  <c r="N182" i="720"/>
  <c r="N181" i="720"/>
  <c r="R182" i="720"/>
  <c r="R181" i="720"/>
  <c r="L182" i="720"/>
  <c r="L181" i="720"/>
  <c r="J182" i="720"/>
  <c r="J181" i="720"/>
  <c r="P182" i="720"/>
  <c r="P181" i="720"/>
  <c r="F182" i="720"/>
  <c r="F181" i="720"/>
  <c r="F784" i="721"/>
  <c r="T784" i="721"/>
  <c r="AE784" i="721"/>
  <c r="R784" i="721"/>
  <c r="P784" i="721"/>
  <c r="N784" i="721"/>
  <c r="L784" i="721"/>
  <c r="J784" i="721"/>
  <c r="AE581" i="721"/>
  <c r="AA133" i="720"/>
  <c r="AA132" i="720"/>
  <c r="F834" i="720"/>
  <c r="Y821" i="720"/>
  <c r="W790" i="720"/>
  <c r="F624" i="720"/>
  <c r="F463" i="720"/>
  <c r="AE697" i="720"/>
  <c r="F229" i="720"/>
  <c r="AA229" i="720"/>
  <c r="AC229" i="720"/>
  <c r="F153" i="720"/>
  <c r="AA153" i="720"/>
  <c r="Y735" i="720"/>
  <c r="Y734" i="720"/>
  <c r="F735" i="720"/>
  <c r="AA735" i="720"/>
  <c r="AC696" i="720"/>
  <c r="Y696" i="720"/>
  <c r="Y693" i="720"/>
  <c r="AA601" i="720"/>
  <c r="AC601" i="720"/>
  <c r="W601" i="720"/>
  <c r="AE601" i="720"/>
  <c r="F212" i="720"/>
  <c r="Y212" i="720"/>
  <c r="Y367" i="720"/>
  <c r="AC367" i="720"/>
  <c r="AA367" i="720"/>
  <c r="W367" i="720"/>
  <c r="AE367" i="720"/>
  <c r="W487" i="720"/>
  <c r="AC487" i="720"/>
  <c r="F487" i="720"/>
  <c r="AC91" i="720"/>
  <c r="AE91" i="720"/>
  <c r="Y91" i="720"/>
  <c r="F158" i="720"/>
  <c r="AC158" i="720"/>
  <c r="Y158" i="720"/>
  <c r="AE158" i="720"/>
  <c r="W29" i="720"/>
  <c r="AA29" i="720"/>
  <c r="F616" i="720"/>
  <c r="AC616" i="720"/>
  <c r="AA155" i="720"/>
  <c r="Y155" i="720"/>
  <c r="AC465" i="720"/>
  <c r="T465" i="720"/>
  <c r="AE465" i="720"/>
  <c r="F465" i="720"/>
  <c r="AA465" i="720"/>
  <c r="AA325" i="720"/>
  <c r="F325" i="720"/>
  <c r="F746" i="720"/>
  <c r="F744" i="720"/>
  <c r="W746" i="720"/>
  <c r="AC564" i="720"/>
  <c r="AE564" i="720"/>
  <c r="F564" i="720"/>
  <c r="W612" i="720"/>
  <c r="Y612" i="720"/>
  <c r="AE612" i="720"/>
  <c r="Y185" i="720"/>
  <c r="AC185" i="720"/>
  <c r="AE185" i="720"/>
  <c r="Y488" i="720"/>
  <c r="AA488" i="720"/>
  <c r="F587" i="720"/>
  <c r="AA587" i="720"/>
  <c r="W798" i="720"/>
  <c r="F798" i="720"/>
  <c r="Y451" i="720"/>
  <c r="W451" i="720"/>
  <c r="R58" i="720"/>
  <c r="P58" i="720"/>
  <c r="L133" i="720"/>
  <c r="L132" i="720"/>
  <c r="J133" i="720"/>
  <c r="J132" i="720"/>
  <c r="P471" i="721"/>
  <c r="P470" i="721"/>
  <c r="P469" i="721"/>
  <c r="J471" i="721"/>
  <c r="J470" i="721"/>
  <c r="N471" i="721"/>
  <c r="N470" i="721"/>
  <c r="T55" i="720"/>
  <c r="L55" i="720"/>
  <c r="L54" i="720"/>
  <c r="F55" i="720"/>
  <c r="F54" i="720"/>
  <c r="R55" i="720"/>
  <c r="R54" i="720"/>
  <c r="L523" i="720"/>
  <c r="T523" i="720"/>
  <c r="AE523" i="720"/>
  <c r="T604" i="720"/>
  <c r="AE604" i="720"/>
  <c r="L604" i="720"/>
  <c r="P604" i="720"/>
  <c r="R476" i="721"/>
  <c r="R475" i="721"/>
  <c r="T476" i="721"/>
  <c r="T475" i="721"/>
  <c r="AE475" i="721"/>
  <c r="N476" i="721"/>
  <c r="N475" i="721"/>
  <c r="T503" i="720"/>
  <c r="J503" i="720"/>
  <c r="J502" i="720"/>
  <c r="P503" i="720"/>
  <c r="P502" i="720"/>
  <c r="F503" i="720"/>
  <c r="F502" i="720"/>
  <c r="J284" i="720"/>
  <c r="P284" i="720"/>
  <c r="T284" i="720"/>
  <c r="AE284" i="720"/>
  <c r="N284" i="720"/>
  <c r="N434" i="720"/>
  <c r="T434" i="720"/>
  <c r="L434" i="720"/>
  <c r="P434" i="720"/>
  <c r="R434" i="720"/>
  <c r="AE660" i="721"/>
  <c r="AE125" i="721"/>
  <c r="AE765" i="721"/>
  <c r="AC524" i="721"/>
  <c r="AE524" i="721"/>
  <c r="AE503" i="721"/>
  <c r="AC728" i="721"/>
  <c r="AE631" i="721"/>
  <c r="AE237" i="721"/>
  <c r="Y633" i="721"/>
  <c r="AE633" i="721"/>
  <c r="AC744" i="721"/>
  <c r="AE744" i="721"/>
  <c r="AE667" i="721"/>
  <c r="AE154" i="721"/>
  <c r="T273" i="721"/>
  <c r="AE273" i="721"/>
  <c r="AE761" i="721"/>
  <c r="AE284" i="721"/>
  <c r="AC517" i="721"/>
  <c r="AE517" i="721"/>
  <c r="W642" i="721"/>
  <c r="W627" i="721"/>
  <c r="F633" i="721"/>
  <c r="G627" i="721"/>
  <c r="V627" i="721"/>
  <c r="W518" i="721"/>
  <c r="W517" i="721"/>
  <c r="L472" i="721"/>
  <c r="J783" i="721"/>
  <c r="J782" i="721"/>
  <c r="J518" i="721"/>
  <c r="J517" i="721"/>
  <c r="N549" i="721"/>
  <c r="T549" i="721"/>
  <c r="AE549" i="721"/>
  <c r="T472" i="721"/>
  <c r="AE472" i="721"/>
  <c r="R472" i="721"/>
  <c r="L783" i="721"/>
  <c r="L782" i="721"/>
  <c r="N518" i="721"/>
  <c r="N517" i="721"/>
  <c r="J58" i="721"/>
  <c r="R184" i="721"/>
  <c r="R58" i="721"/>
  <c r="L183" i="721"/>
  <c r="L215" i="721"/>
  <c r="N29" i="721"/>
  <c r="T29" i="721"/>
  <c r="AE29" i="721"/>
  <c r="Y596" i="720"/>
  <c r="W596" i="720"/>
  <c r="AE596" i="720"/>
  <c r="AC364" i="720"/>
  <c r="W787" i="720"/>
  <c r="AE787" i="720"/>
  <c r="Y466" i="720"/>
  <c r="Y38" i="720"/>
  <c r="AE746" i="720"/>
  <c r="Y276" i="720"/>
  <c r="AA638" i="720"/>
  <c r="AE638" i="720"/>
  <c r="W696" i="720"/>
  <c r="W693" i="720"/>
  <c r="W808" i="720"/>
  <c r="F459" i="720"/>
  <c r="Y176" i="720"/>
  <c r="AE176" i="720"/>
  <c r="W465" i="720"/>
  <c r="AA739" i="720"/>
  <c r="AC366" i="720"/>
  <c r="AE366" i="720"/>
  <c r="Y32" i="720"/>
  <c r="W32" i="720"/>
  <c r="AE32" i="720"/>
  <c r="AC668" i="720"/>
  <c r="W587" i="720"/>
  <c r="AA231" i="720"/>
  <c r="W624" i="720"/>
  <c r="AA624" i="720"/>
  <c r="T624" i="720"/>
  <c r="P624" i="720"/>
  <c r="N624" i="720"/>
  <c r="AE624" i="720"/>
  <c r="W224" i="720"/>
  <c r="W834" i="720"/>
  <c r="AE834" i="720"/>
  <c r="AC325" i="720"/>
  <c r="W325" i="720"/>
  <c r="AE325" i="720"/>
  <c r="Y450" i="720"/>
  <c r="AC186" i="720"/>
  <c r="AC383" i="720"/>
  <c r="AE383" i="720"/>
  <c r="AC227" i="720"/>
  <c r="W837" i="720"/>
  <c r="AA561" i="720"/>
  <c r="F383" i="720"/>
  <c r="AC703" i="720"/>
  <c r="Y703" i="720"/>
  <c r="AE703" i="720"/>
  <c r="AC330" i="720"/>
  <c r="W229" i="720"/>
  <c r="AA613" i="720"/>
  <c r="T613" i="720"/>
  <c r="R613" i="720"/>
  <c r="P613" i="720"/>
  <c r="N613" i="720"/>
  <c r="L613" i="720"/>
  <c r="AE613" i="720"/>
  <c r="Y463" i="720"/>
  <c r="Y519" i="720"/>
  <c r="Y234" i="720"/>
  <c r="Y791" i="720"/>
  <c r="Y796" i="720"/>
  <c r="AE796" i="720"/>
  <c r="W565" i="720"/>
  <c r="F821" i="720"/>
  <c r="F640" i="720"/>
  <c r="F633" i="720"/>
  <c r="AC821" i="720"/>
  <c r="AE821" i="720"/>
  <c r="W488" i="720"/>
  <c r="AC798" i="720"/>
  <c r="W250" i="720"/>
  <c r="F176" i="720"/>
  <c r="AC599" i="720"/>
  <c r="AE599" i="720"/>
  <c r="Y137" i="720"/>
  <c r="AA137" i="720"/>
  <c r="AA223" i="720"/>
  <c r="AE223" i="720"/>
  <c r="F796" i="720"/>
  <c r="F833" i="720"/>
  <c r="F164" i="720"/>
  <c r="W182" i="720"/>
  <c r="W181" i="720"/>
  <c r="F584" i="720"/>
  <c r="F790" i="720"/>
  <c r="F739" i="720"/>
  <c r="F186" i="720"/>
  <c r="AC153" i="720"/>
  <c r="W284" i="720"/>
  <c r="F284" i="720"/>
  <c r="Y548" i="720"/>
  <c r="AC548" i="720"/>
  <c r="AE548" i="720"/>
  <c r="F347" i="720"/>
  <c r="W347" i="720"/>
  <c r="AE347" i="720"/>
  <c r="AC379" i="720"/>
  <c r="AE379" i="720"/>
  <c r="AA379" i="720"/>
  <c r="AA751" i="720"/>
  <c r="W749" i="720"/>
  <c r="W635" i="720"/>
  <c r="AA635" i="720"/>
  <c r="AA743" i="720"/>
  <c r="AE743" i="720"/>
  <c r="F743" i="720"/>
  <c r="F621" i="720"/>
  <c r="AC621" i="720"/>
  <c r="W621" i="720"/>
  <c r="Y699" i="720"/>
  <c r="F699" i="720"/>
  <c r="AA699" i="720"/>
  <c r="AE699" i="720"/>
  <c r="AC27" i="720"/>
  <c r="Y27" i="720"/>
  <c r="AE677" i="720"/>
  <c r="AA84" i="720"/>
  <c r="AC84" i="720"/>
  <c r="Y698" i="720"/>
  <c r="AC698" i="720"/>
  <c r="AE698" i="720"/>
  <c r="Y438" i="720"/>
  <c r="AC438" i="720"/>
  <c r="Y270" i="720"/>
  <c r="AC270" i="720"/>
  <c r="AE270" i="720"/>
  <c r="W708" i="720"/>
  <c r="AA708" i="720"/>
  <c r="AA710" i="720"/>
  <c r="AA705" i="720"/>
  <c r="AA692" i="720"/>
  <c r="F249" i="720"/>
  <c r="AC249" i="720"/>
  <c r="AE249" i="720"/>
  <c r="W700" i="720"/>
  <c r="F700" i="720"/>
  <c r="W586" i="720"/>
  <c r="F586" i="720"/>
  <c r="AA586" i="720"/>
  <c r="AC586" i="720"/>
  <c r="G20" i="438"/>
  <c r="C42" i="438"/>
  <c r="P129" i="721"/>
  <c r="P128" i="721"/>
  <c r="T471" i="721"/>
  <c r="T470" i="721"/>
  <c r="J58" i="720"/>
  <c r="N58" i="720"/>
  <c r="W130" i="720"/>
  <c r="N133" i="720"/>
  <c r="N132" i="720"/>
  <c r="E518" i="720"/>
  <c r="F518" i="720"/>
  <c r="F517" i="720"/>
  <c r="R471" i="720"/>
  <c r="R470" i="720"/>
  <c r="T471" i="720"/>
  <c r="N471" i="720"/>
  <c r="N470" i="720"/>
  <c r="F56" i="720"/>
  <c r="R56" i="720"/>
  <c r="T56" i="720"/>
  <c r="AE56" i="720"/>
  <c r="P56" i="720"/>
  <c r="J56" i="720"/>
  <c r="W125" i="720"/>
  <c r="W124" i="720"/>
  <c r="P523" i="720"/>
  <c r="P587" i="720"/>
  <c r="L503" i="720"/>
  <c r="L502" i="720"/>
  <c r="W129" i="720"/>
  <c r="W128" i="720"/>
  <c r="E129" i="720"/>
  <c r="E605" i="720"/>
  <c r="W605" i="720"/>
  <c r="N184" i="720"/>
  <c r="T184" i="720"/>
  <c r="N783" i="720"/>
  <c r="N782" i="720"/>
  <c r="T783" i="720"/>
  <c r="L783" i="720"/>
  <c r="L782" i="720"/>
  <c r="R472" i="720"/>
  <c r="P472" i="720"/>
  <c r="J472" i="720"/>
  <c r="P729" i="720"/>
  <c r="P728" i="720"/>
  <c r="F729" i="720"/>
  <c r="F728" i="720"/>
  <c r="T729" i="720"/>
  <c r="J729" i="720"/>
  <c r="J728" i="720"/>
  <c r="N84" i="720"/>
  <c r="T84" i="720"/>
  <c r="J84" i="720"/>
  <c r="P84" i="720"/>
  <c r="P319" i="720"/>
  <c r="N319" i="720"/>
  <c r="J319" i="720"/>
  <c r="AC495" i="721"/>
  <c r="AE655" i="721"/>
  <c r="AC166" i="721"/>
  <c r="AE166" i="721"/>
  <c r="AC672" i="721"/>
  <c r="AE672" i="721"/>
  <c r="AE571" i="721"/>
  <c r="AC490" i="721"/>
  <c r="AE510" i="721"/>
  <c r="AC665" i="721"/>
  <c r="AE737" i="721"/>
  <c r="AE783" i="721"/>
  <c r="AE656" i="721"/>
  <c r="AE375" i="721"/>
  <c r="W783" i="721"/>
  <c r="W782" i="721"/>
  <c r="W549" i="721"/>
  <c r="J472" i="721"/>
  <c r="P783" i="721"/>
  <c r="P782" i="721"/>
  <c r="R518" i="721"/>
  <c r="R517" i="721"/>
  <c r="R549" i="721"/>
  <c r="W215" i="721"/>
  <c r="N184" i="721"/>
  <c r="L58" i="721"/>
  <c r="J183" i="721"/>
  <c r="P183" i="721"/>
  <c r="J215" i="721"/>
  <c r="P215" i="721"/>
  <c r="R29" i="721"/>
  <c r="AE582" i="720"/>
  <c r="AC672" i="720"/>
  <c r="AE90" i="720"/>
  <c r="F711" i="720"/>
  <c r="AE748" i="720"/>
  <c r="AA164" i="720"/>
  <c r="W640" i="720"/>
  <c r="W633" i="720"/>
  <c r="W627" i="720"/>
  <c r="F628" i="720"/>
  <c r="G627" i="720"/>
  <c r="V627" i="720"/>
  <c r="F565" i="720"/>
  <c r="AA487" i="720"/>
  <c r="AA358" i="720"/>
  <c r="W466" i="720"/>
  <c r="W38" i="720"/>
  <c r="AA275" i="720"/>
  <c r="AA456" i="720"/>
  <c r="AA463" i="720"/>
  <c r="W220" i="720"/>
  <c r="AE220" i="720"/>
  <c r="F185" i="720"/>
  <c r="F220" i="720"/>
  <c r="Y45" i="720"/>
  <c r="AC37" i="720"/>
  <c r="Y465" i="720"/>
  <c r="W324" i="720"/>
  <c r="W31" i="720"/>
  <c r="Y518" i="720"/>
  <c r="Y517" i="720"/>
  <c r="AC587" i="720"/>
  <c r="Y231" i="720"/>
  <c r="W153" i="720"/>
  <c r="Y284" i="720"/>
  <c r="AC155" i="720"/>
  <c r="AC791" i="720"/>
  <c r="AE791" i="720"/>
  <c r="Y24" i="720"/>
  <c r="Y23" i="720"/>
  <c r="Y837" i="720"/>
  <c r="AE837" i="720"/>
  <c r="Y751" i="720"/>
  <c r="AA383" i="720"/>
  <c r="Y459" i="720"/>
  <c r="AC808" i="720"/>
  <c r="AA184" i="720"/>
  <c r="AE184" i="720"/>
  <c r="F613" i="720"/>
  <c r="W463" i="720"/>
  <c r="AA519" i="720"/>
  <c r="AA747" i="720"/>
  <c r="AE747" i="720"/>
  <c r="F275" i="720"/>
  <c r="AE684" i="720"/>
  <c r="Y750" i="720"/>
  <c r="Y798" i="720"/>
  <c r="AC686" i="720"/>
  <c r="AE686" i="720"/>
  <c r="AC274" i="720"/>
  <c r="AA669" i="720"/>
  <c r="F488" i="720"/>
  <c r="F612" i="720"/>
  <c r="F686" i="720"/>
  <c r="F29" i="720"/>
  <c r="F601" i="720"/>
  <c r="F32" i="720"/>
  <c r="F685" i="720"/>
  <c r="AC45" i="720"/>
  <c r="AE45" i="720"/>
  <c r="AA186" i="720"/>
  <c r="AA808" i="720"/>
  <c r="AA685" i="720"/>
  <c r="T685" i="720"/>
  <c r="P685" i="720"/>
  <c r="N685" i="720"/>
  <c r="AE685" i="720"/>
  <c r="Y547" i="720"/>
  <c r="Y546" i="720"/>
  <c r="F547" i="720"/>
  <c r="F546" i="720"/>
  <c r="AC547" i="720"/>
  <c r="AC739" i="720"/>
  <c r="AE739" i="720"/>
  <c r="AC518" i="720"/>
  <c r="Y430" i="720"/>
  <c r="AC430" i="720"/>
  <c r="AE430" i="720"/>
  <c r="F53" i="720"/>
  <c r="W53" i="720"/>
  <c r="Y53" i="720"/>
  <c r="AC53" i="720"/>
  <c r="Y560" i="720"/>
  <c r="Y559" i="720"/>
  <c r="F560" i="720"/>
  <c r="F559" i="720"/>
  <c r="F596" i="720"/>
  <c r="F425" i="720"/>
  <c r="AA425" i="720"/>
  <c r="F519" i="720"/>
  <c r="AC680" i="720"/>
  <c r="Y680" i="720"/>
  <c r="Y679" i="720"/>
  <c r="Y641" i="720"/>
  <c r="AE641" i="720"/>
  <c r="Y324" i="720"/>
  <c r="F236" i="720"/>
  <c r="F234" i="720"/>
  <c r="AC236" i="720"/>
  <c r="AA392" i="720"/>
  <c r="AC392" i="720"/>
  <c r="AE392" i="720"/>
  <c r="F598" i="720"/>
  <c r="F703" i="720"/>
  <c r="AC14" i="720"/>
  <c r="AE14" i="720"/>
  <c r="F14" i="720"/>
  <c r="F787" i="720"/>
  <c r="F667" i="720"/>
  <c r="AC667" i="720"/>
  <c r="AE667" i="720"/>
  <c r="AC156" i="720"/>
  <c r="AA156" i="720"/>
  <c r="F161" i="720"/>
  <c r="W161" i="720"/>
  <c r="F250" i="720"/>
  <c r="F563" i="720"/>
  <c r="Y563" i="720"/>
  <c r="AE563" i="720"/>
  <c r="F837" i="720"/>
  <c r="F784" i="720"/>
  <c r="AC784" i="720"/>
  <c r="Y833" i="720"/>
  <c r="Y830" i="720"/>
  <c r="W428" i="720"/>
  <c r="AA428" i="720"/>
  <c r="D44" i="438"/>
  <c r="D45" i="438"/>
  <c r="J476" i="721"/>
  <c r="J475" i="721"/>
  <c r="F471" i="720"/>
  <c r="F470" i="720"/>
  <c r="L471" i="720"/>
  <c r="L470" i="720"/>
  <c r="T58" i="720"/>
  <c r="AE58" i="720"/>
  <c r="R133" i="720"/>
  <c r="R132" i="720"/>
  <c r="F604" i="720"/>
  <c r="N227" i="720"/>
  <c r="T227" i="720"/>
  <c r="L227" i="720"/>
  <c r="J227" i="720"/>
  <c r="F21" i="720"/>
  <c r="J184" i="720"/>
  <c r="R523" i="720"/>
  <c r="N503" i="720"/>
  <c r="N502" i="720"/>
  <c r="N55" i="720"/>
  <c r="N54" i="720"/>
  <c r="R729" i="720"/>
  <c r="R728" i="720"/>
  <c r="R727" i="720"/>
  <c r="E56" i="721"/>
  <c r="W56" i="721"/>
  <c r="E476" i="720"/>
  <c r="W476" i="720"/>
  <c r="W475" i="720"/>
  <c r="W469" i="720"/>
  <c r="L329" i="720"/>
  <c r="L328" i="720"/>
  <c r="J329" i="720"/>
  <c r="J328" i="720"/>
  <c r="R329" i="720"/>
  <c r="R328" i="720"/>
  <c r="N589" i="720"/>
  <c r="L589" i="720"/>
  <c r="R731" i="720"/>
  <c r="F731" i="720"/>
  <c r="J731" i="720"/>
  <c r="N731" i="720"/>
  <c r="E28" i="720"/>
  <c r="N697" i="720"/>
  <c r="J697" i="720"/>
  <c r="L697" i="720"/>
  <c r="P251" i="720"/>
  <c r="N251" i="720"/>
  <c r="T353" i="720"/>
  <c r="L353" i="720"/>
  <c r="R353" i="720"/>
  <c r="Y668" i="720"/>
  <c r="Y665" i="720"/>
  <c r="Y664" i="720"/>
  <c r="P392" i="720"/>
  <c r="R392" i="720"/>
  <c r="N392" i="720"/>
  <c r="AE508" i="721"/>
  <c r="AE371" i="721"/>
  <c r="AC830" i="720"/>
  <c r="AE552" i="720"/>
  <c r="F830" i="720"/>
  <c r="AE182" i="720"/>
  <c r="AA742" i="720"/>
  <c r="AC742" i="720"/>
  <c r="F561" i="720"/>
  <c r="Y561" i="720"/>
  <c r="AC353" i="720"/>
  <c r="AE353" i="720"/>
  <c r="AA353" i="720"/>
  <c r="AC237" i="720"/>
  <c r="AE237" i="720"/>
  <c r="Y790" i="720"/>
  <c r="AC790" i="720"/>
  <c r="AA435" i="720"/>
  <c r="AC435" i="720"/>
  <c r="AE435" i="720"/>
  <c r="AC133" i="720"/>
  <c r="F133" i="720"/>
  <c r="F132" i="720"/>
  <c r="Y133" i="720"/>
  <c r="Y132" i="720"/>
  <c r="F800" i="720"/>
  <c r="AC800" i="720"/>
  <c r="AA800" i="720"/>
  <c r="AE800" i="720"/>
  <c r="W346" i="720"/>
  <c r="F346" i="720"/>
  <c r="AC346" i="720"/>
  <c r="AB349" i="720"/>
  <c r="AC349" i="720"/>
  <c r="AC341" i="720"/>
  <c r="AE248" i="720"/>
  <c r="F322" i="720"/>
  <c r="AC322" i="720"/>
  <c r="AE322" i="720"/>
  <c r="W450" i="720"/>
  <c r="F450" i="720"/>
  <c r="AC434" i="720"/>
  <c r="AE434" i="720"/>
  <c r="F434" i="720"/>
  <c r="AC456" i="720"/>
  <c r="AE456" i="720"/>
  <c r="Y456" i="720"/>
  <c r="Y364" i="720"/>
  <c r="F364" i="720"/>
  <c r="Y227" i="720"/>
  <c r="F227" i="720"/>
  <c r="L476" i="721"/>
  <c r="L475" i="721"/>
  <c r="L469" i="721"/>
  <c r="R471" i="721"/>
  <c r="R470" i="721"/>
  <c r="R469" i="721"/>
  <c r="T133" i="720"/>
  <c r="T132" i="720"/>
  <c r="J604" i="720"/>
  <c r="T215" i="720"/>
  <c r="AE215" i="720"/>
  <c r="L215" i="720"/>
  <c r="J215" i="720"/>
  <c r="R215" i="720"/>
  <c r="N604" i="720"/>
  <c r="N523" i="720"/>
  <c r="P55" i="720"/>
  <c r="P54" i="720"/>
  <c r="R284" i="720"/>
  <c r="W55" i="720"/>
  <c r="W54" i="720"/>
  <c r="P130" i="720"/>
  <c r="F130" i="720"/>
  <c r="L130" i="720"/>
  <c r="R130" i="720"/>
  <c r="N129" i="721"/>
  <c r="N128" i="721"/>
  <c r="L129" i="721"/>
  <c r="L128" i="721"/>
  <c r="F129" i="721"/>
  <c r="F128" i="721"/>
  <c r="J129" i="721"/>
  <c r="J128" i="721"/>
  <c r="P133" i="720"/>
  <c r="P132" i="720"/>
  <c r="E59" i="721"/>
  <c r="F476" i="721"/>
  <c r="F475" i="721"/>
  <c r="J21" i="720"/>
  <c r="N21" i="720"/>
  <c r="T21" i="720"/>
  <c r="AE21" i="720"/>
  <c r="L584" i="720"/>
  <c r="T584" i="720"/>
  <c r="AE584" i="720"/>
  <c r="T587" i="720"/>
  <c r="N587" i="720"/>
  <c r="L587" i="720"/>
  <c r="E27" i="720"/>
  <c r="W27" i="720"/>
  <c r="P274" i="720"/>
  <c r="P273" i="720"/>
  <c r="R274" i="720"/>
  <c r="R273" i="720"/>
  <c r="N274" i="720"/>
  <c r="N273" i="720"/>
  <c r="J274" i="720"/>
  <c r="J273" i="720"/>
  <c r="T255" i="720"/>
  <c r="AE255" i="720"/>
  <c r="L255" i="720"/>
  <c r="T283" i="720"/>
  <c r="L283" i="720"/>
  <c r="L282" i="720"/>
  <c r="R250" i="720"/>
  <c r="Y336" i="720"/>
  <c r="Y335" i="720"/>
  <c r="E336" i="720"/>
  <c r="L287" i="720"/>
  <c r="N287" i="720"/>
  <c r="R254" i="720"/>
  <c r="T254" i="720"/>
  <c r="AE254" i="720"/>
  <c r="R428" i="720"/>
  <c r="L428" i="720"/>
  <c r="T428" i="720"/>
  <c r="AE428" i="720"/>
  <c r="T377" i="720"/>
  <c r="AE377" i="720"/>
  <c r="J377" i="720"/>
  <c r="T53" i="720"/>
  <c r="N53" i="720"/>
  <c r="P15" i="720"/>
  <c r="N15" i="720"/>
  <c r="R15" i="720"/>
  <c r="J15" i="720"/>
  <c r="L759" i="721"/>
  <c r="L758" i="721"/>
  <c r="L757" i="721"/>
  <c r="F759" i="721"/>
  <c r="F758" i="721"/>
  <c r="P759" i="721"/>
  <c r="P758" i="721"/>
  <c r="P757" i="721"/>
  <c r="J759" i="721"/>
  <c r="J758" i="721"/>
  <c r="J757" i="721"/>
  <c r="R464" i="720"/>
  <c r="T464" i="720"/>
  <c r="AE464" i="720"/>
  <c r="J464" i="720"/>
  <c r="P464" i="720"/>
  <c r="L464" i="720"/>
  <c r="E668" i="720"/>
  <c r="N769" i="721"/>
  <c r="N768" i="721"/>
  <c r="T769" i="721"/>
  <c r="T768" i="721"/>
  <c r="AE768" i="721"/>
  <c r="J711" i="720"/>
  <c r="J256" i="720"/>
  <c r="J255" i="720"/>
  <c r="J356" i="720"/>
  <c r="J354" i="720"/>
  <c r="J254" i="720"/>
  <c r="J281" i="720"/>
  <c r="N321" i="720"/>
  <c r="L701" i="720"/>
  <c r="R701" i="720"/>
  <c r="N254" i="720"/>
  <c r="T287" i="720"/>
  <c r="L256" i="720"/>
  <c r="L450" i="720"/>
  <c r="N283" i="720"/>
  <c r="N282" i="720"/>
  <c r="L712" i="720"/>
  <c r="L356" i="720"/>
  <c r="L354" i="720"/>
  <c r="R465" i="720"/>
  <c r="P424" i="720"/>
  <c r="R255" i="720"/>
  <c r="N303" i="720"/>
  <c r="N302" i="720"/>
  <c r="R281" i="720"/>
  <c r="J428" i="720"/>
  <c r="L377" i="720"/>
  <c r="R377" i="720"/>
  <c r="P377" i="720"/>
  <c r="R53" i="720"/>
  <c r="T759" i="721"/>
  <c r="N464" i="720"/>
  <c r="J423" i="720"/>
  <c r="N423" i="720"/>
  <c r="J73" i="720"/>
  <c r="R561" i="720"/>
  <c r="P561" i="720"/>
  <c r="T561" i="720"/>
  <c r="AE561" i="720"/>
  <c r="F792" i="720"/>
  <c r="AA177" i="720"/>
  <c r="AE177" i="720"/>
  <c r="AA218" i="720"/>
  <c r="AC218" i="720"/>
  <c r="AE218" i="720"/>
  <c r="AA589" i="720"/>
  <c r="Y701" i="720"/>
  <c r="Y464" i="720"/>
  <c r="F264" i="720"/>
  <c r="J125" i="721"/>
  <c r="J124" i="721"/>
  <c r="R547" i="720"/>
  <c r="R546" i="720"/>
  <c r="T253" i="721"/>
  <c r="E143" i="720"/>
  <c r="P30" i="720"/>
  <c r="J303" i="720"/>
  <c r="J302" i="720"/>
  <c r="P571" i="721"/>
  <c r="P570" i="721"/>
  <c r="J571" i="721"/>
  <c r="J570" i="721"/>
  <c r="R571" i="721"/>
  <c r="R570" i="721"/>
  <c r="Y254" i="720"/>
  <c r="P254" i="720"/>
  <c r="N711" i="720"/>
  <c r="L250" i="720"/>
  <c r="N256" i="720"/>
  <c r="N450" i="720"/>
  <c r="P283" i="720"/>
  <c r="P282" i="720"/>
  <c r="R712" i="720"/>
  <c r="T356" i="720"/>
  <c r="R424" i="720"/>
  <c r="T303" i="720"/>
  <c r="T302" i="720"/>
  <c r="T281" i="720"/>
  <c r="AE281" i="720"/>
  <c r="P428" i="720"/>
  <c r="L53" i="720"/>
  <c r="F9" i="580"/>
  <c r="H9" i="580"/>
  <c r="I19" i="580"/>
  <c r="F9" i="581"/>
  <c r="H9" i="581"/>
  <c r="I19" i="581"/>
  <c r="F9" i="242"/>
  <c r="H9" i="242"/>
  <c r="I19" i="242"/>
  <c r="I52" i="242"/>
  <c r="F9" i="582"/>
  <c r="H9" i="582"/>
  <c r="I19" i="582"/>
  <c r="P560" i="720"/>
  <c r="P559" i="720"/>
  <c r="J560" i="720"/>
  <c r="J559" i="720"/>
  <c r="T560" i="720"/>
  <c r="T559" i="720"/>
  <c r="L560" i="720"/>
  <c r="L559" i="720"/>
  <c r="R560" i="720"/>
  <c r="R559" i="720"/>
  <c r="E198" i="720"/>
  <c r="Y198" i="720"/>
  <c r="Y197" i="720"/>
  <c r="N576" i="720"/>
  <c r="L576" i="720"/>
  <c r="P576" i="720"/>
  <c r="R576" i="720"/>
  <c r="E201" i="720"/>
  <c r="P322" i="720"/>
  <c r="J322" i="720"/>
  <c r="L322" i="720"/>
  <c r="R322" i="720"/>
  <c r="L49" i="720"/>
  <c r="T49" i="720"/>
  <c r="AE49" i="720"/>
  <c r="N49" i="720"/>
  <c r="P49" i="720"/>
  <c r="E324" i="721"/>
  <c r="T449" i="720"/>
  <c r="AE449" i="720"/>
  <c r="R449" i="720"/>
  <c r="W394" i="720"/>
  <c r="N759" i="721"/>
  <c r="N758" i="721"/>
  <c r="L15" i="720"/>
  <c r="T46" i="720"/>
  <c r="AE46" i="720"/>
  <c r="L46" i="720"/>
  <c r="R46" i="720"/>
  <c r="N46" i="720"/>
  <c r="J46" i="720"/>
  <c r="W376" i="720"/>
  <c r="W375" i="720"/>
  <c r="E376" i="720"/>
  <c r="N331" i="720"/>
  <c r="T586" i="720"/>
  <c r="E434" i="721"/>
  <c r="H10" i="527"/>
  <c r="H35" i="527"/>
  <c r="AA106" i="720"/>
  <c r="AA103" i="720"/>
  <c r="AA247" i="720"/>
  <c r="AA400" i="720"/>
  <c r="AA410" i="720"/>
  <c r="AA485" i="720"/>
  <c r="AA308" i="720"/>
  <c r="AA436" i="720"/>
  <c r="AA795" i="720"/>
  <c r="AC494" i="720"/>
  <c r="AC490" i="720"/>
  <c r="E377" i="721"/>
  <c r="E438" i="720"/>
  <c r="E450" i="721"/>
  <c r="E456" i="721"/>
  <c r="AA288" i="720"/>
  <c r="AA406" i="720"/>
  <c r="AA408" i="720"/>
  <c r="AA419" i="720"/>
  <c r="AA427" i="720"/>
  <c r="L20" i="720"/>
  <c r="L19" i="720"/>
  <c r="L586" i="720"/>
  <c r="P467" i="720"/>
  <c r="L467" i="720"/>
  <c r="AA298" i="720"/>
  <c r="AA294" i="720"/>
  <c r="AA320" i="720"/>
  <c r="AA380" i="720"/>
  <c r="AA390" i="720"/>
  <c r="W93" i="720"/>
  <c r="AB209" i="720"/>
  <c r="AC209" i="720"/>
  <c r="AB209" i="721"/>
  <c r="AC209" i="721"/>
  <c r="I54" i="626"/>
  <c r="F55" i="626"/>
  <c r="H56" i="626"/>
  <c r="F24" i="494"/>
  <c r="H24" i="494"/>
  <c r="I30" i="494"/>
  <c r="F10" i="262"/>
  <c r="H10" i="262"/>
  <c r="I19" i="262"/>
  <c r="I41" i="262"/>
  <c r="I52" i="262"/>
  <c r="F17" i="502"/>
  <c r="H17" i="502"/>
  <c r="F17" i="251"/>
  <c r="H17" i="251"/>
  <c r="F8" i="684"/>
  <c r="H8" i="684"/>
  <c r="I22" i="684"/>
  <c r="N459" i="720"/>
  <c r="J459" i="720"/>
  <c r="F26" i="708"/>
  <c r="H26" i="708"/>
  <c r="I30" i="708"/>
  <c r="F23" i="715"/>
  <c r="H23" i="715"/>
  <c r="I30" i="715"/>
  <c r="AB802" i="721"/>
  <c r="AC802" i="721"/>
  <c r="AB803" i="720"/>
  <c r="AC803" i="720"/>
  <c r="W757" i="720"/>
  <c r="V757" i="720"/>
  <c r="F26" i="623"/>
  <c r="H26" i="623"/>
  <c r="I29" i="623"/>
  <c r="F23" i="387"/>
  <c r="H23" i="387"/>
  <c r="I30" i="387"/>
  <c r="AB458" i="720"/>
  <c r="AC458" i="720"/>
  <c r="AB458" i="721"/>
  <c r="AC458" i="721"/>
  <c r="R14" i="720"/>
  <c r="N14" i="720"/>
  <c r="J14" i="720"/>
  <c r="L14" i="720"/>
  <c r="F13" i="408"/>
  <c r="H13" i="408"/>
  <c r="F12" i="409"/>
  <c r="H12" i="409"/>
  <c r="I20" i="409"/>
  <c r="V291" i="720"/>
  <c r="W291" i="720"/>
  <c r="F10" i="556"/>
  <c r="H10" i="556"/>
  <c r="C32" i="438"/>
  <c r="G32" i="438"/>
  <c r="H32" i="438"/>
  <c r="F20" i="438"/>
  <c r="F42" i="438"/>
  <c r="F25" i="283"/>
  <c r="H25" i="283"/>
  <c r="I30" i="283"/>
  <c r="T459" i="720"/>
  <c r="AE459" i="720"/>
  <c r="AB100" i="721"/>
  <c r="AC100" i="721"/>
  <c r="AB320" i="720"/>
  <c r="AC320" i="720"/>
  <c r="AB221" i="721"/>
  <c r="AC221" i="721"/>
  <c r="AB228" i="721"/>
  <c r="AC228" i="721"/>
  <c r="AB433" i="720"/>
  <c r="AC433" i="720"/>
  <c r="AB433" i="721"/>
  <c r="AC433" i="721"/>
  <c r="F32" i="438"/>
  <c r="E28" i="438"/>
  <c r="E24" i="438"/>
  <c r="L459" i="720"/>
  <c r="AB189" i="720"/>
  <c r="AC189" i="720"/>
  <c r="F25" i="625"/>
  <c r="H25" i="625"/>
  <c r="I30" i="625"/>
  <c r="F27" i="638"/>
  <c r="H27" i="638"/>
  <c r="I30" i="638"/>
  <c r="AB811" i="721"/>
  <c r="AC811" i="721"/>
  <c r="AB461" i="720"/>
  <c r="AC461" i="720"/>
  <c r="AB461" i="721"/>
  <c r="AC461" i="721"/>
  <c r="AB427" i="720"/>
  <c r="AC427" i="720"/>
  <c r="AB427" i="721"/>
  <c r="AC427" i="721"/>
  <c r="P14" i="720"/>
  <c r="F14" i="606"/>
  <c r="H14" i="606"/>
  <c r="I20" i="606"/>
  <c r="F10" i="596"/>
  <c r="H10" i="596"/>
  <c r="I20" i="596"/>
  <c r="V267" i="720"/>
  <c r="F10" i="250"/>
  <c r="H10" i="250"/>
  <c r="F10" i="251"/>
  <c r="H10" i="251"/>
  <c r="F14" i="278"/>
  <c r="H14" i="278"/>
  <c r="F14" i="304"/>
  <c r="H14" i="304"/>
  <c r="W85" i="720"/>
  <c r="I54" i="296"/>
  <c r="F55" i="296"/>
  <c r="I36" i="263"/>
  <c r="I38" i="263"/>
  <c r="I41" i="263"/>
  <c r="I44" i="197"/>
  <c r="AB62" i="721"/>
  <c r="AC62" i="721"/>
  <c r="AB62" i="720"/>
  <c r="AC62" i="720"/>
  <c r="AB64" i="721"/>
  <c r="AC64" i="721"/>
  <c r="AB64" i="720"/>
  <c r="AC64" i="720"/>
  <c r="AB65" i="721"/>
  <c r="AC65" i="721"/>
  <c r="AB65" i="720"/>
  <c r="AC65" i="720"/>
  <c r="AB105" i="720"/>
  <c r="AC105" i="720"/>
  <c r="AB105" i="721"/>
  <c r="AC105" i="721"/>
  <c r="F24" i="200"/>
  <c r="H24" i="200"/>
  <c r="I30" i="200"/>
  <c r="F24" i="386"/>
  <c r="H24" i="386"/>
  <c r="I30" i="386"/>
  <c r="F10" i="611"/>
  <c r="H10" i="611"/>
  <c r="I19" i="611"/>
  <c r="F9" i="387"/>
  <c r="H9" i="387"/>
  <c r="I19" i="387"/>
  <c r="I41" i="387"/>
  <c r="I52" i="387"/>
  <c r="D45" i="387"/>
  <c r="H45" i="387"/>
  <c r="I50" i="387"/>
  <c r="I53" i="387"/>
  <c r="I54" i="387"/>
  <c r="F8" i="502"/>
  <c r="H8" i="502"/>
  <c r="F8" i="251"/>
  <c r="H8" i="251"/>
  <c r="I41" i="155"/>
  <c r="I52" i="155"/>
  <c r="I54" i="155"/>
  <c r="F55" i="155"/>
  <c r="AB36" i="721"/>
  <c r="AC36" i="721"/>
  <c r="AB36" i="720"/>
  <c r="AC36" i="720"/>
  <c r="AB39" i="721"/>
  <c r="AC39" i="721"/>
  <c r="AB39" i="720"/>
  <c r="AC39" i="720"/>
  <c r="AB98" i="721"/>
  <c r="AC98" i="721"/>
  <c r="AB98" i="720"/>
  <c r="AC98" i="720"/>
  <c r="F13" i="251"/>
  <c r="H13" i="251"/>
  <c r="F13" i="502"/>
  <c r="H13" i="502"/>
  <c r="F8" i="539"/>
  <c r="H8" i="539"/>
  <c r="F8" i="541"/>
  <c r="H8" i="541"/>
  <c r="I19" i="541"/>
  <c r="AB810" i="720"/>
  <c r="AC810" i="720"/>
  <c r="AB810" i="721"/>
  <c r="AC810" i="721"/>
  <c r="AB34" i="720"/>
  <c r="AC34" i="720"/>
  <c r="AB35" i="720"/>
  <c r="AC35" i="720"/>
  <c r="AC31" i="720"/>
  <c r="AB34" i="721"/>
  <c r="AC34" i="721"/>
  <c r="AB63" i="720"/>
  <c r="AC63" i="720"/>
  <c r="AB63" i="721"/>
  <c r="AC63" i="721"/>
  <c r="AB69" i="721"/>
  <c r="AC69" i="721"/>
  <c r="AB69" i="720"/>
  <c r="AC69" i="720"/>
  <c r="AB70" i="720"/>
  <c r="AC70" i="720"/>
  <c r="AB70" i="721"/>
  <c r="AC70" i="721"/>
  <c r="I41" i="232"/>
  <c r="I52" i="232"/>
  <c r="I54" i="232"/>
  <c r="AB35" i="721"/>
  <c r="AC35" i="721"/>
  <c r="AB52" i="721"/>
  <c r="AC52" i="721"/>
  <c r="AB52" i="720"/>
  <c r="AC52" i="720"/>
  <c r="AB76" i="721"/>
  <c r="AC76" i="721"/>
  <c r="AB76" i="720"/>
  <c r="AC76" i="720"/>
  <c r="AB77" i="720"/>
  <c r="AC77" i="720"/>
  <c r="AB77" i="721"/>
  <c r="AC77" i="721"/>
  <c r="AB79" i="721"/>
  <c r="AC79" i="721"/>
  <c r="AB79" i="720"/>
  <c r="AC79" i="720"/>
  <c r="AB85" i="721"/>
  <c r="AC85" i="721"/>
  <c r="AB85" i="720"/>
  <c r="AC85" i="720"/>
  <c r="AB86" i="720"/>
  <c r="AC86" i="720"/>
  <c r="AB86" i="721"/>
  <c r="AC86" i="721"/>
  <c r="AB95" i="720"/>
  <c r="AC95" i="720"/>
  <c r="AB95" i="721"/>
  <c r="AC95" i="721"/>
  <c r="I41" i="562"/>
  <c r="I52" i="562"/>
  <c r="D45" i="562"/>
  <c r="H45" i="562"/>
  <c r="I50" i="562"/>
  <c r="I53" i="562"/>
  <c r="I54" i="562"/>
  <c r="AB174" i="721"/>
  <c r="AC174" i="721"/>
  <c r="AB174" i="720"/>
  <c r="AC174" i="720"/>
  <c r="AB298" i="720"/>
  <c r="AC298" i="720"/>
  <c r="AB298" i="721"/>
  <c r="AC298" i="721"/>
  <c r="AB314" i="720"/>
  <c r="AC314" i="720"/>
  <c r="AB314" i="721"/>
  <c r="AC314" i="721"/>
  <c r="AB390" i="720"/>
  <c r="AC390" i="720"/>
  <c r="AB390" i="721"/>
  <c r="AC390" i="721"/>
  <c r="AB411" i="721"/>
  <c r="AC411" i="721"/>
  <c r="AB411" i="720"/>
  <c r="AC411" i="720"/>
  <c r="AB419" i="720"/>
  <c r="AC419" i="720"/>
  <c r="AB419" i="721"/>
  <c r="AC419" i="721"/>
  <c r="AB421" i="720"/>
  <c r="AC421" i="720"/>
  <c r="AB421" i="721"/>
  <c r="AC421" i="721"/>
  <c r="AB431" i="721"/>
  <c r="AC431" i="721"/>
  <c r="AB431" i="720"/>
  <c r="AC431" i="720"/>
  <c r="AB818" i="720"/>
  <c r="AC818" i="720"/>
  <c r="AB818" i="721"/>
  <c r="AC818" i="721"/>
  <c r="AB829" i="720"/>
  <c r="AC829" i="720"/>
  <c r="AC825" i="720"/>
  <c r="AB829" i="721"/>
  <c r="AC829" i="721"/>
  <c r="AC825" i="721"/>
  <c r="I34" i="460"/>
  <c r="I41" i="460"/>
  <c r="I38" i="547"/>
  <c r="I41" i="547"/>
  <c r="I34" i="227"/>
  <c r="I41" i="227"/>
  <c r="AB87" i="720"/>
  <c r="AC87" i="720"/>
  <c r="I38" i="558"/>
  <c r="I41" i="558"/>
  <c r="I34" i="561"/>
  <c r="I41" i="561"/>
  <c r="I34" i="563"/>
  <c r="I41" i="563"/>
  <c r="I34" i="567"/>
  <c r="I41" i="567"/>
  <c r="I52" i="567"/>
  <c r="D45" i="567"/>
  <c r="H45" i="567"/>
  <c r="I50" i="567"/>
  <c r="I53" i="567"/>
  <c r="I54" i="567"/>
  <c r="I34" i="346"/>
  <c r="I41" i="346"/>
  <c r="AB117" i="721"/>
  <c r="AC117" i="721"/>
  <c r="AB146" i="720"/>
  <c r="AC146" i="720"/>
  <c r="AB146" i="721"/>
  <c r="AC146" i="721"/>
  <c r="AB196" i="720"/>
  <c r="AC196" i="720"/>
  <c r="AB196" i="721"/>
  <c r="AC196" i="721"/>
  <c r="AB267" i="720"/>
  <c r="AC267" i="720"/>
  <c r="AB267" i="721"/>
  <c r="AC267" i="721"/>
  <c r="AB402" i="720"/>
  <c r="AC402" i="720"/>
  <c r="AB402" i="721"/>
  <c r="AC402" i="721"/>
  <c r="AB406" i="720"/>
  <c r="AC406" i="720"/>
  <c r="AB406" i="721"/>
  <c r="AC406" i="721"/>
  <c r="AB44" i="721"/>
  <c r="AC44" i="721"/>
  <c r="AB44" i="720"/>
  <c r="AC44" i="720"/>
  <c r="I38" i="224"/>
  <c r="I41" i="224"/>
  <c r="AB114" i="721"/>
  <c r="AC114" i="721"/>
  <c r="I38" i="613"/>
  <c r="I41" i="613"/>
  <c r="I35" i="571"/>
  <c r="I42" i="571"/>
  <c r="AB139" i="720"/>
  <c r="AC139" i="720"/>
  <c r="AB139" i="721"/>
  <c r="AC139" i="721"/>
  <c r="AB178" i="721"/>
  <c r="AC178" i="721"/>
  <c r="AB178" i="720"/>
  <c r="AC178" i="720"/>
  <c r="AB385" i="721"/>
  <c r="AC385" i="721"/>
  <c r="AB385" i="720"/>
  <c r="AC385" i="720"/>
  <c r="AB415" i="720"/>
  <c r="AC415" i="720"/>
  <c r="AB415" i="721"/>
  <c r="AC415" i="721"/>
  <c r="I31" i="549"/>
  <c r="I38" i="549"/>
  <c r="AB145" i="721"/>
  <c r="AC145" i="721"/>
  <c r="AB145" i="720"/>
  <c r="AC145" i="720"/>
  <c r="AB195" i="720"/>
  <c r="AC195" i="720"/>
  <c r="AB195" i="721"/>
  <c r="AC195" i="721"/>
  <c r="AB214" i="720"/>
  <c r="AC214" i="720"/>
  <c r="AB214" i="721"/>
  <c r="AC214" i="721"/>
  <c r="AB279" i="720"/>
  <c r="AC279" i="720"/>
  <c r="AB279" i="721"/>
  <c r="AC279" i="721"/>
  <c r="AB396" i="720"/>
  <c r="AC396" i="720"/>
  <c r="AB396" i="721"/>
  <c r="AC396" i="721"/>
  <c r="I41" i="442"/>
  <c r="I41" i="427"/>
  <c r="I34" i="581"/>
  <c r="I41" i="581"/>
  <c r="AB203" i="720"/>
  <c r="AC203" i="720"/>
  <c r="I41" i="494"/>
  <c r="I34" i="503"/>
  <c r="I41" i="503"/>
  <c r="AB266" i="720"/>
  <c r="AC266" i="720"/>
  <c r="AB266" i="721"/>
  <c r="AC266" i="721"/>
  <c r="AB299" i="720"/>
  <c r="AC299" i="720"/>
  <c r="AB299" i="721"/>
  <c r="AC299" i="721"/>
  <c r="I35" i="606"/>
  <c r="I36" i="250"/>
  <c r="I43" i="251"/>
  <c r="AB312" i="720"/>
  <c r="AC312" i="720"/>
  <c r="AB360" i="720"/>
  <c r="AC360" i="720"/>
  <c r="AB360" i="721"/>
  <c r="AC360" i="721"/>
  <c r="AB388" i="720"/>
  <c r="AC388" i="720"/>
  <c r="AB388" i="721"/>
  <c r="AC388" i="721"/>
  <c r="I37" i="398"/>
  <c r="I6" i="415"/>
  <c r="C5" i="415"/>
  <c r="I44" i="416"/>
  <c r="AB410" i="720"/>
  <c r="AC410" i="720"/>
  <c r="AB410" i="721"/>
  <c r="AC410" i="721"/>
  <c r="AB409" i="720"/>
  <c r="AC409" i="720"/>
  <c r="AB409" i="721"/>
  <c r="AC409" i="721"/>
  <c r="I6" i="406"/>
  <c r="C5" i="406"/>
  <c r="AB426" i="720"/>
  <c r="AC426" i="720"/>
  <c r="C5" i="674"/>
  <c r="AB432" i="720"/>
  <c r="AC432" i="720"/>
  <c r="AB432" i="721"/>
  <c r="AC432" i="721"/>
  <c r="AB441" i="720"/>
  <c r="AC441" i="720"/>
  <c r="AB441" i="721"/>
  <c r="AC441" i="721"/>
  <c r="I44" i="697"/>
  <c r="I55" i="697"/>
  <c r="I6" i="701"/>
  <c r="C5" i="701"/>
  <c r="AB460" i="721"/>
  <c r="AC460" i="721"/>
  <c r="AB460" i="720"/>
  <c r="AC460" i="720"/>
  <c r="AB505" i="720"/>
  <c r="AC505" i="720"/>
  <c r="AB568" i="720"/>
  <c r="AC568" i="720"/>
  <c r="AB568" i="721"/>
  <c r="AC568" i="721"/>
  <c r="AC566" i="721"/>
  <c r="AB583" i="721"/>
  <c r="AC583" i="721"/>
  <c r="AB583" i="720"/>
  <c r="AC583" i="720"/>
  <c r="AB706" i="720"/>
  <c r="AC706" i="720"/>
  <c r="AB706" i="721"/>
  <c r="AC706" i="721"/>
  <c r="I41" i="337"/>
  <c r="I52" i="337"/>
  <c r="I54" i="337"/>
  <c r="F55" i="337"/>
  <c r="H56" i="337"/>
  <c r="AB795" i="720"/>
  <c r="AC795" i="720"/>
  <c r="AB795" i="721"/>
  <c r="AC795" i="721"/>
  <c r="AC782" i="721"/>
  <c r="AE782" i="721"/>
  <c r="AB816" i="721"/>
  <c r="AC816" i="721"/>
  <c r="AB816" i="720"/>
  <c r="AC816" i="720"/>
  <c r="AB261" i="721"/>
  <c r="AC261" i="721"/>
  <c r="AB261" i="720"/>
  <c r="AC261" i="720"/>
  <c r="AE777" i="720"/>
  <c r="J635" i="720"/>
  <c r="J639" i="720"/>
  <c r="J633" i="720"/>
  <c r="J627" i="720"/>
  <c r="AE631" i="720"/>
  <c r="AA628" i="720"/>
  <c r="M149" i="720"/>
  <c r="M148" i="720"/>
  <c r="D870" i="721"/>
  <c r="D869" i="721"/>
  <c r="D872" i="721"/>
  <c r="AB180" i="720"/>
  <c r="AC180" i="720"/>
  <c r="AB180" i="721"/>
  <c r="AC180" i="721"/>
  <c r="I42" i="403"/>
  <c r="I41" i="287"/>
  <c r="I40" i="543"/>
  <c r="I51" i="543"/>
  <c r="AB394" i="720"/>
  <c r="AC394" i="720"/>
  <c r="AB394" i="721"/>
  <c r="AC394" i="721"/>
  <c r="I44" i="415"/>
  <c r="AB403" i="720"/>
  <c r="AC403" i="720"/>
  <c r="AB403" i="721"/>
  <c r="AC403" i="721"/>
  <c r="AB399" i="720"/>
  <c r="AC399" i="720"/>
  <c r="AB399" i="721"/>
  <c r="AC399" i="721"/>
  <c r="AB408" i="721"/>
  <c r="AC408" i="721"/>
  <c r="AB408" i="720"/>
  <c r="AC408" i="720"/>
  <c r="I44" i="435"/>
  <c r="AB439" i="720"/>
  <c r="AC439" i="720"/>
  <c r="AB439" i="721"/>
  <c r="AC439" i="721"/>
  <c r="AB455" i="720"/>
  <c r="AC455" i="720"/>
  <c r="AB455" i="721"/>
  <c r="AC455" i="721"/>
  <c r="I6" i="700"/>
  <c r="C5" i="700"/>
  <c r="AB567" i="720"/>
  <c r="AC567" i="720"/>
  <c r="I41" i="381"/>
  <c r="I41" i="277"/>
  <c r="I41" i="466"/>
  <c r="I41" i="379"/>
  <c r="I52" i="379"/>
  <c r="I34" i="284"/>
  <c r="I41" i="284"/>
  <c r="I52" i="284"/>
  <c r="AB819" i="721"/>
  <c r="AC819" i="721"/>
  <c r="M175" i="720"/>
  <c r="M201" i="720"/>
  <c r="AE512" i="720"/>
  <c r="D870" i="720"/>
  <c r="D871" i="720"/>
  <c r="D872" i="720"/>
  <c r="D873" i="720"/>
  <c r="K73" i="720"/>
  <c r="AE655" i="720"/>
  <c r="AA653" i="720"/>
  <c r="T542" i="720"/>
  <c r="N542" i="720"/>
  <c r="L542" i="720"/>
  <c r="AE542" i="720"/>
  <c r="AE511" i="720"/>
  <c r="N676" i="720"/>
  <c r="N678" i="720"/>
  <c r="N672" i="720"/>
  <c r="AA528" i="720"/>
  <c r="AA527" i="720"/>
  <c r="Y528" i="720"/>
  <c r="Y527" i="720"/>
  <c r="AC528" i="720"/>
  <c r="W528" i="720"/>
  <c r="W527" i="720"/>
  <c r="F528" i="720"/>
  <c r="F527" i="720"/>
  <c r="I41" i="473"/>
  <c r="AB179" i="720"/>
  <c r="AC179" i="720"/>
  <c r="AB179" i="721"/>
  <c r="AC179" i="721"/>
  <c r="I41" i="579"/>
  <c r="AC200" i="721"/>
  <c r="AB200" i="720"/>
  <c r="AC200" i="720"/>
  <c r="I41" i="243"/>
  <c r="I42" i="348"/>
  <c r="I35" i="592"/>
  <c r="I42" i="592"/>
  <c r="I35" i="597"/>
  <c r="I42" i="597"/>
  <c r="I38" i="594"/>
  <c r="I42" i="594"/>
  <c r="I35" i="523"/>
  <c r="I38" i="523"/>
  <c r="I42" i="409"/>
  <c r="AB304" i="720"/>
  <c r="AC304" i="720"/>
  <c r="AB304" i="721"/>
  <c r="AC304" i="721"/>
  <c r="AB359" i="721"/>
  <c r="AC359" i="721"/>
  <c r="AB359" i="720"/>
  <c r="AC359" i="720"/>
  <c r="I37" i="312"/>
  <c r="I44" i="312"/>
  <c r="I41" i="382"/>
  <c r="I44" i="382"/>
  <c r="AB387" i="720"/>
  <c r="AC387" i="720"/>
  <c r="AB387" i="721"/>
  <c r="AC387" i="721"/>
  <c r="I6" i="394"/>
  <c r="C5" i="394"/>
  <c r="AB391" i="720"/>
  <c r="AC391" i="720"/>
  <c r="AB391" i="721"/>
  <c r="AC391" i="721"/>
  <c r="AB395" i="721"/>
  <c r="AC395" i="721"/>
  <c r="AB395" i="720"/>
  <c r="AC395" i="720"/>
  <c r="I44" i="418"/>
  <c r="AB404" i="720"/>
  <c r="AC404" i="720"/>
  <c r="AB404" i="721"/>
  <c r="AC404" i="721"/>
  <c r="I6" i="431"/>
  <c r="C5" i="431"/>
  <c r="AB407" i="720"/>
  <c r="AC407" i="720"/>
  <c r="AB407" i="721"/>
  <c r="AC407" i="721"/>
  <c r="AB420" i="720"/>
  <c r="AC420" i="720"/>
  <c r="I44" i="373"/>
  <c r="I6" i="459"/>
  <c r="C5" i="673"/>
  <c r="I6" i="673"/>
  <c r="AB447" i="720"/>
  <c r="AC447" i="720"/>
  <c r="AB447" i="721"/>
  <c r="AC447" i="721"/>
  <c r="AB442" i="721"/>
  <c r="AC442" i="721"/>
  <c r="AB442" i="720"/>
  <c r="AC442" i="720"/>
  <c r="I44" i="689"/>
  <c r="I6" i="698"/>
  <c r="C5" i="698"/>
  <c r="I41" i="450"/>
  <c r="I41" i="280"/>
  <c r="I52" i="280"/>
  <c r="I41" i="391"/>
  <c r="I52" i="391"/>
  <c r="I41" i="501"/>
  <c r="I34" i="334"/>
  <c r="I41" i="334"/>
  <c r="I52" i="334"/>
  <c r="I54" i="334"/>
  <c r="F55" i="334"/>
  <c r="I34" i="388"/>
  <c r="I41" i="388"/>
  <c r="I52" i="388"/>
  <c r="I53" i="388"/>
  <c r="I54" i="388"/>
  <c r="F55" i="388"/>
  <c r="H56" i="388"/>
  <c r="D868" i="721"/>
  <c r="Y653" i="720"/>
  <c r="Y647" i="720"/>
  <c r="AE169" i="720"/>
  <c r="W166" i="720"/>
  <c r="T720" i="720"/>
  <c r="T716" i="720"/>
  <c r="N213" i="720"/>
  <c r="T213" i="720"/>
  <c r="R213" i="720"/>
  <c r="P213" i="720"/>
  <c r="L213" i="720"/>
  <c r="AE213" i="720"/>
  <c r="J213" i="720"/>
  <c r="N222" i="720"/>
  <c r="T222" i="720"/>
  <c r="R222" i="720"/>
  <c r="P222" i="720"/>
  <c r="L222" i="720"/>
  <c r="AE222" i="720"/>
  <c r="J222" i="720"/>
  <c r="P232" i="720"/>
  <c r="T232" i="720"/>
  <c r="R232" i="720"/>
  <c r="N232" i="720"/>
  <c r="L232" i="720"/>
  <c r="AE232" i="720"/>
  <c r="J232" i="720"/>
  <c r="P238" i="720"/>
  <c r="P240" i="720"/>
  <c r="P234" i="720"/>
  <c r="T238" i="720"/>
  <c r="R238" i="720"/>
  <c r="N238" i="720"/>
  <c r="L238" i="720"/>
  <c r="AE238" i="720"/>
  <c r="J238" i="720"/>
  <c r="N263" i="720"/>
  <c r="P263" i="720"/>
  <c r="R263" i="720"/>
  <c r="T263" i="720"/>
  <c r="L263" i="720"/>
  <c r="AE263" i="720"/>
  <c r="J263" i="720"/>
  <c r="T280" i="720"/>
  <c r="R280" i="720"/>
  <c r="N280" i="720"/>
  <c r="L280" i="720"/>
  <c r="AE280" i="720"/>
  <c r="J280" i="720"/>
  <c r="P323" i="720"/>
  <c r="T323" i="720"/>
  <c r="R323" i="720"/>
  <c r="N323" i="720"/>
  <c r="L323" i="720"/>
  <c r="AE323" i="720"/>
  <c r="J323" i="720"/>
  <c r="Y494" i="720"/>
  <c r="W494" i="720"/>
  <c r="F494" i="720"/>
  <c r="AA494" i="720"/>
  <c r="AA490" i="720"/>
  <c r="AE497" i="720"/>
  <c r="AC501" i="720"/>
  <c r="AC499" i="720"/>
  <c r="AE500" i="720"/>
  <c r="T519" i="720"/>
  <c r="P519" i="720"/>
  <c r="N519" i="720"/>
  <c r="L519" i="720"/>
  <c r="AE519" i="720"/>
  <c r="J519" i="720"/>
  <c r="T525" i="720"/>
  <c r="T524" i="720"/>
  <c r="N525" i="720"/>
  <c r="N524" i="720"/>
  <c r="P525" i="720"/>
  <c r="P524" i="720"/>
  <c r="R525" i="720"/>
  <c r="R524" i="720"/>
  <c r="F525" i="720"/>
  <c r="F524" i="720"/>
  <c r="J525" i="720"/>
  <c r="J524" i="720"/>
  <c r="L525" i="720"/>
  <c r="L524" i="720"/>
  <c r="AB310" i="720"/>
  <c r="AC310" i="720"/>
  <c r="AB310" i="721"/>
  <c r="AC310" i="721"/>
  <c r="I41" i="612"/>
  <c r="AB349" i="721"/>
  <c r="AC349" i="721"/>
  <c r="I6" i="416"/>
  <c r="C5" i="416"/>
  <c r="I6" i="418"/>
  <c r="C5" i="418"/>
  <c r="AB412" i="721"/>
  <c r="AC412" i="721"/>
  <c r="I44" i="406"/>
  <c r="AB437" i="721"/>
  <c r="AC437" i="721"/>
  <c r="AB437" i="720"/>
  <c r="AC437" i="720"/>
  <c r="AB452" i="720"/>
  <c r="AC452" i="720"/>
  <c r="AB452" i="721"/>
  <c r="AC452" i="721"/>
  <c r="I41" i="496"/>
  <c r="AB603" i="721"/>
  <c r="AC603" i="721"/>
  <c r="AB603" i="720"/>
  <c r="AC603" i="720"/>
  <c r="I41" i="392"/>
  <c r="AB704" i="720"/>
  <c r="AC704" i="720"/>
  <c r="AB817" i="720"/>
  <c r="AC817" i="720"/>
  <c r="AB817" i="721"/>
  <c r="AC817" i="721"/>
  <c r="AB820" i="721"/>
  <c r="AC820" i="721"/>
  <c r="AB820" i="720"/>
  <c r="AC820" i="720"/>
  <c r="I41" i="285"/>
  <c r="I52" i="285"/>
  <c r="Q149" i="720"/>
  <c r="Q175" i="720"/>
  <c r="Q201" i="720"/>
  <c r="W524" i="720"/>
  <c r="AE526" i="720"/>
  <c r="N236" i="720"/>
  <c r="N234" i="720"/>
  <c r="R830" i="720"/>
  <c r="M73" i="720"/>
  <c r="N73" i="720"/>
  <c r="M72" i="720"/>
  <c r="C5" i="312"/>
  <c r="C5" i="374"/>
  <c r="C5" i="384"/>
  <c r="C5" i="413"/>
  <c r="C5" i="426"/>
  <c r="C5" i="430"/>
  <c r="C5" i="339"/>
  <c r="C5" i="368"/>
  <c r="C5" i="373"/>
  <c r="C5" i="376"/>
  <c r="C5" i="423"/>
  <c r="C5" i="360"/>
  <c r="I41" i="709"/>
  <c r="AC687" i="720"/>
  <c r="J830" i="720"/>
  <c r="J716" i="720"/>
  <c r="AE754" i="720"/>
  <c r="AA752" i="720"/>
  <c r="P752" i="720"/>
  <c r="AE752" i="720"/>
  <c r="AE718" i="720"/>
  <c r="AE656" i="720"/>
  <c r="J654" i="720"/>
  <c r="J653" i="720"/>
  <c r="J647" i="720"/>
  <c r="AC524" i="720"/>
  <c r="Y509" i="720"/>
  <c r="AE509" i="720"/>
  <c r="AE510" i="720"/>
  <c r="F506" i="720"/>
  <c r="AE190" i="720"/>
  <c r="N761" i="720"/>
  <c r="AE761" i="720"/>
  <c r="N830" i="720"/>
  <c r="T764" i="720"/>
  <c r="T757" i="720"/>
  <c r="T744" i="720"/>
  <c r="AC22" i="720"/>
  <c r="Y22" i="720"/>
  <c r="N38" i="720"/>
  <c r="T38" i="720"/>
  <c r="L38" i="720"/>
  <c r="AE38" i="720"/>
  <c r="L47" i="720"/>
  <c r="R47" i="720"/>
  <c r="N47" i="720"/>
  <c r="AE47" i="720"/>
  <c r="J47" i="720"/>
  <c r="AC119" i="720"/>
  <c r="T120" i="720"/>
  <c r="T119" i="720"/>
  <c r="N120" i="720"/>
  <c r="N119" i="720"/>
  <c r="AE119" i="720"/>
  <c r="AE120" i="720"/>
  <c r="T153" i="720"/>
  <c r="L153" i="720"/>
  <c r="P153" i="720"/>
  <c r="R157" i="720"/>
  <c r="T157" i="720"/>
  <c r="L157" i="720"/>
  <c r="AE157" i="720"/>
  <c r="N161" i="720"/>
  <c r="T161" i="720"/>
  <c r="P161" i="720"/>
  <c r="R161" i="720"/>
  <c r="L161" i="720"/>
  <c r="N168" i="720"/>
  <c r="N166" i="720"/>
  <c r="F168" i="720"/>
  <c r="F166" i="720"/>
  <c r="J168" i="720"/>
  <c r="J166" i="720"/>
  <c r="T168" i="720"/>
  <c r="L168" i="720"/>
  <c r="L166" i="720"/>
  <c r="AE717" i="720"/>
  <c r="W716" i="720"/>
  <c r="J734" i="720"/>
  <c r="AC716" i="720"/>
  <c r="J234" i="720"/>
  <c r="K868" i="720"/>
  <c r="K872" i="720"/>
  <c r="AE355" i="720"/>
  <c r="AE507" i="720"/>
  <c r="R506" i="720"/>
  <c r="P166" i="720"/>
  <c r="AA530" i="720"/>
  <c r="Y530" i="720"/>
  <c r="Y529" i="720"/>
  <c r="P532" i="720"/>
  <c r="L532" i="720"/>
  <c r="R532" i="720"/>
  <c r="N532" i="720"/>
  <c r="F532" i="720"/>
  <c r="J532" i="720"/>
  <c r="AC539" i="720"/>
  <c r="W539" i="720"/>
  <c r="W537" i="720"/>
  <c r="AA539" i="720"/>
  <c r="AA537" i="720"/>
  <c r="N558" i="720"/>
  <c r="R558" i="720"/>
  <c r="T558" i="720"/>
  <c r="F558" i="720"/>
  <c r="J558" i="720"/>
  <c r="L565" i="720"/>
  <c r="R565" i="720"/>
  <c r="P565" i="720"/>
  <c r="N565" i="720"/>
  <c r="AE565" i="720"/>
  <c r="T600" i="720"/>
  <c r="R600" i="720"/>
  <c r="P600" i="720"/>
  <c r="L600" i="720"/>
  <c r="AE600" i="720"/>
  <c r="J600" i="720"/>
  <c r="J613" i="720"/>
  <c r="T620" i="720"/>
  <c r="P620" i="720"/>
  <c r="L620" i="720"/>
  <c r="AC628" i="720"/>
  <c r="AE630" i="720"/>
  <c r="AC652" i="720"/>
  <c r="W652" i="720"/>
  <c r="Y652" i="720"/>
  <c r="AA652" i="720"/>
  <c r="R654" i="720"/>
  <c r="R653" i="720"/>
  <c r="R647" i="720"/>
  <c r="L654" i="720"/>
  <c r="L653" i="720"/>
  <c r="L647" i="720"/>
  <c r="P654" i="720"/>
  <c r="P653" i="720"/>
  <c r="P647" i="720"/>
  <c r="F654" i="720"/>
  <c r="F653" i="720"/>
  <c r="F659" i="720"/>
  <c r="F658" i="720"/>
  <c r="G647" i="720"/>
  <c r="AA719" i="720"/>
  <c r="F719" i="720"/>
  <c r="F720" i="720"/>
  <c r="F716" i="720"/>
  <c r="L720" i="720"/>
  <c r="L716" i="720"/>
  <c r="R720" i="720"/>
  <c r="R716" i="720"/>
  <c r="P720" i="720"/>
  <c r="P716" i="720"/>
  <c r="AE760" i="720"/>
  <c r="AA764" i="720"/>
  <c r="Y719" i="720"/>
  <c r="Y716" i="720"/>
  <c r="F554" i="720"/>
  <c r="W530" i="720"/>
  <c r="W529" i="720"/>
  <c r="J565" i="720"/>
  <c r="AE492" i="720"/>
  <c r="AE491" i="720"/>
  <c r="L240" i="720"/>
  <c r="L234" i="720"/>
  <c r="N720" i="720"/>
  <c r="N716" i="720"/>
  <c r="P639" i="720"/>
  <c r="P633" i="720"/>
  <c r="P643" i="720"/>
  <c r="P642" i="720"/>
  <c r="P627" i="720"/>
  <c r="P736" i="720"/>
  <c r="P734" i="720"/>
  <c r="P558" i="720"/>
  <c r="T554" i="720"/>
  <c r="AC372" i="720"/>
  <c r="W372" i="720"/>
  <c r="W370" i="720"/>
  <c r="AA372" i="720"/>
  <c r="AA370" i="720"/>
  <c r="T474" i="720"/>
  <c r="R474" i="720"/>
  <c r="P474" i="720"/>
  <c r="L474" i="720"/>
  <c r="AE474" i="720"/>
  <c r="F474" i="720"/>
  <c r="Y501" i="720"/>
  <c r="Y499" i="720"/>
  <c r="W501" i="720"/>
  <c r="W499" i="720"/>
  <c r="AC535" i="720"/>
  <c r="AA535" i="720"/>
  <c r="Y535" i="720"/>
  <c r="AE535" i="720"/>
  <c r="AA531" i="720"/>
  <c r="F535" i="720"/>
  <c r="L551" i="720"/>
  <c r="T551" i="720"/>
  <c r="J551" i="720"/>
  <c r="R551" i="720"/>
  <c r="P555" i="720"/>
  <c r="R555" i="720"/>
  <c r="L555" i="720"/>
  <c r="L554" i="720"/>
  <c r="J555" i="720"/>
  <c r="J554" i="720"/>
  <c r="N555" i="720"/>
  <c r="AE632" i="720"/>
  <c r="T635" i="720"/>
  <c r="R635" i="720"/>
  <c r="L635" i="720"/>
  <c r="L639" i="720"/>
  <c r="L633" i="720"/>
  <c r="T639" i="720"/>
  <c r="N639" i="720"/>
  <c r="N637" i="720"/>
  <c r="N633" i="720"/>
  <c r="N627" i="720"/>
  <c r="R639" i="720"/>
  <c r="T643" i="720"/>
  <c r="R643" i="720"/>
  <c r="R642" i="720"/>
  <c r="AC659" i="720"/>
  <c r="W659" i="720"/>
  <c r="W658" i="720"/>
  <c r="W647" i="720"/>
  <c r="N666" i="720"/>
  <c r="L666" i="720"/>
  <c r="T666" i="720"/>
  <c r="R671" i="720"/>
  <c r="P671" i="720"/>
  <c r="J671" i="720"/>
  <c r="L671" i="720"/>
  <c r="T676" i="720"/>
  <c r="J676" i="720"/>
  <c r="J672" i="720"/>
  <c r="R676" i="720"/>
  <c r="R681" i="720"/>
  <c r="R679" i="720"/>
  <c r="T681" i="720"/>
  <c r="T679" i="720"/>
  <c r="N681" i="720"/>
  <c r="N679" i="720"/>
  <c r="J681" i="720"/>
  <c r="L681" i="720"/>
  <c r="L679" i="720"/>
  <c r="P679" i="720"/>
  <c r="J685" i="720"/>
  <c r="T688" i="720"/>
  <c r="N688" i="720"/>
  <c r="N687" i="720"/>
  <c r="L688" i="720"/>
  <c r="L687" i="720"/>
  <c r="P688" i="720"/>
  <c r="P687" i="720"/>
  <c r="R688" i="720"/>
  <c r="R687" i="720"/>
  <c r="F688" i="720"/>
  <c r="F687" i="720"/>
  <c r="AC721" i="720"/>
  <c r="AC762" i="720"/>
  <c r="W762" i="720"/>
  <c r="F762" i="720"/>
  <c r="N766" i="720"/>
  <c r="P766" i="720"/>
  <c r="J766" i="720"/>
  <c r="J764" i="720"/>
  <c r="J757" i="720"/>
  <c r="L766" i="720"/>
  <c r="AE766" i="720"/>
  <c r="AE772" i="720"/>
  <c r="L785" i="720"/>
  <c r="T785" i="720"/>
  <c r="P785" i="720"/>
  <c r="T789" i="720"/>
  <c r="R789" i="720"/>
  <c r="P789" i="720"/>
  <c r="L789" i="720"/>
  <c r="AE789" i="720"/>
  <c r="L793" i="720"/>
  <c r="R793" i="720"/>
  <c r="P793" i="720"/>
  <c r="AE793" i="720"/>
  <c r="G871" i="721"/>
  <c r="D871" i="721"/>
  <c r="F830" i="721"/>
  <c r="T777" i="721"/>
  <c r="R777" i="721"/>
  <c r="N777" i="721"/>
  <c r="AE777" i="721"/>
  <c r="F777" i="721"/>
  <c r="F764" i="721"/>
  <c r="R760" i="721"/>
  <c r="F760" i="721"/>
  <c r="F744" i="721"/>
  <c r="F734" i="721"/>
  <c r="G727" i="721"/>
  <c r="X727" i="721"/>
  <c r="F716" i="721"/>
  <c r="F688" i="721"/>
  <c r="F687" i="721"/>
  <c r="R688" i="721"/>
  <c r="R687" i="721"/>
  <c r="R664" i="721"/>
  <c r="F658" i="721"/>
  <c r="F653" i="721"/>
  <c r="G647" i="721"/>
  <c r="Z647" i="721"/>
  <c r="F554" i="721"/>
  <c r="F355" i="721"/>
  <c r="F354" i="721"/>
  <c r="J355" i="721"/>
  <c r="J354" i="721"/>
  <c r="F234" i="721"/>
  <c r="J688" i="721"/>
  <c r="J687" i="721"/>
  <c r="J664" i="721"/>
  <c r="T760" i="721"/>
  <c r="L688" i="721"/>
  <c r="L687" i="721"/>
  <c r="L664" i="721"/>
  <c r="J512" i="721"/>
  <c r="J511" i="721"/>
  <c r="L512" i="721"/>
  <c r="L511" i="721"/>
  <c r="AE511" i="721"/>
  <c r="T508" i="720"/>
  <c r="T506" i="720"/>
  <c r="N508" i="720"/>
  <c r="N506" i="720"/>
  <c r="P508" i="720"/>
  <c r="P506" i="720"/>
  <c r="F672" i="721"/>
  <c r="N760" i="721"/>
  <c r="P760" i="721"/>
  <c r="N137" i="720"/>
  <c r="T137" i="720"/>
  <c r="P137" i="720"/>
  <c r="R155" i="720"/>
  <c r="L155" i="720"/>
  <c r="P155" i="720"/>
  <c r="L211" i="720"/>
  <c r="N211" i="720"/>
  <c r="R211" i="720"/>
  <c r="AE211" i="720"/>
  <c r="T229" i="720"/>
  <c r="L229" i="720"/>
  <c r="R229" i="720"/>
  <c r="N229" i="720"/>
  <c r="T236" i="720"/>
  <c r="T241" i="720"/>
  <c r="T234" i="720"/>
  <c r="R240" i="720"/>
  <c r="AE240" i="720"/>
  <c r="P301" i="720"/>
  <c r="R301" i="720"/>
  <c r="L301" i="720"/>
  <c r="AE301" i="720"/>
  <c r="R345" i="720"/>
  <c r="P345" i="720"/>
  <c r="L345" i="720"/>
  <c r="AE345" i="720"/>
  <c r="R477" i="720"/>
  <c r="T477" i="720"/>
  <c r="N477" i="720"/>
  <c r="AE477" i="720"/>
  <c r="P538" i="720"/>
  <c r="P537" i="720"/>
  <c r="T538" i="720"/>
  <c r="T537" i="720"/>
  <c r="N538" i="720"/>
  <c r="N537" i="720"/>
  <c r="T637" i="720"/>
  <c r="AE637" i="720"/>
  <c r="T669" i="720"/>
  <c r="N669" i="720"/>
  <c r="P669" i="720"/>
  <c r="P674" i="720"/>
  <c r="R674" i="720"/>
  <c r="R672" i="720"/>
  <c r="T678" i="720"/>
  <c r="L678" i="720"/>
  <c r="L672" i="720"/>
  <c r="P678" i="720"/>
  <c r="L708" i="720"/>
  <c r="R708" i="720"/>
  <c r="T735" i="720"/>
  <c r="T734" i="720"/>
  <c r="L735" i="720"/>
  <c r="L734" i="720"/>
  <c r="L727" i="720"/>
  <c r="P765" i="720"/>
  <c r="P764" i="720"/>
  <c r="P757" i="720"/>
  <c r="N765" i="720"/>
  <c r="N764" i="720"/>
  <c r="N757" i="720"/>
  <c r="L765" i="720"/>
  <c r="N368" i="720"/>
  <c r="AE368" i="720"/>
  <c r="L644" i="720"/>
  <c r="AE644" i="720"/>
  <c r="L798" i="720"/>
  <c r="AE736" i="720"/>
  <c r="T659" i="720"/>
  <c r="T658" i="720"/>
  <c r="T647" i="720"/>
  <c r="N562" i="720"/>
  <c r="AE562" i="720"/>
  <c r="P496" i="720"/>
  <c r="N311" i="720"/>
  <c r="AE311" i="720"/>
  <c r="T262" i="720"/>
  <c r="AE262" i="720"/>
  <c r="AE241" i="720"/>
  <c r="L212" i="720"/>
  <c r="AE212" i="720"/>
  <c r="T193" i="720"/>
  <c r="AE193" i="720"/>
  <c r="R827" i="720"/>
  <c r="N827" i="720"/>
  <c r="AE827" i="720"/>
  <c r="P790" i="720"/>
  <c r="R165" i="720"/>
  <c r="T165" i="720"/>
  <c r="AE165" i="720"/>
  <c r="F370" i="721"/>
  <c r="L11" i="355"/>
  <c r="L12" i="355"/>
  <c r="L13" i="355"/>
  <c r="R798" i="720"/>
  <c r="N186" i="720"/>
  <c r="R186" i="720"/>
  <c r="P231" i="720"/>
  <c r="T231" i="720"/>
  <c r="T346" i="720"/>
  <c r="L346" i="720"/>
  <c r="N745" i="720"/>
  <c r="N744" i="720"/>
  <c r="N727" i="720"/>
  <c r="P745" i="720"/>
  <c r="P744" i="720"/>
  <c r="T799" i="720"/>
  <c r="L799" i="720"/>
  <c r="AE799" i="720"/>
  <c r="D471" i="721"/>
  <c r="F679" i="721"/>
  <c r="K16" i="356"/>
  <c r="N14" i="356"/>
  <c r="K18" i="356"/>
  <c r="L11" i="445"/>
  <c r="V266" i="721"/>
  <c r="W266" i="721"/>
  <c r="V268" i="721"/>
  <c r="W268" i="721"/>
  <c r="V268" i="720"/>
  <c r="W268" i="720"/>
  <c r="V704" i="720"/>
  <c r="W704" i="720"/>
  <c r="I52" i="235"/>
  <c r="I54" i="235"/>
  <c r="F55" i="235"/>
  <c r="V149" i="720"/>
  <c r="E149" i="720"/>
  <c r="J149" i="720"/>
  <c r="V149" i="721"/>
  <c r="W590" i="720"/>
  <c r="I53" i="640"/>
  <c r="V590" i="721"/>
  <c r="W590" i="721"/>
  <c r="V811" i="720"/>
  <c r="W811" i="720"/>
  <c r="I52" i="533"/>
  <c r="I53" i="533"/>
  <c r="I54" i="533"/>
  <c r="V360" i="720"/>
  <c r="W360" i="720"/>
  <c r="V360" i="721"/>
  <c r="W360" i="721"/>
  <c r="I52" i="621"/>
  <c r="V826" i="720"/>
  <c r="W826" i="720"/>
  <c r="V826" i="721"/>
  <c r="W826" i="721"/>
  <c r="W825" i="721"/>
  <c r="W824" i="721"/>
  <c r="V816" i="721"/>
  <c r="W816" i="721"/>
  <c r="V816" i="720"/>
  <c r="I52" i="628"/>
  <c r="V813" i="721"/>
  <c r="W813" i="721"/>
  <c r="V813" i="720"/>
  <c r="W813" i="720"/>
  <c r="V174" i="721"/>
  <c r="I52" i="648"/>
  <c r="I54" i="648"/>
  <c r="V174" i="720"/>
  <c r="V520" i="720"/>
  <c r="I52" i="395"/>
  <c r="I54" i="395"/>
  <c r="V603" i="721"/>
  <c r="W603" i="721"/>
  <c r="W602" i="721"/>
  <c r="V603" i="720"/>
  <c r="W603" i="720"/>
  <c r="W602" i="720"/>
  <c r="V179" i="720"/>
  <c r="W179" i="720"/>
  <c r="V179" i="721"/>
  <c r="I52" i="237"/>
  <c r="I54" i="237"/>
  <c r="I52" i="537"/>
  <c r="V288" i="721"/>
  <c r="W288" i="721"/>
  <c r="V288" i="720"/>
  <c r="W288" i="720"/>
  <c r="V148" i="721"/>
  <c r="X148" i="721"/>
  <c r="E148" i="721"/>
  <c r="V72" i="720"/>
  <c r="E72" i="720"/>
  <c r="V72" i="721"/>
  <c r="E72" i="721"/>
  <c r="I52" i="478"/>
  <c r="I54" i="478"/>
  <c r="F55" i="478"/>
  <c r="I53" i="599"/>
  <c r="V296" i="720"/>
  <c r="W296" i="720"/>
  <c r="V296" i="721"/>
  <c r="W296" i="721"/>
  <c r="V349" i="721"/>
  <c r="W349" i="721"/>
  <c r="V349" i="720"/>
  <c r="W349" i="720"/>
  <c r="AC824" i="720"/>
  <c r="AB386" i="720"/>
  <c r="AC386" i="720"/>
  <c r="AB386" i="721"/>
  <c r="AC386" i="721"/>
  <c r="Z162" i="721"/>
  <c r="AA162" i="721"/>
  <c r="Z162" i="720"/>
  <c r="AA162" i="720"/>
  <c r="I51" i="623"/>
  <c r="V18" i="721"/>
  <c r="W18" i="721"/>
  <c r="AC824" i="721"/>
  <c r="V647" i="720"/>
  <c r="AB66" i="720"/>
  <c r="AC66" i="720"/>
  <c r="AB66" i="721"/>
  <c r="AC66" i="721"/>
  <c r="I53" i="596"/>
  <c r="V267" i="721"/>
  <c r="Z806" i="720"/>
  <c r="AA806" i="720"/>
  <c r="Z806" i="721"/>
  <c r="AA806" i="721"/>
  <c r="AC43" i="720"/>
  <c r="AC225" i="721"/>
  <c r="AC801" i="721"/>
  <c r="Z216" i="720"/>
  <c r="AA216" i="720"/>
  <c r="Z216" i="721"/>
  <c r="AA216" i="721"/>
  <c r="P438" i="720"/>
  <c r="T438" i="720"/>
  <c r="J438" i="720"/>
  <c r="R438" i="720"/>
  <c r="L438" i="720"/>
  <c r="N438" i="720"/>
  <c r="R201" i="720"/>
  <c r="J201" i="720"/>
  <c r="P201" i="720"/>
  <c r="N201" i="720"/>
  <c r="V192" i="721"/>
  <c r="E192" i="721"/>
  <c r="T143" i="720"/>
  <c r="N143" i="720"/>
  <c r="N142" i="720"/>
  <c r="P143" i="720"/>
  <c r="P142" i="720"/>
  <c r="L143" i="720"/>
  <c r="L142" i="720"/>
  <c r="F143" i="720"/>
  <c r="F142" i="720"/>
  <c r="R143" i="720"/>
  <c r="R142" i="720"/>
  <c r="J143" i="720"/>
  <c r="J142" i="720"/>
  <c r="AE759" i="721"/>
  <c r="T758" i="721"/>
  <c r="T282" i="720"/>
  <c r="AE282" i="720"/>
  <c r="AE283" i="720"/>
  <c r="R27" i="720"/>
  <c r="N27" i="720"/>
  <c r="T27" i="720"/>
  <c r="J27" i="720"/>
  <c r="L27" i="720"/>
  <c r="P27" i="720"/>
  <c r="F27" i="720"/>
  <c r="J28" i="720"/>
  <c r="N28" i="720"/>
  <c r="R28" i="720"/>
  <c r="T28" i="720"/>
  <c r="AE28" i="720"/>
  <c r="P28" i="720"/>
  <c r="F28" i="720"/>
  <c r="L28" i="720"/>
  <c r="P476" i="720"/>
  <c r="P475" i="720"/>
  <c r="P469" i="720"/>
  <c r="L476" i="720"/>
  <c r="L475" i="720"/>
  <c r="R476" i="720"/>
  <c r="R475" i="720"/>
  <c r="F476" i="720"/>
  <c r="F475" i="720"/>
  <c r="J476" i="720"/>
  <c r="J475" i="720"/>
  <c r="J469" i="720"/>
  <c r="N476" i="720"/>
  <c r="N475" i="720"/>
  <c r="N469" i="720"/>
  <c r="T476" i="720"/>
  <c r="AC517" i="720"/>
  <c r="AA633" i="720"/>
  <c r="T728" i="720"/>
  <c r="AE729" i="720"/>
  <c r="P605" i="720"/>
  <c r="J605" i="720"/>
  <c r="T605" i="720"/>
  <c r="AE605" i="720"/>
  <c r="F605" i="720"/>
  <c r="N605" i="720"/>
  <c r="L605" i="720"/>
  <c r="R605" i="720"/>
  <c r="T469" i="721"/>
  <c r="AE586" i="720"/>
  <c r="AE621" i="720"/>
  <c r="AE635" i="720"/>
  <c r="AE137" i="720"/>
  <c r="AC328" i="720"/>
  <c r="AE231" i="720"/>
  <c r="AE512" i="721"/>
  <c r="AE487" i="720"/>
  <c r="AC482" i="720"/>
  <c r="F734" i="720"/>
  <c r="AE229" i="720"/>
  <c r="AE674" i="720"/>
  <c r="AE708" i="720"/>
  <c r="W830" i="720"/>
  <c r="X647" i="721"/>
  <c r="AE125" i="720"/>
  <c r="T124" i="720"/>
  <c r="V647" i="721"/>
  <c r="W65" i="721"/>
  <c r="Z610" i="721"/>
  <c r="AA610" i="721"/>
  <c r="I52" i="392"/>
  <c r="Z610" i="720"/>
  <c r="AA610" i="720"/>
  <c r="W442" i="720"/>
  <c r="AA82" i="720"/>
  <c r="I53" i="628"/>
  <c r="X816" i="720"/>
  <c r="X816" i="721"/>
  <c r="I53" i="575"/>
  <c r="X126" i="721"/>
  <c r="Y126" i="721"/>
  <c r="X126" i="720"/>
  <c r="Y126" i="720"/>
  <c r="W607" i="720"/>
  <c r="AA113" i="720"/>
  <c r="W200" i="720"/>
  <c r="E200" i="720"/>
  <c r="V286" i="720"/>
  <c r="I27" i="24"/>
  <c r="G27" i="24"/>
  <c r="I19" i="24"/>
  <c r="G19" i="24"/>
  <c r="W403" i="721"/>
  <c r="I38" i="24"/>
  <c r="G38" i="24"/>
  <c r="I33" i="24"/>
  <c r="I36" i="24"/>
  <c r="G36" i="24"/>
  <c r="F55" i="259"/>
  <c r="H56" i="259"/>
  <c r="X195" i="720"/>
  <c r="X195" i="721"/>
  <c r="I53" i="271"/>
  <c r="I54" i="271"/>
  <c r="X724" i="720"/>
  <c r="Y724" i="720"/>
  <c r="X724" i="721"/>
  <c r="Y724" i="721"/>
  <c r="I53" i="303"/>
  <c r="I53" i="345"/>
  <c r="X105" i="720"/>
  <c r="Y105" i="720"/>
  <c r="X105" i="721"/>
  <c r="Y105" i="721"/>
  <c r="F55" i="425"/>
  <c r="H56" i="425"/>
  <c r="Y493" i="720"/>
  <c r="W385" i="720"/>
  <c r="X114" i="720"/>
  <c r="X114" i="721"/>
  <c r="I53" i="269"/>
  <c r="I54" i="269"/>
  <c r="F55" i="269"/>
  <c r="H56" i="269"/>
  <c r="X813" i="720"/>
  <c r="X813" i="721"/>
  <c r="I53" i="220"/>
  <c r="I54" i="220"/>
  <c r="X48" i="720"/>
  <c r="X48" i="721"/>
  <c r="Y722" i="721"/>
  <c r="E722" i="721"/>
  <c r="Y531" i="720"/>
  <c r="Y723" i="721"/>
  <c r="F8" i="673"/>
  <c r="H8" i="673"/>
  <c r="I22" i="673"/>
  <c r="I55" i="673"/>
  <c r="X175" i="720"/>
  <c r="X175" i="721"/>
  <c r="I53" i="473"/>
  <c r="I53" i="207"/>
  <c r="I54" i="207"/>
  <c r="X37" i="721"/>
  <c r="X37" i="720"/>
  <c r="E149" i="721"/>
  <c r="Y174" i="720"/>
  <c r="X191" i="720"/>
  <c r="Y191" i="720"/>
  <c r="Y188" i="720"/>
  <c r="AE496" i="720"/>
  <c r="AE659" i="720"/>
  <c r="AC658" i="720"/>
  <c r="AE538" i="720"/>
  <c r="AB585" i="721"/>
  <c r="AC585" i="721"/>
  <c r="AB585" i="720"/>
  <c r="AC585" i="720"/>
  <c r="AB446" i="720"/>
  <c r="AC446" i="720"/>
  <c r="AB446" i="721"/>
  <c r="AC446" i="721"/>
  <c r="AB413" i="720"/>
  <c r="AC413" i="720"/>
  <c r="AB413" i="721"/>
  <c r="AC413" i="721"/>
  <c r="I55" i="373"/>
  <c r="AB259" i="720"/>
  <c r="AC259" i="720"/>
  <c r="AB259" i="721"/>
  <c r="AC259" i="721"/>
  <c r="AB422" i="720"/>
  <c r="AC422" i="720"/>
  <c r="AB422" i="721"/>
  <c r="AC422" i="721"/>
  <c r="AE785" i="720"/>
  <c r="T687" i="720"/>
  <c r="AE687" i="720"/>
  <c r="AE688" i="720"/>
  <c r="T633" i="720"/>
  <c r="AC531" i="720"/>
  <c r="T166" i="720"/>
  <c r="AE166" i="720"/>
  <c r="AE168" i="720"/>
  <c r="AE720" i="720"/>
  <c r="AE499" i="720"/>
  <c r="AB702" i="720"/>
  <c r="AC702" i="720"/>
  <c r="AB702" i="721"/>
  <c r="AC702" i="721"/>
  <c r="AB246" i="720"/>
  <c r="AC246" i="720"/>
  <c r="AB246" i="721"/>
  <c r="AC246" i="721"/>
  <c r="AE653" i="720"/>
  <c r="AB398" i="720"/>
  <c r="AC398" i="720"/>
  <c r="AB398" i="721"/>
  <c r="AC398" i="721"/>
  <c r="AB217" i="721"/>
  <c r="AC217" i="721"/>
  <c r="AB217" i="720"/>
  <c r="AC217" i="720"/>
  <c r="AB138" i="720"/>
  <c r="AC138" i="720"/>
  <c r="AB138" i="721"/>
  <c r="AC138" i="721"/>
  <c r="AE506" i="720"/>
  <c r="AE760" i="721"/>
  <c r="AE762" i="720"/>
  <c r="AE671" i="720"/>
  <c r="T642" i="720"/>
  <c r="AE643" i="720"/>
  <c r="R554" i="720"/>
  <c r="AE551" i="720"/>
  <c r="O72" i="720"/>
  <c r="Q72" i="720"/>
  <c r="S72" i="720"/>
  <c r="D72" i="720"/>
  <c r="O73" i="720"/>
  <c r="P73" i="720"/>
  <c r="S175" i="720"/>
  <c r="S201" i="720"/>
  <c r="T201" i="720"/>
  <c r="S149" i="720"/>
  <c r="S148" i="720"/>
  <c r="AE532" i="720"/>
  <c r="AE22" i="720"/>
  <c r="AE524" i="720"/>
  <c r="AC758" i="720"/>
  <c r="AC602" i="721"/>
  <c r="AB380" i="721"/>
  <c r="AC380" i="721"/>
  <c r="AB380" i="720"/>
  <c r="AC380" i="720"/>
  <c r="AB269" i="721"/>
  <c r="AC269" i="721"/>
  <c r="AB269" i="720"/>
  <c r="AC269" i="720"/>
  <c r="AB207" i="720"/>
  <c r="AC207" i="720"/>
  <c r="AB207" i="721"/>
  <c r="AC207" i="721"/>
  <c r="AB573" i="720"/>
  <c r="AC573" i="720"/>
  <c r="AB573" i="721"/>
  <c r="AC573" i="721"/>
  <c r="I52" i="466"/>
  <c r="I54" i="466"/>
  <c r="AB260" i="721"/>
  <c r="AC260" i="721"/>
  <c r="AB260" i="720"/>
  <c r="AC260" i="720"/>
  <c r="S72" i="721"/>
  <c r="S73" i="721"/>
  <c r="T73" i="721"/>
  <c r="AA627" i="720"/>
  <c r="Z627" i="720"/>
  <c r="AC815" i="720"/>
  <c r="AC502" i="720"/>
  <c r="AB216" i="720"/>
  <c r="AC216" i="720"/>
  <c r="AB216" i="721"/>
  <c r="AC216" i="721"/>
  <c r="AB127" i="721"/>
  <c r="AC127" i="721"/>
  <c r="AB127" i="720"/>
  <c r="AC127" i="720"/>
  <c r="AB107" i="720"/>
  <c r="AC107" i="720"/>
  <c r="AB107" i="721"/>
  <c r="AC107" i="721"/>
  <c r="AB99" i="720"/>
  <c r="AC99" i="720"/>
  <c r="AB99" i="721"/>
  <c r="AC99" i="721"/>
  <c r="AC809" i="721"/>
  <c r="AC96" i="721"/>
  <c r="AC113" i="720"/>
  <c r="Z730" i="720"/>
  <c r="AA730" i="720"/>
  <c r="Z730" i="721"/>
  <c r="AA730" i="721"/>
  <c r="I52" i="283"/>
  <c r="Z44" i="720"/>
  <c r="Z44" i="721"/>
  <c r="AA44" i="721"/>
  <c r="AA43" i="721"/>
  <c r="I52" i="715"/>
  <c r="I54" i="715"/>
  <c r="F377" i="721"/>
  <c r="P377" i="721"/>
  <c r="J377" i="721"/>
  <c r="L377" i="721"/>
  <c r="R377" i="721"/>
  <c r="T377" i="721"/>
  <c r="AE377" i="721"/>
  <c r="N377" i="721"/>
  <c r="V180" i="720"/>
  <c r="V180" i="721"/>
  <c r="T252" i="721"/>
  <c r="AE252" i="721"/>
  <c r="AE253" i="721"/>
  <c r="L469" i="720"/>
  <c r="AC782" i="720"/>
  <c r="AE784" i="720"/>
  <c r="AE236" i="720"/>
  <c r="AC234" i="720"/>
  <c r="AE155" i="720"/>
  <c r="AB315" i="720"/>
  <c r="AC315" i="720"/>
  <c r="AC302" i="720"/>
  <c r="AE302" i="720"/>
  <c r="G727" i="720"/>
  <c r="AA734" i="720"/>
  <c r="AA744" i="720"/>
  <c r="AA727" i="720"/>
  <c r="Z727" i="720"/>
  <c r="F129" i="720"/>
  <c r="F128" i="720"/>
  <c r="R129" i="720"/>
  <c r="R128" i="720"/>
  <c r="T129" i="720"/>
  <c r="L129" i="720"/>
  <c r="L128" i="720"/>
  <c r="N129" i="720"/>
  <c r="N128" i="720"/>
  <c r="P129" i="720"/>
  <c r="P128" i="720"/>
  <c r="J129" i="720"/>
  <c r="J128" i="720"/>
  <c r="AE471" i="720"/>
  <c r="T470" i="720"/>
  <c r="AE438" i="720"/>
  <c r="AE751" i="720"/>
  <c r="AE798" i="720"/>
  <c r="AE186" i="720"/>
  <c r="AE560" i="720"/>
  <c r="AE503" i="720"/>
  <c r="T502" i="720"/>
  <c r="AE502" i="720"/>
  <c r="T54" i="720"/>
  <c r="AE55" i="720"/>
  <c r="AE833" i="720"/>
  <c r="AA679" i="720"/>
  <c r="AA664" i="720"/>
  <c r="Y627" i="721"/>
  <c r="X627" i="721"/>
  <c r="AC559" i="720"/>
  <c r="AE559" i="720"/>
  <c r="AE687" i="721"/>
  <c r="AE540" i="721"/>
  <c r="E44" i="721"/>
  <c r="I53" i="594"/>
  <c r="F55" i="485"/>
  <c r="H56" i="485"/>
  <c r="AA810" i="721"/>
  <c r="AA809" i="721"/>
  <c r="E810" i="721"/>
  <c r="I52" i="623"/>
  <c r="X162" i="720"/>
  <c r="Y162" i="720"/>
  <c r="Y151" i="720"/>
  <c r="X162" i="721"/>
  <c r="Y162" i="721"/>
  <c r="Y151" i="721"/>
  <c r="W64" i="721"/>
  <c r="W200" i="721"/>
  <c r="W597" i="720"/>
  <c r="AA482" i="720"/>
  <c r="W162" i="720"/>
  <c r="W151" i="720"/>
  <c r="E162" i="720"/>
  <c r="N162" i="720"/>
  <c r="F55" i="495"/>
  <c r="H56" i="495"/>
  <c r="I53" i="278"/>
  <c r="X577" i="721"/>
  <c r="Y577" i="721"/>
  <c r="X577" i="720"/>
  <c r="Y577" i="720"/>
  <c r="X79" i="720"/>
  <c r="X79" i="721"/>
  <c r="AA614" i="720"/>
  <c r="Y486" i="720"/>
  <c r="Y778" i="721"/>
  <c r="X50" i="721"/>
  <c r="X50" i="720"/>
  <c r="I53" i="645"/>
  <c r="X116" i="720"/>
  <c r="I53" i="573"/>
  <c r="X116" i="721"/>
  <c r="X61" i="721"/>
  <c r="Y61" i="721"/>
  <c r="X61" i="720"/>
  <c r="Y61" i="720"/>
  <c r="I53" i="460"/>
  <c r="X65" i="720"/>
  <c r="X65" i="721"/>
  <c r="Y65" i="721"/>
  <c r="I53" i="464"/>
  <c r="Y573" i="721"/>
  <c r="Y572" i="721"/>
  <c r="E573" i="721"/>
  <c r="H56" i="507"/>
  <c r="Y533" i="721"/>
  <c r="I53" i="581"/>
  <c r="X191" i="721"/>
  <c r="Y191" i="721"/>
  <c r="Y188" i="721"/>
  <c r="X180" i="721"/>
  <c r="Y180" i="721"/>
  <c r="X180" i="720"/>
  <c r="Y180" i="720"/>
  <c r="I53" i="242"/>
  <c r="Y485" i="721"/>
  <c r="E485" i="721"/>
  <c r="R485" i="721"/>
  <c r="Y174" i="721"/>
  <c r="K16" i="355"/>
  <c r="K18" i="355"/>
  <c r="N14" i="355"/>
  <c r="AE639" i="720"/>
  <c r="L764" i="720"/>
  <c r="AE764" i="720"/>
  <c r="AE539" i="720"/>
  <c r="AC537" i="720"/>
  <c r="AE537" i="720"/>
  <c r="AB418" i="721"/>
  <c r="AC418" i="721"/>
  <c r="AB418" i="720"/>
  <c r="AC418" i="720"/>
  <c r="X647" i="720"/>
  <c r="AB400" i="720"/>
  <c r="AC400" i="720"/>
  <c r="AB400" i="721"/>
  <c r="AC400" i="721"/>
  <c r="AC705" i="720"/>
  <c r="AB454" i="721"/>
  <c r="AC454" i="721"/>
  <c r="AB454" i="720"/>
  <c r="AC454" i="720"/>
  <c r="AB57" i="720"/>
  <c r="AC57" i="720"/>
  <c r="AB57" i="721"/>
  <c r="AC57" i="721"/>
  <c r="L13" i="445"/>
  <c r="L14" i="445"/>
  <c r="L12" i="445"/>
  <c r="AE678" i="720"/>
  <c r="T672" i="720"/>
  <c r="AE508" i="720"/>
  <c r="AE628" i="720"/>
  <c r="AC627" i="720"/>
  <c r="AC602" i="720"/>
  <c r="AB315" i="721"/>
  <c r="AC315" i="721"/>
  <c r="K73" i="721"/>
  <c r="K72" i="721"/>
  <c r="D873" i="721"/>
  <c r="I42" i="523"/>
  <c r="AB187" i="721"/>
  <c r="AC187" i="721"/>
  <c r="AB187" i="720"/>
  <c r="AC187" i="720"/>
  <c r="AC566" i="720"/>
  <c r="AB111" i="721"/>
  <c r="AC111" i="721"/>
  <c r="AB111" i="720"/>
  <c r="AC111" i="720"/>
  <c r="AC43" i="721"/>
  <c r="AB106" i="721"/>
  <c r="AC106" i="721"/>
  <c r="AB106" i="720"/>
  <c r="AC106" i="720"/>
  <c r="AB88" i="720"/>
  <c r="AC88" i="720"/>
  <c r="AB88" i="721"/>
  <c r="AC88" i="721"/>
  <c r="I52" i="558"/>
  <c r="AB61" i="720"/>
  <c r="AC61" i="720"/>
  <c r="AB61" i="721"/>
  <c r="AC61" i="721"/>
  <c r="Z498" i="720"/>
  <c r="AA498" i="720"/>
  <c r="Z516" i="721"/>
  <c r="AA516" i="721"/>
  <c r="Z498" i="721"/>
  <c r="AA498" i="721"/>
  <c r="Z516" i="720"/>
  <c r="AA516" i="720"/>
  <c r="F471" i="721"/>
  <c r="F470" i="721"/>
  <c r="G469" i="721"/>
  <c r="AA471" i="721"/>
  <c r="AA470" i="721"/>
  <c r="AA469" i="721"/>
  <c r="Z469" i="721"/>
  <c r="W471" i="721"/>
  <c r="W470" i="721"/>
  <c r="W469" i="721"/>
  <c r="V469" i="721"/>
  <c r="Y471" i="721"/>
  <c r="Y470" i="721"/>
  <c r="Y469" i="721"/>
  <c r="X469" i="721"/>
  <c r="AC471" i="721"/>
  <c r="L757" i="720"/>
  <c r="P672" i="720"/>
  <c r="G664" i="721"/>
  <c r="X664" i="721"/>
  <c r="Q73" i="721"/>
  <c r="R73" i="721"/>
  <c r="Q72" i="721"/>
  <c r="J679" i="720"/>
  <c r="AE666" i="720"/>
  <c r="N554" i="720"/>
  <c r="P554" i="720"/>
  <c r="AE501" i="720"/>
  <c r="AC370" i="720"/>
  <c r="AE370" i="720"/>
  <c r="AE372" i="720"/>
  <c r="L642" i="720"/>
  <c r="L627" i="720"/>
  <c r="S73" i="720"/>
  <c r="T73" i="720"/>
  <c r="AE765" i="720"/>
  <c r="Q73" i="720"/>
  <c r="R73" i="720"/>
  <c r="AA716" i="720"/>
  <c r="AA715" i="720"/>
  <c r="AE719" i="720"/>
  <c r="AE652" i="720"/>
  <c r="AE620" i="720"/>
  <c r="AE558" i="720"/>
  <c r="K175" i="720"/>
  <c r="K148" i="720"/>
  <c r="D148" i="720"/>
  <c r="K873" i="720"/>
  <c r="K149" i="720"/>
  <c r="D149" i="720"/>
  <c r="AE555" i="720"/>
  <c r="AE525" i="720"/>
  <c r="AB778" i="720"/>
  <c r="AC778" i="720"/>
  <c r="AB778" i="721"/>
  <c r="AC778" i="721"/>
  <c r="I52" i="709"/>
  <c r="I54" i="709"/>
  <c r="F55" i="709"/>
  <c r="AB575" i="721"/>
  <c r="AC575" i="721"/>
  <c r="AB575" i="720"/>
  <c r="I52" i="496"/>
  <c r="I54" i="496"/>
  <c r="F55" i="496"/>
  <c r="H56" i="496"/>
  <c r="AE494" i="720"/>
  <c r="R234" i="720"/>
  <c r="AB453" i="720"/>
  <c r="AC453" i="720"/>
  <c r="AB453" i="721"/>
  <c r="AC453" i="721"/>
  <c r="AB268" i="720"/>
  <c r="AC268" i="720"/>
  <c r="AC265" i="720"/>
  <c r="AB268" i="721"/>
  <c r="AC268" i="721"/>
  <c r="I53" i="597"/>
  <c r="AE528" i="720"/>
  <c r="AC527" i="720"/>
  <c r="AE527" i="720"/>
  <c r="L73" i="720"/>
  <c r="AB397" i="721"/>
  <c r="AC397" i="721"/>
  <c r="AB397" i="720"/>
  <c r="AC397" i="720"/>
  <c r="AB363" i="720"/>
  <c r="AC363" i="720"/>
  <c r="AB363" i="721"/>
  <c r="AC363" i="721"/>
  <c r="AC358" i="721"/>
  <c r="M72" i="721"/>
  <c r="M73" i="721"/>
  <c r="N73" i="721"/>
  <c r="AC815" i="721"/>
  <c r="AC705" i="721"/>
  <c r="AC265" i="721"/>
  <c r="AC202" i="720"/>
  <c r="AC194" i="721"/>
  <c r="AB67" i="721"/>
  <c r="AC67" i="721"/>
  <c r="AB67" i="720"/>
  <c r="AC67" i="720"/>
  <c r="AC113" i="721"/>
  <c r="AE654" i="720"/>
  <c r="AB94" i="721"/>
  <c r="AC94" i="721"/>
  <c r="AB94" i="720"/>
  <c r="AC94" i="720"/>
  <c r="AC75" i="720"/>
  <c r="AC809" i="720"/>
  <c r="F10" i="360"/>
  <c r="H10" i="360"/>
  <c r="I22" i="360"/>
  <c r="V432" i="721"/>
  <c r="F10" i="624"/>
  <c r="H10" i="624"/>
  <c r="F8" i="459"/>
  <c r="H8" i="459"/>
  <c r="F10" i="342"/>
  <c r="H10" i="342"/>
  <c r="I22" i="342"/>
  <c r="Z39" i="720"/>
  <c r="AA39" i="720"/>
  <c r="Z39" i="721"/>
  <c r="AA39" i="721"/>
  <c r="I52" i="386"/>
  <c r="I53" i="386"/>
  <c r="I54" i="386"/>
  <c r="F55" i="386"/>
  <c r="H56" i="386"/>
  <c r="AC103" i="721"/>
  <c r="AC316" i="720"/>
  <c r="AE316" i="720"/>
  <c r="F45" i="438"/>
  <c r="F43" i="438"/>
  <c r="F44" i="438"/>
  <c r="AA757" i="720"/>
  <c r="Z757" i="720"/>
  <c r="Z102" i="721"/>
  <c r="AA102" i="721"/>
  <c r="Z102" i="720"/>
  <c r="AA102" i="720"/>
  <c r="AA96" i="720"/>
  <c r="F8" i="683"/>
  <c r="H8" i="683"/>
  <c r="I22" i="683"/>
  <c r="V440" i="720"/>
  <c r="F456" i="721"/>
  <c r="P456" i="721"/>
  <c r="J456" i="721"/>
  <c r="L456" i="721"/>
  <c r="N456" i="721"/>
  <c r="T456" i="721"/>
  <c r="AE456" i="721"/>
  <c r="R456" i="721"/>
  <c r="R376" i="720"/>
  <c r="R375" i="720"/>
  <c r="T376" i="720"/>
  <c r="F376" i="720"/>
  <c r="G375" i="720"/>
  <c r="Z375" i="720"/>
  <c r="P376" i="720"/>
  <c r="P375" i="720"/>
  <c r="N376" i="720"/>
  <c r="N375" i="720"/>
  <c r="L376" i="720"/>
  <c r="L375" i="720"/>
  <c r="J376" i="720"/>
  <c r="N757" i="721"/>
  <c r="F324" i="721"/>
  <c r="P324" i="721"/>
  <c r="R324" i="721"/>
  <c r="L324" i="721"/>
  <c r="N324" i="721"/>
  <c r="J324" i="721"/>
  <c r="T324" i="721"/>
  <c r="AE324" i="721"/>
  <c r="L198" i="720"/>
  <c r="L197" i="720"/>
  <c r="T198" i="720"/>
  <c r="J198" i="720"/>
  <c r="J197" i="720"/>
  <c r="P198" i="720"/>
  <c r="P197" i="720"/>
  <c r="N198" i="720"/>
  <c r="N197" i="720"/>
  <c r="R198" i="720"/>
  <c r="R197" i="720"/>
  <c r="F198" i="720"/>
  <c r="F197" i="720"/>
  <c r="T354" i="720"/>
  <c r="AE354" i="720"/>
  <c r="AE356" i="720"/>
  <c r="J668" i="720"/>
  <c r="J665" i="720"/>
  <c r="L668" i="720"/>
  <c r="P668" i="720"/>
  <c r="P665" i="720"/>
  <c r="P664" i="720"/>
  <c r="T668" i="720"/>
  <c r="T665" i="720"/>
  <c r="T664" i="720"/>
  <c r="F668" i="720"/>
  <c r="F665" i="720"/>
  <c r="F679" i="720"/>
  <c r="G664" i="720"/>
  <c r="N668" i="720"/>
  <c r="N665" i="720"/>
  <c r="N664" i="720"/>
  <c r="R668" i="720"/>
  <c r="R665" i="720"/>
  <c r="R664" i="720"/>
  <c r="G757" i="721"/>
  <c r="AE790" i="720"/>
  <c r="Y744" i="720"/>
  <c r="W744" i="720"/>
  <c r="AE744" i="720"/>
  <c r="F56" i="721"/>
  <c r="N56" i="721"/>
  <c r="J56" i="721"/>
  <c r="P56" i="721"/>
  <c r="T56" i="721"/>
  <c r="AE56" i="721"/>
  <c r="L56" i="721"/>
  <c r="R56" i="721"/>
  <c r="G469" i="720"/>
  <c r="AE156" i="720"/>
  <c r="AE53" i="720"/>
  <c r="AE547" i="720"/>
  <c r="AC546" i="720"/>
  <c r="AE669" i="720"/>
  <c r="AE640" i="720"/>
  <c r="AE808" i="720"/>
  <c r="AE587" i="720"/>
  <c r="AE672" i="720"/>
  <c r="AE769" i="721"/>
  <c r="P727" i="720"/>
  <c r="R469" i="720"/>
  <c r="C43" i="438"/>
  <c r="C44" i="438"/>
  <c r="C45" i="438"/>
  <c r="F438" i="720"/>
  <c r="AE84" i="720"/>
  <c r="AC82" i="720"/>
  <c r="AE749" i="720"/>
  <c r="AC151" i="720"/>
  <c r="AE153" i="720"/>
  <c r="AC665" i="720"/>
  <c r="AE287" i="720"/>
  <c r="AE668" i="720"/>
  <c r="AE364" i="720"/>
  <c r="AE476" i="721"/>
  <c r="N469" i="721"/>
  <c r="W727" i="720"/>
  <c r="V727" i="720"/>
  <c r="AC693" i="720"/>
  <c r="AE696" i="720"/>
  <c r="AA151" i="720"/>
  <c r="AC96" i="720"/>
  <c r="V727" i="721"/>
  <c r="Z627" i="721"/>
  <c r="AC592" i="720"/>
  <c r="AE676" i="720"/>
  <c r="AE642" i="721"/>
  <c r="Y633" i="720"/>
  <c r="Y627" i="720"/>
  <c r="X627" i="720"/>
  <c r="AE688" i="721"/>
  <c r="F55" i="25"/>
  <c r="H56" i="25"/>
  <c r="V52" i="721"/>
  <c r="W52" i="721"/>
  <c r="V52" i="720"/>
  <c r="W52" i="720"/>
  <c r="I52" i="534"/>
  <c r="D45" i="534"/>
  <c r="H45" i="534"/>
  <c r="I50" i="534"/>
  <c r="I53" i="534"/>
  <c r="I54" i="534"/>
  <c r="I52" i="563"/>
  <c r="X340" i="720"/>
  <c r="W269" i="721"/>
  <c r="W62" i="721"/>
  <c r="I53" i="356"/>
  <c r="X140" i="721"/>
  <c r="Y140" i="721"/>
  <c r="X140" i="720"/>
  <c r="Y140" i="720"/>
  <c r="X148" i="720"/>
  <c r="I53" i="479"/>
  <c r="X820" i="721"/>
  <c r="Y820" i="721"/>
  <c r="I53" i="632"/>
  <c r="X820" i="720"/>
  <c r="Y820" i="720"/>
  <c r="W710" i="721"/>
  <c r="AA113" i="721"/>
  <c r="AA206" i="721"/>
  <c r="AA205" i="721"/>
  <c r="Y43" i="720"/>
  <c r="W64" i="720"/>
  <c r="X64" i="720"/>
  <c r="E64" i="720"/>
  <c r="F55" i="583"/>
  <c r="H56" i="583"/>
  <c r="W597" i="721"/>
  <c r="H17" i="27"/>
  <c r="W162" i="721"/>
  <c r="W151" i="721"/>
  <c r="E162" i="721"/>
  <c r="F55" i="291"/>
  <c r="H56" i="291"/>
  <c r="V246" i="720"/>
  <c r="V246" i="721"/>
  <c r="W246" i="721"/>
  <c r="I53" i="348"/>
  <c r="AA607" i="720"/>
  <c r="I35" i="24"/>
  <c r="G35" i="24"/>
  <c r="D45" i="262"/>
  <c r="H45" i="262"/>
  <c r="I50" i="262"/>
  <c r="I39" i="24"/>
  <c r="G39" i="24"/>
  <c r="X522" i="721"/>
  <c r="Y522" i="721"/>
  <c r="I53" i="508"/>
  <c r="X522" i="720"/>
  <c r="I53" i="530"/>
  <c r="X795" i="720"/>
  <c r="Y795" i="720"/>
  <c r="X795" i="721"/>
  <c r="Y795" i="721"/>
  <c r="I53" i="346"/>
  <c r="X106" i="720"/>
  <c r="Y106" i="720"/>
  <c r="X106" i="721"/>
  <c r="Y106" i="721"/>
  <c r="X104" i="721"/>
  <c r="Y104" i="721"/>
  <c r="X104" i="720"/>
  <c r="Y104" i="720"/>
  <c r="I53" i="231"/>
  <c r="V396" i="720"/>
  <c r="W396" i="720"/>
  <c r="I55" i="414"/>
  <c r="V396" i="721"/>
  <c r="W396" i="721"/>
  <c r="Y486" i="721"/>
  <c r="E486" i="721"/>
  <c r="Y778" i="720"/>
  <c r="X811" i="721"/>
  <c r="X811" i="720"/>
  <c r="X115" i="720"/>
  <c r="X115" i="721"/>
  <c r="Y115" i="721"/>
  <c r="I53" i="572"/>
  <c r="I54" i="572"/>
  <c r="X781" i="720"/>
  <c r="X781" i="721"/>
  <c r="I53" i="707"/>
  <c r="I54" i="707"/>
  <c r="X118" i="721"/>
  <c r="I53" i="574"/>
  <c r="X118" i="720"/>
  <c r="Y722" i="720"/>
  <c r="E722" i="720"/>
  <c r="F56" i="605"/>
  <c r="Y505" i="720"/>
  <c r="Y117" i="720"/>
  <c r="P72" i="720"/>
  <c r="P71" i="720"/>
  <c r="X178" i="720"/>
  <c r="X178" i="721"/>
  <c r="I53" i="484"/>
  <c r="I54" i="484"/>
  <c r="F55" i="484"/>
  <c r="Y485" i="720"/>
  <c r="Y482" i="720"/>
  <c r="E485" i="720"/>
  <c r="T485" i="720"/>
  <c r="X36" i="721"/>
  <c r="I53" i="206"/>
  <c r="I54" i="206"/>
  <c r="X36" i="720"/>
  <c r="X34" i="721"/>
  <c r="I53" i="200"/>
  <c r="X34" i="720"/>
  <c r="X35" i="720"/>
  <c r="X35" i="721"/>
  <c r="I53" i="205"/>
  <c r="I54" i="205"/>
  <c r="F55" i="205"/>
  <c r="H56" i="205"/>
  <c r="G873" i="721"/>
  <c r="K871" i="721"/>
  <c r="C845" i="721"/>
  <c r="C841" i="721"/>
  <c r="L665" i="720"/>
  <c r="L664" i="720"/>
  <c r="R633" i="720"/>
  <c r="R627" i="720"/>
  <c r="AA529" i="720"/>
  <c r="AE529" i="720"/>
  <c r="AE530" i="720"/>
  <c r="AE716" i="720"/>
  <c r="AC715" i="720"/>
  <c r="AB175" i="720"/>
  <c r="AB175" i="721"/>
  <c r="I52" i="473"/>
  <c r="I54" i="473"/>
  <c r="O72" i="721"/>
  <c r="O73" i="721"/>
  <c r="P73" i="721"/>
  <c r="AB191" i="720"/>
  <c r="AC191" i="720"/>
  <c r="AB191" i="721"/>
  <c r="AC191" i="721"/>
  <c r="AC194" i="720"/>
  <c r="AB92" i="721"/>
  <c r="AC92" i="721"/>
  <c r="AB92" i="720"/>
  <c r="AC92" i="720"/>
  <c r="I52" i="561"/>
  <c r="AB93" i="720"/>
  <c r="AC93" i="720"/>
  <c r="AB93" i="721"/>
  <c r="AC93" i="721"/>
  <c r="AC75" i="721"/>
  <c r="AC31" i="721"/>
  <c r="Z34" i="720"/>
  <c r="AA34" i="720"/>
  <c r="AA31" i="720"/>
  <c r="AA11" i="720"/>
  <c r="I52" i="200"/>
  <c r="I54" i="200"/>
  <c r="Z34" i="721"/>
  <c r="AA34" i="721"/>
  <c r="AA31" i="721"/>
  <c r="AA11" i="721"/>
  <c r="AB13" i="720"/>
  <c r="AC13" i="720"/>
  <c r="AB13" i="721"/>
  <c r="AC13" i="721"/>
  <c r="AC188" i="720"/>
  <c r="AA647" i="720"/>
  <c r="Z647" i="720"/>
  <c r="Z595" i="720"/>
  <c r="AA595" i="720"/>
  <c r="Z595" i="721"/>
  <c r="AA595" i="721"/>
  <c r="AC801" i="720"/>
  <c r="F450" i="721"/>
  <c r="N450" i="721"/>
  <c r="T450" i="721"/>
  <c r="AE450" i="721"/>
  <c r="R450" i="721"/>
  <c r="P450" i="721"/>
  <c r="J450" i="721"/>
  <c r="L450" i="721"/>
  <c r="F434" i="721"/>
  <c r="L434" i="721"/>
  <c r="R434" i="721"/>
  <c r="T434" i="721"/>
  <c r="AE434" i="721"/>
  <c r="N434" i="721"/>
  <c r="P434" i="721"/>
  <c r="J434" i="721"/>
  <c r="T336" i="720"/>
  <c r="N336" i="720"/>
  <c r="N335" i="720"/>
  <c r="P336" i="720"/>
  <c r="P335" i="720"/>
  <c r="R336" i="720"/>
  <c r="R335" i="720"/>
  <c r="J336" i="720"/>
  <c r="J335" i="720"/>
  <c r="F336" i="720"/>
  <c r="F335" i="720"/>
  <c r="L336" i="720"/>
  <c r="L335" i="720"/>
  <c r="F59" i="721"/>
  <c r="P59" i="721"/>
  <c r="J59" i="721"/>
  <c r="L59" i="721"/>
  <c r="T59" i="721"/>
  <c r="AE59" i="721"/>
  <c r="R59" i="721"/>
  <c r="N59" i="721"/>
  <c r="AE346" i="720"/>
  <c r="AE133" i="720"/>
  <c r="AC132" i="720"/>
  <c r="AE742" i="720"/>
  <c r="AE830" i="720"/>
  <c r="AE161" i="720"/>
  <c r="AC679" i="720"/>
  <c r="AE679" i="720"/>
  <c r="AE680" i="720"/>
  <c r="AC273" i="720"/>
  <c r="AE273" i="720"/>
  <c r="AE274" i="720"/>
  <c r="AE750" i="720"/>
  <c r="Y727" i="720"/>
  <c r="X727" i="720"/>
  <c r="AE735" i="720"/>
  <c r="AC664" i="721"/>
  <c r="AE665" i="721"/>
  <c r="J727" i="720"/>
  <c r="AE783" i="720"/>
  <c r="T782" i="720"/>
  <c r="N518" i="720"/>
  <c r="N517" i="720"/>
  <c r="T518" i="720"/>
  <c r="T517" i="720"/>
  <c r="J518" i="720"/>
  <c r="J517" i="720"/>
  <c r="P518" i="720"/>
  <c r="P517" i="720"/>
  <c r="R518" i="720"/>
  <c r="R517" i="720"/>
  <c r="L518" i="720"/>
  <c r="L517" i="720"/>
  <c r="H20" i="438"/>
  <c r="G42" i="438"/>
  <c r="AE27" i="720"/>
  <c r="AC225" i="720"/>
  <c r="AE227" i="720"/>
  <c r="AC727" i="721"/>
  <c r="AE728" i="721"/>
  <c r="J469" i="721"/>
  <c r="AC614" i="720"/>
  <c r="AE616" i="720"/>
  <c r="AE303" i="720"/>
  <c r="AB647" i="721"/>
  <c r="AE647" i="721"/>
  <c r="AC294" i="721"/>
  <c r="AC294" i="720"/>
  <c r="AE681" i="720"/>
  <c r="AE745" i="720"/>
  <c r="AC341" i="721"/>
  <c r="F55" i="471"/>
  <c r="H56" i="471"/>
  <c r="AC734" i="720"/>
  <c r="AB627" i="721"/>
  <c r="AE627" i="721"/>
  <c r="AC481" i="721"/>
  <c r="I52" i="450"/>
  <c r="V585" i="721"/>
  <c r="W585" i="721"/>
  <c r="V585" i="720"/>
  <c r="W585" i="720"/>
  <c r="I54" i="464"/>
  <c r="W818" i="720"/>
  <c r="E818" i="720"/>
  <c r="W277" i="721"/>
  <c r="E810" i="720"/>
  <c r="I52" i="501"/>
  <c r="D45" i="501"/>
  <c r="H45" i="501"/>
  <c r="I50" i="501"/>
  <c r="I53" i="501"/>
  <c r="I54" i="501"/>
  <c r="AA245" i="720"/>
  <c r="AA243" i="720"/>
  <c r="X63" i="720"/>
  <c r="E483" i="720"/>
  <c r="W483" i="720"/>
  <c r="I53" i="592"/>
  <c r="AA82" i="721"/>
  <c r="I54" i="645"/>
  <c r="F55" i="645"/>
  <c r="H56" i="645"/>
  <c r="X68" i="721"/>
  <c r="Y68" i="721"/>
  <c r="X68" i="720"/>
  <c r="Y68" i="720"/>
  <c r="I53" i="227"/>
  <c r="I53" i="550"/>
  <c r="X76" i="720"/>
  <c r="Y76" i="720"/>
  <c r="X76" i="721"/>
  <c r="Y76" i="721"/>
  <c r="X131" i="720"/>
  <c r="Y131" i="720"/>
  <c r="X131" i="721"/>
  <c r="Y131" i="721"/>
  <c r="I52" i="577"/>
  <c r="I54" i="573"/>
  <c r="W295" i="720"/>
  <c r="V292" i="720"/>
  <c r="W292" i="720"/>
  <c r="I53" i="434"/>
  <c r="D46" i="434"/>
  <c r="H46" i="434"/>
  <c r="I51" i="434"/>
  <c r="I54" i="434"/>
  <c r="I55" i="434"/>
  <c r="V292" i="721"/>
  <c r="I52" i="460"/>
  <c r="I54" i="460"/>
  <c r="W820" i="720"/>
  <c r="E820" i="720"/>
  <c r="W403" i="720"/>
  <c r="AA607" i="721"/>
  <c r="I40" i="24"/>
  <c r="G40" i="24"/>
  <c r="G34" i="24"/>
  <c r="X107" i="721"/>
  <c r="Y107" i="721"/>
  <c r="X107" i="720"/>
  <c r="Y107" i="720"/>
  <c r="I53" i="613"/>
  <c r="X340" i="721"/>
  <c r="Y340" i="721"/>
  <c r="Y340" i="720"/>
  <c r="I53" i="287"/>
  <c r="E575" i="721"/>
  <c r="Y575" i="721"/>
  <c r="AA614" i="721"/>
  <c r="F8" i="417"/>
  <c r="H8" i="417"/>
  <c r="I22" i="417"/>
  <c r="V399" i="721"/>
  <c r="Y493" i="721"/>
  <c r="I53" i="462"/>
  <c r="Y63" i="720"/>
  <c r="X63" i="721"/>
  <c r="X829" i="721"/>
  <c r="X829" i="720"/>
  <c r="I53" i="630"/>
  <c r="I54" i="630"/>
  <c r="I53" i="461"/>
  <c r="X62" i="720"/>
  <c r="Y62" i="720"/>
  <c r="X62" i="721"/>
  <c r="Y62" i="721"/>
  <c r="Y64" i="720"/>
  <c r="X64" i="721"/>
  <c r="Y64" i="721"/>
  <c r="I53" i="463"/>
  <c r="I54" i="463"/>
  <c r="Y520" i="721"/>
  <c r="E573" i="720"/>
  <c r="Y573" i="720"/>
  <c r="Y572" i="720"/>
  <c r="Y723" i="720"/>
  <c r="X187" i="721"/>
  <c r="X187" i="720"/>
  <c r="I53" i="579"/>
  <c r="F55" i="273"/>
  <c r="H56" i="273"/>
  <c r="X516" i="720"/>
  <c r="X498" i="721"/>
  <c r="X498" i="720"/>
  <c r="I53" i="625"/>
  <c r="X516" i="721"/>
  <c r="X39" i="720"/>
  <c r="X39" i="721"/>
  <c r="I54" i="628"/>
  <c r="E179" i="720"/>
  <c r="AA72" i="720"/>
  <c r="Y72" i="720"/>
  <c r="AC72" i="720"/>
  <c r="V664" i="720"/>
  <c r="X664" i="720"/>
  <c r="F8" i="416"/>
  <c r="H8" i="416"/>
  <c r="I22" i="416"/>
  <c r="AC188" i="721"/>
  <c r="Y35" i="721"/>
  <c r="E35" i="721"/>
  <c r="Y34" i="721"/>
  <c r="E34" i="721"/>
  <c r="E178" i="720"/>
  <c r="Y178" i="720"/>
  <c r="F55" i="707"/>
  <c r="H56" i="707"/>
  <c r="Y103" i="721"/>
  <c r="P162" i="721"/>
  <c r="P151" i="721"/>
  <c r="F162" i="721"/>
  <c r="F151" i="721"/>
  <c r="R162" i="721"/>
  <c r="R151" i="721"/>
  <c r="T162" i="721"/>
  <c r="L162" i="721"/>
  <c r="L151" i="721"/>
  <c r="AC358" i="720"/>
  <c r="AC575" i="720"/>
  <c r="E575" i="720"/>
  <c r="H56" i="709"/>
  <c r="K17" i="445"/>
  <c r="K19" i="445"/>
  <c r="N15" i="445"/>
  <c r="Y116" i="720"/>
  <c r="E116" i="720"/>
  <c r="Y79" i="720"/>
  <c r="N151" i="720"/>
  <c r="T162" i="720"/>
  <c r="AE633" i="720"/>
  <c r="AE234" i="720"/>
  <c r="AC81" i="721"/>
  <c r="AC572" i="721"/>
  <c r="AC206" i="720"/>
  <c r="AC757" i="720"/>
  <c r="AE758" i="720"/>
  <c r="AC302" i="721"/>
  <c r="AE302" i="721"/>
  <c r="Y37" i="720"/>
  <c r="E37" i="720"/>
  <c r="N722" i="721"/>
  <c r="P722" i="721"/>
  <c r="J722" i="721"/>
  <c r="R722" i="721"/>
  <c r="L722" i="721"/>
  <c r="F55" i="220"/>
  <c r="H56" i="220"/>
  <c r="E114" i="720"/>
  <c r="Y114" i="720"/>
  <c r="Y195" i="721"/>
  <c r="D45" i="285"/>
  <c r="H45" i="285"/>
  <c r="I50" i="285"/>
  <c r="D45" i="283"/>
  <c r="H45" i="283"/>
  <c r="I50" i="283"/>
  <c r="D45" i="621"/>
  <c r="H45" i="621"/>
  <c r="I50" i="621"/>
  <c r="D45" i="379"/>
  <c r="H45" i="379"/>
  <c r="I50" i="379"/>
  <c r="D45" i="284"/>
  <c r="H45" i="284"/>
  <c r="I50" i="284"/>
  <c r="D46" i="594"/>
  <c r="H46" i="594"/>
  <c r="I51" i="594"/>
  <c r="D46" i="716"/>
  <c r="H46" i="716"/>
  <c r="I51" i="716"/>
  <c r="D45" i="517"/>
  <c r="H45" i="517"/>
  <c r="I50" i="517"/>
  <c r="I53" i="517"/>
  <c r="I54" i="517"/>
  <c r="F55" i="517"/>
  <c r="H56" i="517"/>
  <c r="D45" i="561"/>
  <c r="H45" i="561"/>
  <c r="I50" i="561"/>
  <c r="D45" i="556"/>
  <c r="H45" i="556"/>
  <c r="I50" i="556"/>
  <c r="D45" i="569"/>
  <c r="H45" i="569"/>
  <c r="I50" i="569"/>
  <c r="D46" i="252"/>
  <c r="H46" i="252"/>
  <c r="I51" i="252"/>
  <c r="D46" i="639"/>
  <c r="H46" i="639"/>
  <c r="I51" i="639"/>
  <c r="D45" i="558"/>
  <c r="H45" i="558"/>
  <c r="I50" i="558"/>
  <c r="D46" i="600"/>
  <c r="H46" i="600"/>
  <c r="I51" i="600"/>
  <c r="D46" i="618"/>
  <c r="H46" i="618"/>
  <c r="I51" i="618"/>
  <c r="D45" i="557"/>
  <c r="H45" i="557"/>
  <c r="I50" i="557"/>
  <c r="D45" i="555"/>
  <c r="H45" i="555"/>
  <c r="I50" i="555"/>
  <c r="D46" i="591"/>
  <c r="H46" i="591"/>
  <c r="I51" i="591"/>
  <c r="D45" i="610"/>
  <c r="H45" i="610"/>
  <c r="I50" i="610"/>
  <c r="D47" i="607"/>
  <c r="H47" i="607"/>
  <c r="I52" i="607"/>
  <c r="D45" i="612"/>
  <c r="H45" i="612"/>
  <c r="I50" i="612"/>
  <c r="D46" i="614"/>
  <c r="H46" i="614"/>
  <c r="I51" i="614"/>
  <c r="D46" i="617"/>
  <c r="H46" i="617"/>
  <c r="I51" i="617"/>
  <c r="D46" i="407"/>
  <c r="H46" i="407"/>
  <c r="I51" i="407"/>
  <c r="D46" i="599"/>
  <c r="H46" i="599"/>
  <c r="I51" i="599"/>
  <c r="D46" i="592"/>
  <c r="H46" i="592"/>
  <c r="I51" i="592"/>
  <c r="D45" i="564"/>
  <c r="H45" i="564"/>
  <c r="I50" i="564"/>
  <c r="D45" i="516"/>
  <c r="H45" i="516"/>
  <c r="I50" i="516"/>
  <c r="D47" i="250"/>
  <c r="H47" i="250"/>
  <c r="I52" i="250"/>
  <c r="D45" i="604"/>
  <c r="H45" i="604"/>
  <c r="I50" i="604"/>
  <c r="D45" i="565"/>
  <c r="H45" i="565"/>
  <c r="I50" i="565"/>
  <c r="D46" i="403"/>
  <c r="H46" i="403"/>
  <c r="I51" i="403"/>
  <c r="D45" i="609"/>
  <c r="H45" i="609"/>
  <c r="I50" i="609"/>
  <c r="D46" i="597"/>
  <c r="H46" i="597"/>
  <c r="I51" i="597"/>
  <c r="D46" i="522"/>
  <c r="H46" i="522"/>
  <c r="I51" i="522"/>
  <c r="D47" i="251"/>
  <c r="H47" i="251"/>
  <c r="I52" i="251"/>
  <c r="D46" i="524"/>
  <c r="H46" i="524"/>
  <c r="I51" i="524"/>
  <c r="D46" i="620"/>
  <c r="H46" i="620"/>
  <c r="I51" i="620"/>
  <c r="D46" i="606"/>
  <c r="H46" i="606"/>
  <c r="I51" i="606"/>
  <c r="D45" i="306"/>
  <c r="H45" i="306"/>
  <c r="I50" i="306"/>
  <c r="D47" i="502"/>
  <c r="H47" i="502"/>
  <c r="I52" i="502"/>
  <c r="D46" i="608"/>
  <c r="H46" i="608"/>
  <c r="I51" i="608"/>
  <c r="D46" i="408"/>
  <c r="H46" i="408"/>
  <c r="I51" i="408"/>
  <c r="D46" i="409"/>
  <c r="H46" i="409"/>
  <c r="I51" i="409"/>
  <c r="D46" i="601"/>
  <c r="H46" i="601"/>
  <c r="I51" i="601"/>
  <c r="D46" i="523"/>
  <c r="H46" i="523"/>
  <c r="I51" i="523"/>
  <c r="D46" i="598"/>
  <c r="H46" i="598"/>
  <c r="I51" i="598"/>
  <c r="D45" i="611"/>
  <c r="H45" i="611"/>
  <c r="I50" i="611"/>
  <c r="D45" i="563"/>
  <c r="H45" i="563"/>
  <c r="I50" i="563"/>
  <c r="D46" i="593"/>
  <c r="H46" i="593"/>
  <c r="I51" i="593"/>
  <c r="D46" i="404"/>
  <c r="H46" i="404"/>
  <c r="I51" i="404"/>
  <c r="D45" i="566"/>
  <c r="H45" i="566"/>
  <c r="I50" i="566"/>
  <c r="D46" i="595"/>
  <c r="H46" i="595"/>
  <c r="I51" i="595"/>
  <c r="D46" i="619"/>
  <c r="H46" i="619"/>
  <c r="I51" i="619"/>
  <c r="D46" i="596"/>
  <c r="H46" i="596"/>
  <c r="I51" i="596"/>
  <c r="D45" i="568"/>
  <c r="H45" i="568"/>
  <c r="I50" i="568"/>
  <c r="D45" i="616"/>
  <c r="H45" i="616"/>
  <c r="I50" i="616"/>
  <c r="AE518" i="720"/>
  <c r="W192" i="721"/>
  <c r="AA801" i="721"/>
  <c r="AA775" i="721"/>
  <c r="W267" i="720"/>
  <c r="I53" i="262"/>
  <c r="I54" i="262"/>
  <c r="Y516" i="721"/>
  <c r="Y515" i="721"/>
  <c r="E516" i="721"/>
  <c r="Y187" i="720"/>
  <c r="Y63" i="721"/>
  <c r="V432" i="720"/>
  <c r="AC727" i="720"/>
  <c r="AE734" i="720"/>
  <c r="F8" i="367"/>
  <c r="H8" i="367"/>
  <c r="I22" i="367"/>
  <c r="F55" i="473"/>
  <c r="H56" i="473"/>
  <c r="Y34" i="720"/>
  <c r="E34" i="720"/>
  <c r="F55" i="206"/>
  <c r="H56" i="206"/>
  <c r="X18" i="720"/>
  <c r="Y18" i="720"/>
  <c r="X18" i="721"/>
  <c r="Y18" i="721"/>
  <c r="Y39" i="721"/>
  <c r="E39" i="721"/>
  <c r="Y498" i="720"/>
  <c r="Y495" i="720"/>
  <c r="R573" i="720"/>
  <c r="R572" i="720"/>
  <c r="F573" i="720"/>
  <c r="F572" i="720"/>
  <c r="Y829" i="720"/>
  <c r="E829" i="720"/>
  <c r="L483" i="720"/>
  <c r="J818" i="720"/>
  <c r="T818" i="720"/>
  <c r="P818" i="720"/>
  <c r="L818" i="720"/>
  <c r="F818" i="720"/>
  <c r="H42" i="438"/>
  <c r="G45" i="438"/>
  <c r="H45" i="438"/>
  <c r="G43" i="438"/>
  <c r="H43" i="438"/>
  <c r="G44" i="438"/>
  <c r="H44" i="438"/>
  <c r="AE132" i="720"/>
  <c r="L485" i="720"/>
  <c r="J485" i="720"/>
  <c r="R485" i="720"/>
  <c r="F13" i="708"/>
  <c r="H13" i="708"/>
  <c r="Y811" i="721"/>
  <c r="D45" i="497"/>
  <c r="H45" i="497"/>
  <c r="I50" i="497"/>
  <c r="D45" i="396"/>
  <c r="H45" i="396"/>
  <c r="I50" i="396"/>
  <c r="D45" i="392"/>
  <c r="H45" i="392"/>
  <c r="I50" i="392"/>
  <c r="D45" i="391"/>
  <c r="H45" i="391"/>
  <c r="I50" i="391"/>
  <c r="D49" i="358"/>
  <c r="H49" i="358"/>
  <c r="I54" i="358"/>
  <c r="D45" i="638"/>
  <c r="H45" i="638"/>
  <c r="I50" i="638"/>
  <c r="D45" i="333"/>
  <c r="H45" i="333"/>
  <c r="I50" i="333"/>
  <c r="D45" i="335"/>
  <c r="H45" i="335"/>
  <c r="I50" i="335"/>
  <c r="I53" i="335"/>
  <c r="I54" i="335"/>
  <c r="D45" i="336"/>
  <c r="H45" i="336"/>
  <c r="I50" i="336"/>
  <c r="I53" i="336"/>
  <c r="D45" i="436"/>
  <c r="H45" i="436"/>
  <c r="I50" i="436"/>
  <c r="D45" i="281"/>
  <c r="H45" i="281"/>
  <c r="I50" i="281"/>
  <c r="D45" i="304"/>
  <c r="H45" i="304"/>
  <c r="I50" i="304"/>
  <c r="D45" i="280"/>
  <c r="H45" i="280"/>
  <c r="I50" i="280"/>
  <c r="D45" i="279"/>
  <c r="H45" i="279"/>
  <c r="I50" i="279"/>
  <c r="J664" i="720"/>
  <c r="E39" i="720"/>
  <c r="Y39" i="720"/>
  <c r="Y498" i="721"/>
  <c r="Y495" i="721"/>
  <c r="Y829" i="721"/>
  <c r="E829" i="721"/>
  <c r="Y490" i="721"/>
  <c r="AB664" i="721"/>
  <c r="AE664" i="721"/>
  <c r="T335" i="720"/>
  <c r="AE335" i="720"/>
  <c r="AE336" i="720"/>
  <c r="K870" i="721"/>
  <c r="K872" i="721"/>
  <c r="K869" i="721"/>
  <c r="K868" i="721"/>
  <c r="E35" i="720"/>
  <c r="Y35" i="720"/>
  <c r="E36" i="720"/>
  <c r="Y36" i="720"/>
  <c r="R722" i="720"/>
  <c r="F722" i="720"/>
  <c r="L722" i="720"/>
  <c r="E118" i="720"/>
  <c r="Y118" i="720"/>
  <c r="Y781" i="721"/>
  <c r="E781" i="721"/>
  <c r="Y115" i="720"/>
  <c r="E115" i="720"/>
  <c r="J115" i="720"/>
  <c r="E778" i="720"/>
  <c r="Y522" i="720"/>
  <c r="D46" i="640"/>
  <c r="H46" i="640"/>
  <c r="I51" i="640"/>
  <c r="D45" i="448"/>
  <c r="H45" i="448"/>
  <c r="I50" i="448"/>
  <c r="D45" i="633"/>
  <c r="H45" i="633"/>
  <c r="I50" i="633"/>
  <c r="D45" i="450"/>
  <c r="H45" i="450"/>
  <c r="I50" i="450"/>
  <c r="D45" i="512"/>
  <c r="H45" i="512"/>
  <c r="I50" i="512"/>
  <c r="D45" i="649"/>
  <c r="H45" i="649"/>
  <c r="I50" i="649"/>
  <c r="D45" i="244"/>
  <c r="H45" i="244"/>
  <c r="I50" i="244"/>
  <c r="D45" i="587"/>
  <c r="H45" i="587"/>
  <c r="I50" i="587"/>
  <c r="D45" i="505"/>
  <c r="H45" i="505"/>
  <c r="I50" i="505"/>
  <c r="D45" i="504"/>
  <c r="H45" i="504"/>
  <c r="I50" i="504"/>
  <c r="D45" i="538"/>
  <c r="H45" i="538"/>
  <c r="I50" i="538"/>
  <c r="W246" i="720"/>
  <c r="E62" i="721"/>
  <c r="AC692" i="720"/>
  <c r="AE693" i="720"/>
  <c r="AC664" i="720"/>
  <c r="AE665" i="720"/>
  <c r="Z757" i="721"/>
  <c r="V757" i="721"/>
  <c r="X757" i="721"/>
  <c r="AB375" i="720"/>
  <c r="AC692" i="721"/>
  <c r="AC776" i="721"/>
  <c r="AA148" i="720"/>
  <c r="AC148" i="720"/>
  <c r="AC470" i="721"/>
  <c r="AE471" i="721"/>
  <c r="AA515" i="721"/>
  <c r="AB627" i="720"/>
  <c r="T485" i="721"/>
  <c r="L485" i="721"/>
  <c r="N485" i="721"/>
  <c r="P485" i="721"/>
  <c r="AE485" i="721"/>
  <c r="F485" i="721"/>
  <c r="J485" i="721"/>
  <c r="Y531" i="721"/>
  <c r="E778" i="721"/>
  <c r="F55" i="553"/>
  <c r="H56" i="553"/>
  <c r="E64" i="721"/>
  <c r="N810" i="721"/>
  <c r="P810" i="721"/>
  <c r="Z664" i="720"/>
  <c r="T128" i="720"/>
  <c r="AE128" i="720"/>
  <c r="AE129" i="720"/>
  <c r="AA44" i="720"/>
  <c r="E44" i="720"/>
  <c r="AC572" i="720"/>
  <c r="AC245" i="721"/>
  <c r="AC257" i="721"/>
  <c r="AE658" i="720"/>
  <c r="AC647" i="720"/>
  <c r="Y37" i="721"/>
  <c r="E37" i="721"/>
  <c r="Y721" i="721"/>
  <c r="Y813" i="721"/>
  <c r="E813" i="721"/>
  <c r="Y195" i="720"/>
  <c r="D45" i="535"/>
  <c r="H45" i="535"/>
  <c r="I50" i="535"/>
  <c r="D45" i="137"/>
  <c r="H45" i="137"/>
  <c r="I50" i="137"/>
  <c r="D46" i="348"/>
  <c r="H46" i="348"/>
  <c r="I51" i="348"/>
  <c r="D45" i="499"/>
  <c r="H45" i="499"/>
  <c r="I50" i="499"/>
  <c r="D46" i="347"/>
  <c r="H46" i="347"/>
  <c r="I50" i="347"/>
  <c r="D46" i="646"/>
  <c r="H46" i="646"/>
  <c r="I50" i="646"/>
  <c r="D45" i="537"/>
  <c r="H45" i="537"/>
  <c r="I50" i="537"/>
  <c r="D46" i="708"/>
  <c r="H46" i="708"/>
  <c r="I50" i="708"/>
  <c r="D46" i="588"/>
  <c r="H46" i="588"/>
  <c r="I51" i="588"/>
  <c r="D45" i="509"/>
  <c r="H45" i="509"/>
  <c r="I50" i="509"/>
  <c r="D45" i="263"/>
  <c r="H45" i="263"/>
  <c r="I50" i="263"/>
  <c r="I53" i="263"/>
  <c r="F200" i="720"/>
  <c r="R200" i="720"/>
  <c r="P200" i="720"/>
  <c r="T200" i="720"/>
  <c r="AA96" i="721"/>
  <c r="AA81" i="721"/>
  <c r="Y816" i="721"/>
  <c r="E816" i="721"/>
  <c r="AA81" i="720"/>
  <c r="E65" i="721"/>
  <c r="AB757" i="721"/>
  <c r="T475" i="720"/>
  <c r="AE475" i="720"/>
  <c r="AE476" i="720"/>
  <c r="T757" i="721"/>
  <c r="AE757" i="721"/>
  <c r="AE758" i="721"/>
  <c r="AA801" i="720"/>
  <c r="AA775" i="720"/>
  <c r="AA151" i="721"/>
  <c r="E516" i="720"/>
  <c r="Y516" i="720"/>
  <c r="Y515" i="720"/>
  <c r="F575" i="721"/>
  <c r="P575" i="721"/>
  <c r="D48" i="700"/>
  <c r="H48" i="700"/>
  <c r="I53" i="700"/>
  <c r="D48" i="432"/>
  <c r="H48" i="432"/>
  <c r="I53" i="432"/>
  <c r="D48" i="417"/>
  <c r="H48" i="417"/>
  <c r="I53" i="417"/>
  <c r="D48" i="394"/>
  <c r="H48" i="394"/>
  <c r="I53" i="394"/>
  <c r="D48" i="414"/>
  <c r="H48" i="414"/>
  <c r="I53" i="414"/>
  <c r="D48" i="373"/>
  <c r="H48" i="373"/>
  <c r="I53" i="373"/>
  <c r="D48" i="695"/>
  <c r="H48" i="695"/>
  <c r="I53" i="695"/>
  <c r="D48" i="367"/>
  <c r="H48" i="367"/>
  <c r="I53" i="367"/>
  <c r="D48" i="698"/>
  <c r="H48" i="698"/>
  <c r="I53" i="698"/>
  <c r="D48" i="422"/>
  <c r="H48" i="422"/>
  <c r="I53" i="422"/>
  <c r="D48" i="423"/>
  <c r="H48" i="423"/>
  <c r="I53" i="423"/>
  <c r="D48" i="429"/>
  <c r="H48" i="429"/>
  <c r="I53" i="429"/>
  <c r="D48" i="416"/>
  <c r="H48" i="416"/>
  <c r="I53" i="416"/>
  <c r="D48" i="426"/>
  <c r="H48" i="426"/>
  <c r="I53" i="426"/>
  <c r="D48" i="412"/>
  <c r="H48" i="412"/>
  <c r="I53" i="412"/>
  <c r="D48" i="421"/>
  <c r="H48" i="421"/>
  <c r="I53" i="421"/>
  <c r="D48" i="705"/>
  <c r="H48" i="705"/>
  <c r="I53" i="705"/>
  <c r="D48" i="684"/>
  <c r="H48" i="684"/>
  <c r="I53" i="684"/>
  <c r="D48" i="420"/>
  <c r="H48" i="420"/>
  <c r="I53" i="420"/>
  <c r="D48" i="390"/>
  <c r="H48" i="390"/>
  <c r="I53" i="390"/>
  <c r="D48" i="673"/>
  <c r="H48" i="673"/>
  <c r="I53" i="673"/>
  <c r="D48" i="685"/>
  <c r="H48" i="685"/>
  <c r="I53" i="685"/>
  <c r="D48" i="691"/>
  <c r="H48" i="691"/>
  <c r="I53" i="691"/>
  <c r="D48" i="312"/>
  <c r="H48" i="312"/>
  <c r="I53" i="312"/>
  <c r="D48" i="687"/>
  <c r="H48" i="687"/>
  <c r="I53" i="687"/>
  <c r="D48" i="430"/>
  <c r="H48" i="430"/>
  <c r="I53" i="430"/>
  <c r="D48" i="413"/>
  <c r="H48" i="413"/>
  <c r="I53" i="413"/>
  <c r="D48" i="683"/>
  <c r="H48" i="683"/>
  <c r="I53" i="683"/>
  <c r="D48" i="382"/>
  <c r="H48" i="382"/>
  <c r="I53" i="382"/>
  <c r="D48" i="688"/>
  <c r="H48" i="688"/>
  <c r="I53" i="688"/>
  <c r="D48" i="406"/>
  <c r="H48" i="406"/>
  <c r="I53" i="406"/>
  <c r="D48" i="689"/>
  <c r="H48" i="689"/>
  <c r="I53" i="689"/>
  <c r="D48" i="703"/>
  <c r="H48" i="703"/>
  <c r="I53" i="703"/>
  <c r="D48" i="674"/>
  <c r="H48" i="674"/>
  <c r="I53" i="674"/>
  <c r="D48" i="690"/>
  <c r="H48" i="690"/>
  <c r="I53" i="690"/>
  <c r="D48" i="431"/>
  <c r="H48" i="431"/>
  <c r="I53" i="431"/>
  <c r="D48" i="418"/>
  <c r="H48" i="418"/>
  <c r="I53" i="418"/>
  <c r="D48" i="435"/>
  <c r="H48" i="435"/>
  <c r="I53" i="435"/>
  <c r="D48" i="384"/>
  <c r="H48" i="384"/>
  <c r="I53" i="384"/>
  <c r="D48" i="701"/>
  <c r="H48" i="701"/>
  <c r="I53" i="701"/>
  <c r="D48" i="342"/>
  <c r="H48" i="342"/>
  <c r="I53" i="342"/>
  <c r="D48" i="433"/>
  <c r="H48" i="433"/>
  <c r="I53" i="433"/>
  <c r="D48" i="339"/>
  <c r="H48" i="339"/>
  <c r="I53" i="339"/>
  <c r="D48" i="383"/>
  <c r="H48" i="383"/>
  <c r="I53" i="383"/>
  <c r="D48" i="374"/>
  <c r="H48" i="374"/>
  <c r="I53" i="374"/>
  <c r="D48" i="398"/>
  <c r="H48" i="398"/>
  <c r="I53" i="398"/>
  <c r="D48" i="677"/>
  <c r="H48" i="677"/>
  <c r="I53" i="677"/>
  <c r="D48" i="371"/>
  <c r="H48" i="371"/>
  <c r="I53" i="371"/>
  <c r="D48" i="624"/>
  <c r="H48" i="624"/>
  <c r="I53" i="624"/>
  <c r="D48" i="415"/>
  <c r="H48" i="415"/>
  <c r="I53" i="415"/>
  <c r="D48" i="697"/>
  <c r="H48" i="697"/>
  <c r="I53" i="697"/>
  <c r="D48" i="340"/>
  <c r="H48" i="340"/>
  <c r="I53" i="340"/>
  <c r="D48" i="368"/>
  <c r="H48" i="368"/>
  <c r="I53" i="368"/>
  <c r="D48" i="459"/>
  <c r="H48" i="459"/>
  <c r="I53" i="459"/>
  <c r="D48" i="343"/>
  <c r="H48" i="343"/>
  <c r="I53" i="343"/>
  <c r="D48" i="360"/>
  <c r="H48" i="360"/>
  <c r="I53" i="360"/>
  <c r="D48" i="696"/>
  <c r="H48" i="696"/>
  <c r="I53" i="696"/>
  <c r="D48" i="704"/>
  <c r="H48" i="704"/>
  <c r="I53" i="704"/>
  <c r="D48" i="376"/>
  <c r="H48" i="376"/>
  <c r="I53" i="376"/>
  <c r="Y79" i="721"/>
  <c r="Y75" i="721"/>
  <c r="AA592" i="721"/>
  <c r="Y721" i="720"/>
  <c r="E781" i="720"/>
  <c r="P781" i="720"/>
  <c r="Y781" i="720"/>
  <c r="Y811" i="720"/>
  <c r="E811" i="720"/>
  <c r="Y776" i="720"/>
  <c r="R64" i="720"/>
  <c r="P64" i="720"/>
  <c r="Y148" i="720"/>
  <c r="AC580" i="720"/>
  <c r="AE546" i="720"/>
  <c r="X469" i="720"/>
  <c r="Z469" i="720"/>
  <c r="AB469" i="720"/>
  <c r="T375" i="720"/>
  <c r="AE375" i="720"/>
  <c r="AE376" i="720"/>
  <c r="V440" i="721"/>
  <c r="I55" i="683"/>
  <c r="K201" i="720"/>
  <c r="D175" i="720"/>
  <c r="AA515" i="720"/>
  <c r="AA495" i="720"/>
  <c r="AB278" i="721"/>
  <c r="AC278" i="721"/>
  <c r="AB278" i="720"/>
  <c r="AC278" i="720"/>
  <c r="D72" i="721"/>
  <c r="AC54" i="721"/>
  <c r="AE54" i="721"/>
  <c r="Y482" i="721"/>
  <c r="Y481" i="721"/>
  <c r="J573" i="721"/>
  <c r="J572" i="721"/>
  <c r="F573" i="721"/>
  <c r="F572" i="721"/>
  <c r="N573" i="721"/>
  <c r="N572" i="721"/>
  <c r="P573" i="721"/>
  <c r="P572" i="721"/>
  <c r="R573" i="721"/>
  <c r="R572" i="721"/>
  <c r="Y65" i="720"/>
  <c r="E116" i="721"/>
  <c r="Y116" i="721"/>
  <c r="Y50" i="720"/>
  <c r="E50" i="720"/>
  <c r="Y776" i="721"/>
  <c r="W180" i="721"/>
  <c r="E180" i="721"/>
  <c r="T180" i="721"/>
  <c r="R180" i="721"/>
  <c r="P180" i="721"/>
  <c r="N180" i="721"/>
  <c r="L180" i="721"/>
  <c r="AE180" i="721"/>
  <c r="AC580" i="721"/>
  <c r="AE642" i="720"/>
  <c r="AC245" i="720"/>
  <c r="AC257" i="720"/>
  <c r="AE554" i="720"/>
  <c r="F55" i="207"/>
  <c r="E175" i="721"/>
  <c r="Y48" i="721"/>
  <c r="E48" i="721"/>
  <c r="E813" i="720"/>
  <c r="Y813" i="720"/>
  <c r="W286" i="720"/>
  <c r="Y816" i="720"/>
  <c r="AE124" i="720"/>
  <c r="Z664" i="721"/>
  <c r="AC481" i="720"/>
  <c r="AE728" i="720"/>
  <c r="T727" i="720"/>
  <c r="T142" i="720"/>
  <c r="AE142" i="720"/>
  <c r="AE143" i="720"/>
  <c r="AC103" i="720"/>
  <c r="P810" i="720"/>
  <c r="N810" i="720"/>
  <c r="AC12" i="721"/>
  <c r="AC776" i="720"/>
  <c r="Y187" i="721"/>
  <c r="F55" i="630"/>
  <c r="H56" i="630"/>
  <c r="I55" i="417"/>
  <c r="I56" i="417"/>
  <c r="I57" i="417"/>
  <c r="V399" i="720"/>
  <c r="D45" i="539"/>
  <c r="H45" i="539"/>
  <c r="I50" i="539"/>
  <c r="D45" i="541"/>
  <c r="H45" i="541"/>
  <c r="I50" i="541"/>
  <c r="D45" i="542"/>
  <c r="H45" i="542"/>
  <c r="I50" i="542"/>
  <c r="D44" i="543"/>
  <c r="H44" i="543"/>
  <c r="I49" i="543"/>
  <c r="D45" i="540"/>
  <c r="H45" i="540"/>
  <c r="I50" i="540"/>
  <c r="F55" i="460"/>
  <c r="W292" i="721"/>
  <c r="Y75" i="720"/>
  <c r="AB727" i="721"/>
  <c r="AE727" i="721"/>
  <c r="AA592" i="720"/>
  <c r="AA580" i="720"/>
  <c r="AC12" i="720"/>
  <c r="F55" i="200"/>
  <c r="H56" i="200"/>
  <c r="Q148" i="721"/>
  <c r="Q149" i="721"/>
  <c r="Q175" i="721"/>
  <c r="Q201" i="721"/>
  <c r="R201" i="721"/>
  <c r="Y36" i="721"/>
  <c r="E36" i="721"/>
  <c r="Y178" i="721"/>
  <c r="E178" i="721"/>
  <c r="Y118" i="721"/>
  <c r="E118" i="721"/>
  <c r="F55" i="572"/>
  <c r="H56" i="572"/>
  <c r="F55" i="533"/>
  <c r="L486" i="721"/>
  <c r="Y103" i="720"/>
  <c r="D48" i="197"/>
  <c r="H48" i="197"/>
  <c r="I53" i="197"/>
  <c r="AE198" i="720"/>
  <c r="T197" i="720"/>
  <c r="AE197" i="720"/>
  <c r="D73" i="720"/>
  <c r="AC149" i="720"/>
  <c r="F149" i="720"/>
  <c r="W149" i="720"/>
  <c r="AA149" i="720"/>
  <c r="AA495" i="721"/>
  <c r="D73" i="721"/>
  <c r="L73" i="721"/>
  <c r="AC54" i="720"/>
  <c r="AE54" i="720"/>
  <c r="Y149" i="720"/>
  <c r="R72" i="721"/>
  <c r="R71" i="721"/>
  <c r="J72" i="721"/>
  <c r="J71" i="721"/>
  <c r="P72" i="721"/>
  <c r="P71" i="721"/>
  <c r="N72" i="721"/>
  <c r="N71" i="721"/>
  <c r="E50" i="721"/>
  <c r="R50" i="721"/>
  <c r="Y50" i="721"/>
  <c r="R200" i="721"/>
  <c r="N200" i="721"/>
  <c r="L200" i="721"/>
  <c r="T200" i="721"/>
  <c r="F200" i="721"/>
  <c r="P200" i="721"/>
  <c r="J200" i="721"/>
  <c r="P44" i="721"/>
  <c r="R44" i="721"/>
  <c r="R43" i="721"/>
  <c r="T44" i="721"/>
  <c r="F44" i="721"/>
  <c r="F43" i="721"/>
  <c r="J44" i="721"/>
  <c r="J43" i="721"/>
  <c r="N44" i="721"/>
  <c r="N43" i="721"/>
  <c r="L44" i="721"/>
  <c r="L43" i="721"/>
  <c r="AE470" i="720"/>
  <c r="T469" i="720"/>
  <c r="AE469" i="720"/>
  <c r="AE782" i="720"/>
  <c r="I54" i="242"/>
  <c r="F55" i="242"/>
  <c r="H56" i="242"/>
  <c r="F55" i="715"/>
  <c r="H56" i="715"/>
  <c r="F55" i="466"/>
  <c r="H56" i="466"/>
  <c r="AC206" i="721"/>
  <c r="T627" i="720"/>
  <c r="AE627" i="720"/>
  <c r="E175" i="720"/>
  <c r="Y175" i="720"/>
  <c r="Y173" i="720"/>
  <c r="V436" i="721"/>
  <c r="V436" i="720"/>
  <c r="Y48" i="720"/>
  <c r="E48" i="720"/>
  <c r="E114" i="721"/>
  <c r="Y114" i="721"/>
  <c r="Y490" i="720"/>
  <c r="F55" i="271"/>
  <c r="H56" i="271"/>
  <c r="V664" i="721"/>
  <c r="AB328" i="720"/>
  <c r="AE328" i="720"/>
  <c r="AE517" i="720"/>
  <c r="W267" i="721"/>
  <c r="W265" i="721"/>
  <c r="I53" i="623"/>
  <c r="V469" i="720"/>
  <c r="Y194" i="720"/>
  <c r="Y172" i="720"/>
  <c r="X432" i="721"/>
  <c r="Y432" i="721"/>
  <c r="I56" i="360"/>
  <c r="X432" i="720"/>
  <c r="Y432" i="720"/>
  <c r="X387" i="720"/>
  <c r="X387" i="721"/>
  <c r="I56" i="383"/>
  <c r="X446" i="720"/>
  <c r="Y446" i="720"/>
  <c r="I56" i="689"/>
  <c r="X446" i="721"/>
  <c r="Y446" i="721"/>
  <c r="X402" i="720"/>
  <c r="Y402" i="720"/>
  <c r="I56" i="421"/>
  <c r="X402" i="721"/>
  <c r="Y402" i="721"/>
  <c r="X590" i="721"/>
  <c r="I54" i="640"/>
  <c r="I55" i="640"/>
  <c r="X590" i="720"/>
  <c r="J781" i="721"/>
  <c r="T781" i="721"/>
  <c r="F781" i="721"/>
  <c r="S175" i="721"/>
  <c r="S201" i="721"/>
  <c r="T201" i="721"/>
  <c r="S149" i="721"/>
  <c r="T149" i="721"/>
  <c r="S148" i="721"/>
  <c r="N39" i="720"/>
  <c r="T39" i="720"/>
  <c r="F39" i="720"/>
  <c r="P39" i="720"/>
  <c r="L39" i="720"/>
  <c r="R39" i="720"/>
  <c r="X597" i="721"/>
  <c r="X597" i="720"/>
  <c r="I53" i="280"/>
  <c r="I54" i="280"/>
  <c r="X610" i="720"/>
  <c r="X610" i="721"/>
  <c r="I53" i="392"/>
  <c r="I54" i="392"/>
  <c r="Y809" i="721"/>
  <c r="F55" i="262"/>
  <c r="H56" i="262"/>
  <c r="L192" i="721"/>
  <c r="I53" i="568"/>
  <c r="X100" i="721"/>
  <c r="X100" i="720"/>
  <c r="X98" i="720"/>
  <c r="I53" i="566"/>
  <c r="X98" i="721"/>
  <c r="X314" i="721"/>
  <c r="I53" i="611"/>
  <c r="X314" i="720"/>
  <c r="I54" i="601"/>
  <c r="X297" i="720"/>
  <c r="X297" i="721"/>
  <c r="X292" i="721"/>
  <c r="X292" i="720"/>
  <c r="X304" i="721"/>
  <c r="X304" i="720"/>
  <c r="I54" i="606"/>
  <c r="X306" i="720"/>
  <c r="Y306" i="720"/>
  <c r="X306" i="721"/>
  <c r="Y306" i="721"/>
  <c r="I55" i="251"/>
  <c r="X286" i="721"/>
  <c r="I54" i="403"/>
  <c r="X286" i="720"/>
  <c r="X83" i="720"/>
  <c r="X334" i="721"/>
  <c r="X83" i="721"/>
  <c r="I53" i="516"/>
  <c r="I54" i="516"/>
  <c r="X334" i="720"/>
  <c r="X289" i="721"/>
  <c r="X289" i="720"/>
  <c r="I54" i="407"/>
  <c r="X307" i="721"/>
  <c r="X307" i="720"/>
  <c r="I55" i="607"/>
  <c r="X87" i="721"/>
  <c r="X87" i="720"/>
  <c r="I53" i="557"/>
  <c r="I54" i="557"/>
  <c r="X293" i="721"/>
  <c r="X293" i="720"/>
  <c r="X86" i="720"/>
  <c r="X86" i="721"/>
  <c r="I53" i="556"/>
  <c r="I54" i="556"/>
  <c r="X261" i="721"/>
  <c r="X261" i="720"/>
  <c r="I54" i="716"/>
  <c r="X826" i="721"/>
  <c r="I53" i="621"/>
  <c r="I54" i="621"/>
  <c r="X826" i="720"/>
  <c r="N114" i="720"/>
  <c r="T114" i="720"/>
  <c r="R114" i="720"/>
  <c r="L114" i="720"/>
  <c r="P114" i="720"/>
  <c r="AE114" i="720"/>
  <c r="F114" i="720"/>
  <c r="J114" i="720"/>
  <c r="AC205" i="720"/>
  <c r="F178" i="720"/>
  <c r="W436" i="721"/>
  <c r="Y809" i="720"/>
  <c r="I56" i="371"/>
  <c r="X412" i="721"/>
  <c r="Y412" i="721"/>
  <c r="X412" i="720"/>
  <c r="Y412" i="720"/>
  <c r="I56" i="431"/>
  <c r="X407" i="720"/>
  <c r="Y407" i="720"/>
  <c r="X407" i="721"/>
  <c r="Y407" i="721"/>
  <c r="I56" i="390"/>
  <c r="X389" i="720"/>
  <c r="Y389" i="720"/>
  <c r="X389" i="721"/>
  <c r="Y389" i="721"/>
  <c r="I56" i="394"/>
  <c r="X390" i="720"/>
  <c r="Y390" i="720"/>
  <c r="X390" i="721"/>
  <c r="Y390" i="721"/>
  <c r="P516" i="720"/>
  <c r="P515" i="720"/>
  <c r="L516" i="720"/>
  <c r="L515" i="720"/>
  <c r="J516" i="720"/>
  <c r="J515" i="720"/>
  <c r="N516" i="720"/>
  <c r="N515" i="720"/>
  <c r="R516" i="720"/>
  <c r="R515" i="720"/>
  <c r="F516" i="720"/>
  <c r="F515" i="720"/>
  <c r="T516" i="720"/>
  <c r="R816" i="721"/>
  <c r="P816" i="721"/>
  <c r="I53" i="347"/>
  <c r="X146" i="720"/>
  <c r="Y146" i="720"/>
  <c r="X146" i="721"/>
  <c r="Y146" i="721"/>
  <c r="P64" i="721"/>
  <c r="F64" i="721"/>
  <c r="AA147" i="720"/>
  <c r="AA123" i="720"/>
  <c r="AC775" i="721"/>
  <c r="X230" i="721"/>
  <c r="Y230" i="721"/>
  <c r="I53" i="505"/>
  <c r="X230" i="720"/>
  <c r="Y230" i="720"/>
  <c r="I53" i="512"/>
  <c r="I54" i="512"/>
  <c r="X588" i="721"/>
  <c r="X588" i="720"/>
  <c r="F36" i="720"/>
  <c r="L36" i="720"/>
  <c r="R36" i="720"/>
  <c r="N36" i="720"/>
  <c r="P36" i="720"/>
  <c r="T36" i="720"/>
  <c r="J36" i="720"/>
  <c r="T34" i="720"/>
  <c r="P34" i="720"/>
  <c r="N34" i="720"/>
  <c r="L34" i="720"/>
  <c r="F34" i="720"/>
  <c r="R34" i="720"/>
  <c r="J34" i="720"/>
  <c r="F114" i="721"/>
  <c r="L114" i="721"/>
  <c r="AC205" i="721"/>
  <c r="F73" i="721"/>
  <c r="AA73" i="721"/>
  <c r="W73" i="721"/>
  <c r="Y73" i="721"/>
  <c r="AC73" i="721"/>
  <c r="J36" i="721"/>
  <c r="L36" i="721"/>
  <c r="T36" i="721"/>
  <c r="N36" i="721"/>
  <c r="P36" i="721"/>
  <c r="F36" i="721"/>
  <c r="R36" i="721"/>
  <c r="I53" i="542"/>
  <c r="X362" i="720"/>
  <c r="X362" i="721"/>
  <c r="W399" i="721"/>
  <c r="P813" i="720"/>
  <c r="L813" i="720"/>
  <c r="R813" i="720"/>
  <c r="F10" i="312"/>
  <c r="H10" i="312"/>
  <c r="W175" i="720"/>
  <c r="AA175" i="720"/>
  <c r="AA173" i="720"/>
  <c r="AA172" i="720"/>
  <c r="W440" i="721"/>
  <c r="AA580" i="721"/>
  <c r="I56" i="376"/>
  <c r="X415" i="720"/>
  <c r="Y415" i="720"/>
  <c r="X415" i="721"/>
  <c r="Y415" i="721"/>
  <c r="I56" i="343"/>
  <c r="X410" i="720"/>
  <c r="Y410" i="720"/>
  <c r="X410" i="721"/>
  <c r="Y410" i="721"/>
  <c r="X454" i="721"/>
  <c r="X454" i="720"/>
  <c r="I56" i="697"/>
  <c r="I57" i="697"/>
  <c r="X439" i="721"/>
  <c r="Y439" i="721"/>
  <c r="X439" i="720"/>
  <c r="Y439" i="720"/>
  <c r="I56" i="677"/>
  <c r="X408" i="720"/>
  <c r="Y408" i="720"/>
  <c r="X408" i="721"/>
  <c r="Y408" i="721"/>
  <c r="I56" i="339"/>
  <c r="X388" i="721"/>
  <c r="Y388" i="721"/>
  <c r="I56" i="384"/>
  <c r="X388" i="720"/>
  <c r="Y388" i="720"/>
  <c r="X447" i="721"/>
  <c r="Y447" i="721"/>
  <c r="X447" i="720"/>
  <c r="Y447" i="720"/>
  <c r="I56" i="690"/>
  <c r="I56" i="406"/>
  <c r="X418" i="720"/>
  <c r="Y418" i="720"/>
  <c r="X418" i="721"/>
  <c r="Y418" i="721"/>
  <c r="X395" i="721"/>
  <c r="I56" i="413"/>
  <c r="I57" i="413"/>
  <c r="X395" i="720"/>
  <c r="X448" i="721"/>
  <c r="Y448" i="721"/>
  <c r="I56" i="691"/>
  <c r="X448" i="720"/>
  <c r="Y448" i="720"/>
  <c r="X401" i="720"/>
  <c r="Y401" i="720"/>
  <c r="I56" i="420"/>
  <c r="X401" i="721"/>
  <c r="Y401" i="721"/>
  <c r="I56" i="412"/>
  <c r="I57" i="412"/>
  <c r="X394" i="720"/>
  <c r="X394" i="721"/>
  <c r="X419" i="720"/>
  <c r="I56" i="423"/>
  <c r="I57" i="423"/>
  <c r="X419" i="721"/>
  <c r="X452" i="720"/>
  <c r="X452" i="721"/>
  <c r="I56" i="695"/>
  <c r="I57" i="695"/>
  <c r="X399" i="721"/>
  <c r="Y399" i="721"/>
  <c r="X399" i="720"/>
  <c r="Y399" i="720"/>
  <c r="X704" i="720"/>
  <c r="X704" i="721"/>
  <c r="I53" i="509"/>
  <c r="I54" i="509"/>
  <c r="F55" i="509"/>
  <c r="H56" i="509"/>
  <c r="X567" i="720"/>
  <c r="X567" i="721"/>
  <c r="I53" i="537"/>
  <c r="I54" i="537"/>
  <c r="I53" i="499"/>
  <c r="I54" i="499"/>
  <c r="X568" i="721"/>
  <c r="X568" i="720"/>
  <c r="AA481" i="720"/>
  <c r="L778" i="721"/>
  <c r="J778" i="721"/>
  <c r="P778" i="721"/>
  <c r="T778" i="721"/>
  <c r="F778" i="721"/>
  <c r="N778" i="721"/>
  <c r="R778" i="721"/>
  <c r="AB664" i="720"/>
  <c r="AE664" i="720"/>
  <c r="X226" i="720"/>
  <c r="Y226" i="720"/>
  <c r="I53" i="587"/>
  <c r="X226" i="721"/>
  <c r="Y226" i="721"/>
  <c r="X585" i="720"/>
  <c r="I53" i="450"/>
  <c r="I54" i="450"/>
  <c r="X585" i="721"/>
  <c r="L778" i="720"/>
  <c r="P35" i="720"/>
  <c r="N35" i="720"/>
  <c r="T35" i="720"/>
  <c r="R35" i="720"/>
  <c r="L35" i="720"/>
  <c r="AE35" i="720"/>
  <c r="F35" i="720"/>
  <c r="J35" i="720"/>
  <c r="O148" i="721"/>
  <c r="O175" i="721"/>
  <c r="O201" i="721"/>
  <c r="P201" i="721"/>
  <c r="O149" i="721"/>
  <c r="I53" i="304"/>
  <c r="X594" i="721"/>
  <c r="X594" i="720"/>
  <c r="F55" i="335"/>
  <c r="H56" i="335"/>
  <c r="X611" i="721"/>
  <c r="I57" i="358"/>
  <c r="I58" i="358"/>
  <c r="X611" i="720"/>
  <c r="X618" i="720"/>
  <c r="I53" i="396"/>
  <c r="X618" i="721"/>
  <c r="L829" i="720"/>
  <c r="N829" i="720"/>
  <c r="J829" i="720"/>
  <c r="P829" i="720"/>
  <c r="F829" i="720"/>
  <c r="R829" i="720"/>
  <c r="T829" i="720"/>
  <c r="AB727" i="720"/>
  <c r="AE727" i="720"/>
  <c r="X267" i="720"/>
  <c r="X267" i="721"/>
  <c r="I54" i="596"/>
  <c r="I55" i="596"/>
  <c r="I54" i="404"/>
  <c r="I55" i="404"/>
  <c r="X288" i="721"/>
  <c r="X288" i="720"/>
  <c r="X295" i="720"/>
  <c r="X295" i="721"/>
  <c r="I54" i="598"/>
  <c r="X291" i="720"/>
  <c r="X291" i="721"/>
  <c r="I54" i="409"/>
  <c r="X310" i="720"/>
  <c r="X310" i="721"/>
  <c r="I54" i="608"/>
  <c r="X93" i="721"/>
  <c r="X93" i="720"/>
  <c r="X277" i="720"/>
  <c r="I54" i="522"/>
  <c r="X277" i="721"/>
  <c r="X97" i="721"/>
  <c r="I53" i="565"/>
  <c r="I54" i="565"/>
  <c r="X97" i="720"/>
  <c r="X95" i="720"/>
  <c r="X95" i="721"/>
  <c r="I53" i="564"/>
  <c r="X349" i="721"/>
  <c r="I54" i="617"/>
  <c r="I55" i="617"/>
  <c r="X349" i="720"/>
  <c r="I53" i="610"/>
  <c r="X313" i="721"/>
  <c r="X313" i="720"/>
  <c r="X350" i="720"/>
  <c r="I54" i="618"/>
  <c r="I55" i="618"/>
  <c r="X350" i="721"/>
  <c r="X365" i="721"/>
  <c r="I54" i="639"/>
  <c r="X365" i="720"/>
  <c r="F57" i="216"/>
  <c r="H58" i="216"/>
  <c r="I54" i="594"/>
  <c r="I55" i="594"/>
  <c r="X269" i="721"/>
  <c r="X269" i="720"/>
  <c r="I53" i="283"/>
  <c r="I54" i="283"/>
  <c r="F55" i="283"/>
  <c r="H56" i="283"/>
  <c r="X730" i="720"/>
  <c r="X730" i="721"/>
  <c r="Y194" i="721"/>
  <c r="AB757" i="720"/>
  <c r="AE757" i="720"/>
  <c r="P34" i="721"/>
  <c r="L34" i="721"/>
  <c r="N34" i="721"/>
  <c r="T34" i="721"/>
  <c r="R34" i="721"/>
  <c r="AE34" i="721"/>
  <c r="F34" i="721"/>
  <c r="J34" i="721"/>
  <c r="F8" i="415"/>
  <c r="H8" i="415"/>
  <c r="I22" i="415"/>
  <c r="V397" i="720"/>
  <c r="X440" i="721"/>
  <c r="Y440" i="721"/>
  <c r="I56" i="683"/>
  <c r="I57" i="683"/>
  <c r="X440" i="720"/>
  <c r="Y440" i="720"/>
  <c r="X405" i="720"/>
  <c r="Y405" i="720"/>
  <c r="I56" i="429"/>
  <c r="X405" i="721"/>
  <c r="Y405" i="721"/>
  <c r="R48" i="720"/>
  <c r="F48" i="720"/>
  <c r="N48" i="720"/>
  <c r="P48" i="720"/>
  <c r="T48" i="720"/>
  <c r="J48" i="720"/>
  <c r="L48" i="720"/>
  <c r="X361" i="721"/>
  <c r="X361" i="720"/>
  <c r="I53" i="541"/>
  <c r="R175" i="721"/>
  <c r="P175" i="721"/>
  <c r="J175" i="721"/>
  <c r="T175" i="721"/>
  <c r="N116" i="721"/>
  <c r="T116" i="721"/>
  <c r="P116" i="721"/>
  <c r="J116" i="721"/>
  <c r="R116" i="721"/>
  <c r="L116" i="721"/>
  <c r="AE116" i="721"/>
  <c r="F116" i="721"/>
  <c r="I56" i="704"/>
  <c r="I57" i="704"/>
  <c r="F58" i="704"/>
  <c r="H59" i="704"/>
  <c r="X461" i="721"/>
  <c r="X461" i="720"/>
  <c r="X397" i="720"/>
  <c r="Y397" i="720"/>
  <c r="I56" i="415"/>
  <c r="X397" i="721"/>
  <c r="Y397" i="721"/>
  <c r="X702" i="721"/>
  <c r="X702" i="720"/>
  <c r="X145" i="721"/>
  <c r="Y145" i="721"/>
  <c r="I53" i="646"/>
  <c r="X145" i="720"/>
  <c r="Y145" i="720"/>
  <c r="X246" i="721"/>
  <c r="I54" i="348"/>
  <c r="I55" i="348"/>
  <c r="X246" i="720"/>
  <c r="Y715" i="721"/>
  <c r="N37" i="721"/>
  <c r="J37" i="721"/>
  <c r="L37" i="721"/>
  <c r="R37" i="721"/>
  <c r="T37" i="721"/>
  <c r="P37" i="721"/>
  <c r="F37" i="721"/>
  <c r="AC243" i="721"/>
  <c r="L44" i="720"/>
  <c r="L43" i="720"/>
  <c r="R44" i="720"/>
  <c r="R43" i="720"/>
  <c r="N44" i="720"/>
  <c r="F44" i="720"/>
  <c r="F43" i="720"/>
  <c r="P44" i="720"/>
  <c r="P43" i="720"/>
  <c r="J44" i="720"/>
  <c r="J43" i="720"/>
  <c r="T44" i="720"/>
  <c r="T43" i="720"/>
  <c r="AE470" i="721"/>
  <c r="AC469" i="721"/>
  <c r="F8" i="677"/>
  <c r="H8" i="677"/>
  <c r="I22" i="677"/>
  <c r="V439" i="720"/>
  <c r="R62" i="721"/>
  <c r="I53" i="538"/>
  <c r="X706" i="721"/>
  <c r="Y706" i="721"/>
  <c r="X706" i="720"/>
  <c r="Y706" i="720"/>
  <c r="X817" i="721"/>
  <c r="X817" i="720"/>
  <c r="I53" i="633"/>
  <c r="F115" i="720"/>
  <c r="R115" i="720"/>
  <c r="T115" i="720"/>
  <c r="L115" i="720"/>
  <c r="Y481" i="720"/>
  <c r="K873" i="721"/>
  <c r="K149" i="721"/>
  <c r="K175" i="721"/>
  <c r="K148" i="721"/>
  <c r="I53" i="281"/>
  <c r="I54" i="281"/>
  <c r="X608" i="720"/>
  <c r="X608" i="721"/>
  <c r="X606" i="720"/>
  <c r="Y606" i="720"/>
  <c r="X606" i="721"/>
  <c r="Y606" i="721"/>
  <c r="I53" i="333"/>
  <c r="X595" i="721"/>
  <c r="X595" i="720"/>
  <c r="I53" i="497"/>
  <c r="I54" i="497"/>
  <c r="X603" i="720"/>
  <c r="X603" i="721"/>
  <c r="AC175" i="720"/>
  <c r="AE829" i="720"/>
  <c r="W432" i="721"/>
  <c r="E432" i="721"/>
  <c r="T516" i="721"/>
  <c r="J516" i="721"/>
  <c r="J515" i="721"/>
  <c r="L516" i="721"/>
  <c r="L515" i="721"/>
  <c r="F516" i="721"/>
  <c r="F515" i="721"/>
  <c r="N516" i="721"/>
  <c r="N515" i="721"/>
  <c r="R516" i="721"/>
  <c r="R515" i="721"/>
  <c r="P516" i="721"/>
  <c r="P515" i="721"/>
  <c r="I54" i="619"/>
  <c r="I55" i="619"/>
  <c r="X342" i="721"/>
  <c r="X342" i="720"/>
  <c r="I54" i="593"/>
  <c r="I55" i="593"/>
  <c r="X260" i="720"/>
  <c r="X260" i="721"/>
  <c r="X99" i="721"/>
  <c r="X99" i="720"/>
  <c r="I54" i="408"/>
  <c r="X290" i="720"/>
  <c r="X290" i="721"/>
  <c r="I55" i="502"/>
  <c r="X308" i="721"/>
  <c r="Y308" i="721"/>
  <c r="X308" i="720"/>
  <c r="Y308" i="720"/>
  <c r="X343" i="720"/>
  <c r="Y343" i="720"/>
  <c r="I54" i="620"/>
  <c r="X343" i="721"/>
  <c r="Y343" i="721"/>
  <c r="I54" i="597"/>
  <c r="I55" i="597"/>
  <c r="X268" i="720"/>
  <c r="X268" i="721"/>
  <c r="I53" i="604"/>
  <c r="X339" i="720"/>
  <c r="X339" i="721"/>
  <c r="X259" i="720"/>
  <c r="I54" i="592"/>
  <c r="I55" i="592"/>
  <c r="X259" i="721"/>
  <c r="X320" i="721"/>
  <c r="I54" i="614"/>
  <c r="X320" i="720"/>
  <c r="X258" i="720"/>
  <c r="X258" i="721"/>
  <c r="I54" i="591"/>
  <c r="I54" i="600"/>
  <c r="I55" i="600"/>
  <c r="X298" i="721"/>
  <c r="X298" i="720"/>
  <c r="X309" i="720"/>
  <c r="X309" i="721"/>
  <c r="I54" i="252"/>
  <c r="X92" i="721"/>
  <c r="I53" i="561"/>
  <c r="I54" i="561"/>
  <c r="X92" i="720"/>
  <c r="X733" i="720"/>
  <c r="I53" i="284"/>
  <c r="I54" i="284"/>
  <c r="X733" i="721"/>
  <c r="I53" i="285"/>
  <c r="I54" i="285"/>
  <c r="X828" i="720"/>
  <c r="X828" i="721"/>
  <c r="AC545" i="721"/>
  <c r="L116" i="720"/>
  <c r="J116" i="720"/>
  <c r="N116" i="720"/>
  <c r="P116" i="720"/>
  <c r="T116" i="720"/>
  <c r="R116" i="720"/>
  <c r="AE116" i="720"/>
  <c r="F116" i="720"/>
  <c r="L575" i="720"/>
  <c r="J575" i="720"/>
  <c r="R575" i="720"/>
  <c r="P575" i="720"/>
  <c r="F575" i="720"/>
  <c r="N575" i="720"/>
  <c r="T575" i="720"/>
  <c r="AE575" i="720"/>
  <c r="J148" i="721"/>
  <c r="X431" i="720"/>
  <c r="Y113" i="721"/>
  <c r="I56" i="197"/>
  <c r="X13" i="721"/>
  <c r="Y13" i="721"/>
  <c r="X13" i="720"/>
  <c r="Y13" i="720"/>
  <c r="X363" i="721"/>
  <c r="X363" i="720"/>
  <c r="I52" i="543"/>
  <c r="I53" i="543"/>
  <c r="AC11" i="721"/>
  <c r="I56" i="340"/>
  <c r="X409" i="721"/>
  <c r="X409" i="720"/>
  <c r="X458" i="721"/>
  <c r="Y458" i="721"/>
  <c r="I56" i="701"/>
  <c r="X458" i="720"/>
  <c r="Y458" i="720"/>
  <c r="X380" i="720"/>
  <c r="Y380" i="720"/>
  <c r="X380" i="721"/>
  <c r="Y380" i="721"/>
  <c r="I56" i="312"/>
  <c r="X426" i="720"/>
  <c r="Y426" i="720"/>
  <c r="X426" i="721"/>
  <c r="Y426" i="721"/>
  <c r="I56" i="367"/>
  <c r="X102" i="721"/>
  <c r="Y102" i="721"/>
  <c r="I53" i="708"/>
  <c r="X102" i="720"/>
  <c r="Y102" i="720"/>
  <c r="I53" i="535"/>
  <c r="I54" i="535"/>
  <c r="X51" i="721"/>
  <c r="X51" i="720"/>
  <c r="AA481" i="721"/>
  <c r="P118" i="721"/>
  <c r="F118" i="721"/>
  <c r="AE36" i="721"/>
  <c r="AC11" i="720"/>
  <c r="E399" i="720"/>
  <c r="W399" i="720"/>
  <c r="L48" i="721"/>
  <c r="P48" i="721"/>
  <c r="N48" i="721"/>
  <c r="R48" i="721"/>
  <c r="T48" i="721"/>
  <c r="AE48" i="721"/>
  <c r="F48" i="721"/>
  <c r="J48" i="721"/>
  <c r="J180" i="721"/>
  <c r="F180" i="721"/>
  <c r="AC72" i="721"/>
  <c r="AA72" i="721"/>
  <c r="AA71" i="721"/>
  <c r="AA42" i="721"/>
  <c r="F72" i="721"/>
  <c r="F71" i="721"/>
  <c r="W72" i="721"/>
  <c r="W71" i="721"/>
  <c r="Y72" i="721"/>
  <c r="Y71" i="721"/>
  <c r="Y42" i="721"/>
  <c r="D201" i="720"/>
  <c r="L201" i="720"/>
  <c r="J781" i="720"/>
  <c r="Y715" i="720"/>
  <c r="X427" i="721"/>
  <c r="Y427" i="721"/>
  <c r="X427" i="720"/>
  <c r="Y427" i="720"/>
  <c r="I56" i="459"/>
  <c r="I56" i="398"/>
  <c r="I57" i="398"/>
  <c r="X391" i="721"/>
  <c r="X391" i="720"/>
  <c r="X421" i="721"/>
  <c r="Y421" i="721"/>
  <c r="I56" i="433"/>
  <c r="X421" i="720"/>
  <c r="Y421" i="720"/>
  <c r="X422" i="721"/>
  <c r="Y422" i="721"/>
  <c r="I56" i="435"/>
  <c r="X422" i="720"/>
  <c r="Y422" i="720"/>
  <c r="I56" i="674"/>
  <c r="X437" i="720"/>
  <c r="X437" i="721"/>
  <c r="X445" i="721"/>
  <c r="I56" i="688"/>
  <c r="I57" i="688"/>
  <c r="X445" i="720"/>
  <c r="X406" i="721"/>
  <c r="I56" i="430"/>
  <c r="I57" i="430"/>
  <c r="X406" i="720"/>
  <c r="X442" i="721"/>
  <c r="X442" i="720"/>
  <c r="I56" i="685"/>
  <c r="I57" i="685"/>
  <c r="X441" i="721"/>
  <c r="X441" i="720"/>
  <c r="I56" i="684"/>
  <c r="X404" i="721"/>
  <c r="Y404" i="721"/>
  <c r="I56" i="426"/>
  <c r="X404" i="720"/>
  <c r="Y404" i="720"/>
  <c r="I56" i="422"/>
  <c r="I57" i="422"/>
  <c r="X403" i="721"/>
  <c r="X403" i="720"/>
  <c r="X413" i="721"/>
  <c r="I56" i="373"/>
  <c r="I57" i="373"/>
  <c r="X413" i="720"/>
  <c r="X420" i="721"/>
  <c r="Y420" i="721"/>
  <c r="X420" i="720"/>
  <c r="Y420" i="720"/>
  <c r="I56" i="432"/>
  <c r="AE48" i="720"/>
  <c r="W436" i="720"/>
  <c r="P175" i="720"/>
  <c r="N175" i="720"/>
  <c r="T175" i="720"/>
  <c r="L175" i="720"/>
  <c r="T43" i="721"/>
  <c r="AE43" i="721"/>
  <c r="AC73" i="720"/>
  <c r="AA73" i="720"/>
  <c r="W73" i="720"/>
  <c r="F73" i="720"/>
  <c r="Y73" i="720"/>
  <c r="Y71" i="720"/>
  <c r="Y42" i="720"/>
  <c r="L178" i="721"/>
  <c r="T178" i="721"/>
  <c r="R178" i="721"/>
  <c r="P178" i="721"/>
  <c r="N178" i="721"/>
  <c r="AE178" i="721"/>
  <c r="J178" i="721"/>
  <c r="F178" i="721"/>
  <c r="X360" i="721"/>
  <c r="X360" i="720"/>
  <c r="I53" i="540"/>
  <c r="I54" i="540"/>
  <c r="I53" i="539"/>
  <c r="X359" i="721"/>
  <c r="X359" i="720"/>
  <c r="AC775" i="720"/>
  <c r="X16" i="721"/>
  <c r="X16" i="720"/>
  <c r="AC243" i="720"/>
  <c r="L50" i="720"/>
  <c r="J50" i="720"/>
  <c r="F50" i="720"/>
  <c r="T50" i="720"/>
  <c r="R50" i="720"/>
  <c r="P50" i="720"/>
  <c r="N50" i="720"/>
  <c r="AE50" i="720"/>
  <c r="W440" i="720"/>
  <c r="E440" i="720"/>
  <c r="AC545" i="720"/>
  <c r="Y147" i="720"/>
  <c r="Y123" i="720"/>
  <c r="F811" i="720"/>
  <c r="L811" i="720"/>
  <c r="T811" i="720"/>
  <c r="P811" i="720"/>
  <c r="J811" i="720"/>
  <c r="R811" i="720"/>
  <c r="N811" i="720"/>
  <c r="X453" i="720"/>
  <c r="I56" i="696"/>
  <c r="I57" i="696"/>
  <c r="X453" i="721"/>
  <c r="X411" i="721"/>
  <c r="Y411" i="721"/>
  <c r="I56" i="368"/>
  <c r="X411" i="720"/>
  <c r="Y411" i="720"/>
  <c r="I56" i="624"/>
  <c r="X433" i="721"/>
  <c r="Y433" i="721"/>
  <c r="X433" i="720"/>
  <c r="Y433" i="720"/>
  <c r="I56" i="374"/>
  <c r="X385" i="720"/>
  <c r="X385" i="721"/>
  <c r="I56" i="342"/>
  <c r="Y431" i="720"/>
  <c r="X431" i="721"/>
  <c r="Y431" i="721"/>
  <c r="X400" i="720"/>
  <c r="Y400" i="720"/>
  <c r="X400" i="721"/>
  <c r="Y400" i="721"/>
  <c r="I56" i="418"/>
  <c r="I56" i="703"/>
  <c r="I57" i="703"/>
  <c r="X460" i="720"/>
  <c r="X460" i="721"/>
  <c r="X386" i="721"/>
  <c r="I56" i="382"/>
  <c r="X386" i="720"/>
  <c r="I56" i="687"/>
  <c r="X444" i="721"/>
  <c r="X444" i="720"/>
  <c r="X436" i="721"/>
  <c r="Y436" i="721"/>
  <c r="X436" i="720"/>
  <c r="Y436" i="720"/>
  <c r="I56" i="673"/>
  <c r="I57" i="673"/>
  <c r="F58" i="673"/>
  <c r="H59" i="673"/>
  <c r="X462" i="720"/>
  <c r="X462" i="721"/>
  <c r="I56" i="705"/>
  <c r="X398" i="720"/>
  <c r="Y398" i="720"/>
  <c r="I56" i="416"/>
  <c r="X398" i="721"/>
  <c r="Y398" i="721"/>
  <c r="X455" i="720"/>
  <c r="I56" i="698"/>
  <c r="X455" i="721"/>
  <c r="X396" i="720"/>
  <c r="I56" i="414"/>
  <c r="I57" i="414"/>
  <c r="X396" i="721"/>
  <c r="X457" i="720"/>
  <c r="Y457" i="720"/>
  <c r="I56" i="700"/>
  <c r="X457" i="721"/>
  <c r="Y457" i="721"/>
  <c r="N65" i="721"/>
  <c r="F65" i="721"/>
  <c r="R65" i="721"/>
  <c r="P65" i="721"/>
  <c r="L65" i="721"/>
  <c r="T65" i="721"/>
  <c r="I54" i="588"/>
  <c r="X247" i="720"/>
  <c r="X247" i="721"/>
  <c r="X52" i="720"/>
  <c r="X52" i="721"/>
  <c r="X33" i="721"/>
  <c r="X33" i="720"/>
  <c r="I53" i="137"/>
  <c r="I54" i="137"/>
  <c r="F813" i="721"/>
  <c r="N813" i="721"/>
  <c r="L813" i="721"/>
  <c r="J813" i="721"/>
  <c r="R813" i="721"/>
  <c r="T813" i="721"/>
  <c r="P813" i="721"/>
  <c r="AE37" i="721"/>
  <c r="AB647" i="720"/>
  <c r="AE647" i="720"/>
  <c r="AA43" i="720"/>
  <c r="AC147" i="720"/>
  <c r="AC81" i="720"/>
  <c r="X228" i="721"/>
  <c r="Y228" i="721"/>
  <c r="X228" i="720"/>
  <c r="Y228" i="720"/>
  <c r="I53" i="504"/>
  <c r="I53" i="244"/>
  <c r="X208" i="720"/>
  <c r="Y208" i="720"/>
  <c r="X208" i="721"/>
  <c r="Y208" i="721"/>
  <c r="X221" i="721"/>
  <c r="Y221" i="721"/>
  <c r="I53" i="649"/>
  <c r="X221" i="720"/>
  <c r="Y221" i="720"/>
  <c r="I53" i="448"/>
  <c r="I54" i="448"/>
  <c r="X583" i="721"/>
  <c r="X583" i="720"/>
  <c r="P118" i="720"/>
  <c r="F118" i="720"/>
  <c r="T118" i="720"/>
  <c r="N118" i="720"/>
  <c r="J118" i="720"/>
  <c r="L118" i="720"/>
  <c r="R118" i="720"/>
  <c r="AE36" i="720"/>
  <c r="M149" i="721"/>
  <c r="N149" i="721"/>
  <c r="M148" i="721"/>
  <c r="N148" i="721"/>
  <c r="M175" i="721"/>
  <c r="M201" i="721"/>
  <c r="N201" i="721"/>
  <c r="R829" i="721"/>
  <c r="F829" i="721"/>
  <c r="N829" i="721"/>
  <c r="J829" i="721"/>
  <c r="P829" i="721"/>
  <c r="T829" i="721"/>
  <c r="L829" i="721"/>
  <c r="AE829" i="721"/>
  <c r="AE39" i="720"/>
  <c r="I53" i="279"/>
  <c r="I54" i="279"/>
  <c r="X593" i="720"/>
  <c r="X593" i="721"/>
  <c r="X615" i="720"/>
  <c r="I53" i="436"/>
  <c r="X615" i="721"/>
  <c r="X806" i="720"/>
  <c r="I53" i="638"/>
  <c r="X806" i="721"/>
  <c r="I53" i="391"/>
  <c r="I54" i="391"/>
  <c r="X609" i="720"/>
  <c r="X609" i="721"/>
  <c r="F14" i="708"/>
  <c r="H14" i="708"/>
  <c r="L39" i="721"/>
  <c r="T39" i="721"/>
  <c r="R39" i="721"/>
  <c r="P39" i="721"/>
  <c r="N39" i="721"/>
  <c r="AE39" i="721"/>
  <c r="F39" i="721"/>
  <c r="X330" i="721"/>
  <c r="I53" i="616"/>
  <c r="X330" i="720"/>
  <c r="I54" i="595"/>
  <c r="X266" i="720"/>
  <c r="X266" i="721"/>
  <c r="X94" i="720"/>
  <c r="I53" i="563"/>
  <c r="I54" i="563"/>
  <c r="X94" i="721"/>
  <c r="I54" i="523"/>
  <c r="X278" i="721"/>
  <c r="X278" i="720"/>
  <c r="F55" i="215"/>
  <c r="H56" i="215"/>
  <c r="X710" i="721"/>
  <c r="X710" i="720"/>
  <c r="I53" i="306"/>
  <c r="I54" i="306"/>
  <c r="X279" i="721"/>
  <c r="X279" i="720"/>
  <c r="I54" i="524"/>
  <c r="X312" i="721"/>
  <c r="I53" i="609"/>
  <c r="I54" i="609"/>
  <c r="X312" i="720"/>
  <c r="I55" i="250"/>
  <c r="X305" i="720"/>
  <c r="X305" i="721"/>
  <c r="X296" i="721"/>
  <c r="I54" i="599"/>
  <c r="I55" i="599"/>
  <c r="X296" i="720"/>
  <c r="X315" i="720"/>
  <c r="I53" i="612"/>
  <c r="X315" i="721"/>
  <c r="I53" i="555"/>
  <c r="I54" i="555"/>
  <c r="X85" i="720"/>
  <c r="X85" i="721"/>
  <c r="I53" i="558"/>
  <c r="I54" i="558"/>
  <c r="X88" i="720"/>
  <c r="X88" i="721"/>
  <c r="X101" i="720"/>
  <c r="I53" i="569"/>
  <c r="X101" i="721"/>
  <c r="I53" i="379"/>
  <c r="I54" i="379"/>
  <c r="X732" i="720"/>
  <c r="X732" i="721"/>
  <c r="Y113" i="720"/>
  <c r="L37" i="720"/>
  <c r="J37" i="720"/>
  <c r="R37" i="720"/>
  <c r="P37" i="720"/>
  <c r="F37" i="720"/>
  <c r="N37" i="720"/>
  <c r="T37" i="720"/>
  <c r="AE37" i="720"/>
  <c r="N35" i="721"/>
  <c r="R35" i="721"/>
  <c r="J35" i="721"/>
  <c r="P35" i="721"/>
  <c r="L35" i="721"/>
  <c r="T35" i="721"/>
  <c r="AE35" i="721"/>
  <c r="F35" i="721"/>
  <c r="AC71" i="720"/>
  <c r="AA71" i="720"/>
  <c r="AE118" i="720"/>
  <c r="F58" i="683"/>
  <c r="H59" i="683"/>
  <c r="F55" i="391"/>
  <c r="H56" i="391"/>
  <c r="Y403" i="720"/>
  <c r="E403" i="720"/>
  <c r="E406" i="720"/>
  <c r="Y406" i="720"/>
  <c r="J432" i="721"/>
  <c r="N432" i="721"/>
  <c r="E603" i="721"/>
  <c r="Y603" i="721"/>
  <c r="Y595" i="721"/>
  <c r="D148" i="721"/>
  <c r="AE43" i="720"/>
  <c r="Y702" i="721"/>
  <c r="N175" i="721"/>
  <c r="F8" i="421"/>
  <c r="H8" i="421"/>
  <c r="I22" i="421"/>
  <c r="Y365" i="721"/>
  <c r="Y313" i="720"/>
  <c r="F56" i="617"/>
  <c r="H57" i="617"/>
  <c r="E95" i="720"/>
  <c r="Y95" i="720"/>
  <c r="Y277" i="721"/>
  <c r="E277" i="721"/>
  <c r="Y93" i="721"/>
  <c r="E93" i="721"/>
  <c r="Y310" i="720"/>
  <c r="E288" i="721"/>
  <c r="Y288" i="721"/>
  <c r="Y267" i="720"/>
  <c r="E267" i="720"/>
  <c r="Y611" i="720"/>
  <c r="Y225" i="721"/>
  <c r="F55" i="499"/>
  <c r="H56" i="499"/>
  <c r="Y419" i="721"/>
  <c r="E394" i="720"/>
  <c r="Y394" i="720"/>
  <c r="E395" i="720"/>
  <c r="Y395" i="720"/>
  <c r="Y454" i="721"/>
  <c r="F9" i="263"/>
  <c r="H9" i="263"/>
  <c r="I20" i="263"/>
  <c r="I52" i="263"/>
  <c r="I54" i="263"/>
  <c r="F55" i="512"/>
  <c r="H56" i="512"/>
  <c r="AE813" i="721"/>
  <c r="Y86" i="721"/>
  <c r="E86" i="721"/>
  <c r="F56" i="514"/>
  <c r="H57" i="514"/>
  <c r="Y289" i="720"/>
  <c r="E289" i="720"/>
  <c r="Y83" i="721"/>
  <c r="Y292" i="720"/>
  <c r="E292" i="720"/>
  <c r="Y297" i="720"/>
  <c r="Y314" i="721"/>
  <c r="Y100" i="720"/>
  <c r="E610" i="720"/>
  <c r="Y610" i="720"/>
  <c r="AC42" i="720"/>
  <c r="F55" i="379"/>
  <c r="H56" i="379"/>
  <c r="F55" i="558"/>
  <c r="H56" i="558"/>
  <c r="Y315" i="721"/>
  <c r="F56" i="599"/>
  <c r="H57" i="599"/>
  <c r="Y710" i="720"/>
  <c r="Y278" i="720"/>
  <c r="F55" i="563"/>
  <c r="H56" i="563"/>
  <c r="Y615" i="721"/>
  <c r="E615" i="721"/>
  <c r="Y593" i="720"/>
  <c r="AC123" i="720"/>
  <c r="F55" i="137"/>
  <c r="H56" i="137"/>
  <c r="Y52" i="721"/>
  <c r="E52" i="721"/>
  <c r="F58" i="414"/>
  <c r="H59" i="414"/>
  <c r="Y455" i="720"/>
  <c r="Y460" i="721"/>
  <c r="E460" i="721"/>
  <c r="Y453" i="720"/>
  <c r="Y441" i="721"/>
  <c r="F58" i="688"/>
  <c r="H59" i="688"/>
  <c r="E391" i="721"/>
  <c r="Y391" i="721"/>
  <c r="AC71" i="721"/>
  <c r="Y51" i="721"/>
  <c r="Y363" i="721"/>
  <c r="E363" i="721"/>
  <c r="Y828" i="721"/>
  <c r="E828" i="721"/>
  <c r="F55" i="284"/>
  <c r="H56" i="284"/>
  <c r="Y92" i="721"/>
  <c r="E92" i="721"/>
  <c r="Y298" i="720"/>
  <c r="E298" i="720"/>
  <c r="P298" i="720"/>
  <c r="Y258" i="721"/>
  <c r="Y320" i="721"/>
  <c r="Y339" i="721"/>
  <c r="Y268" i="720"/>
  <c r="E268" i="720"/>
  <c r="Y290" i="721"/>
  <c r="Y99" i="721"/>
  <c r="F56" i="593"/>
  <c r="H57" i="593"/>
  <c r="Y101" i="720"/>
  <c r="Y85" i="721"/>
  <c r="E85" i="721"/>
  <c r="Y296" i="721"/>
  <c r="E296" i="721"/>
  <c r="F296" i="721"/>
  <c r="Y312" i="720"/>
  <c r="Y279" i="720"/>
  <c r="Y710" i="721"/>
  <c r="E710" i="721"/>
  <c r="Y278" i="721"/>
  <c r="E94" i="720"/>
  <c r="Y94" i="720"/>
  <c r="Y330" i="720"/>
  <c r="Y806" i="721"/>
  <c r="F55" i="279"/>
  <c r="H56" i="279"/>
  <c r="Y583" i="720"/>
  <c r="Y206" i="721"/>
  <c r="Y205" i="721"/>
  <c r="AA42" i="720"/>
  <c r="Y33" i="720"/>
  <c r="E33" i="720"/>
  <c r="Y52" i="720"/>
  <c r="E52" i="720"/>
  <c r="AE65" i="721"/>
  <c r="Y396" i="720"/>
  <c r="E396" i="720"/>
  <c r="E462" i="721"/>
  <c r="Y462" i="721"/>
  <c r="Y386" i="720"/>
  <c r="Y460" i="720"/>
  <c r="E460" i="720"/>
  <c r="J460" i="720"/>
  <c r="Y385" i="721"/>
  <c r="Y16" i="720"/>
  <c r="F58" i="417"/>
  <c r="H59" i="417"/>
  <c r="F55" i="540"/>
  <c r="H56" i="540"/>
  <c r="F9" i="689"/>
  <c r="H9" i="689"/>
  <c r="I22" i="689"/>
  <c r="I55" i="689"/>
  <c r="F9" i="690"/>
  <c r="H9" i="690"/>
  <c r="I22" i="690"/>
  <c r="F9" i="691"/>
  <c r="H9" i="691"/>
  <c r="I22" i="691"/>
  <c r="AE73" i="720"/>
  <c r="E436" i="720"/>
  <c r="E413" i="720"/>
  <c r="N413" i="720"/>
  <c r="Y413" i="720"/>
  <c r="Y403" i="721"/>
  <c r="E403" i="721"/>
  <c r="F58" i="685"/>
  <c r="H59" i="685"/>
  <c r="F58" i="430"/>
  <c r="H59" i="430"/>
  <c r="Y445" i="721"/>
  <c r="F58" i="398"/>
  <c r="H59" i="398"/>
  <c r="F399" i="720"/>
  <c r="P399" i="720"/>
  <c r="J399" i="720"/>
  <c r="R399" i="720"/>
  <c r="T399" i="720"/>
  <c r="L399" i="720"/>
  <c r="N399" i="720"/>
  <c r="F55" i="535"/>
  <c r="H56" i="535"/>
  <c r="Y12" i="720"/>
  <c r="Y828" i="720"/>
  <c r="E733" i="720"/>
  <c r="P733" i="720"/>
  <c r="Y733" i="720"/>
  <c r="Y298" i="721"/>
  <c r="E298" i="721"/>
  <c r="Y258" i="720"/>
  <c r="Y259" i="721"/>
  <c r="Y339" i="720"/>
  <c r="F56" i="597"/>
  <c r="H57" i="597"/>
  <c r="Y290" i="720"/>
  <c r="F55" i="567"/>
  <c r="H56" i="567"/>
  <c r="Y342" i="720"/>
  <c r="Y603" i="720"/>
  <c r="E603" i="720"/>
  <c r="N603" i="720"/>
  <c r="F55" i="387"/>
  <c r="H56" i="387"/>
  <c r="Y608" i="721"/>
  <c r="D175" i="721"/>
  <c r="K201" i="721"/>
  <c r="AB469" i="721"/>
  <c r="AE469" i="721"/>
  <c r="Y246" i="720"/>
  <c r="E246" i="720"/>
  <c r="J246" i="720"/>
  <c r="F55" i="501"/>
  <c r="H56" i="501"/>
  <c r="V397" i="721"/>
  <c r="I55" i="415"/>
  <c r="I57" i="415"/>
  <c r="Y269" i="720"/>
  <c r="E269" i="720"/>
  <c r="Y350" i="721"/>
  <c r="E350" i="721"/>
  <c r="Y313" i="721"/>
  <c r="Y349" i="721"/>
  <c r="E349" i="721"/>
  <c r="E97" i="720"/>
  <c r="Y97" i="720"/>
  <c r="F55" i="562"/>
  <c r="H56" i="562"/>
  <c r="Y295" i="721"/>
  <c r="F56" i="404"/>
  <c r="H57" i="404"/>
  <c r="Y618" i="721"/>
  <c r="F59" i="358"/>
  <c r="H60" i="358"/>
  <c r="Y594" i="720"/>
  <c r="Y585" i="721"/>
  <c r="E585" i="721"/>
  <c r="F776" i="721"/>
  <c r="F55" i="537"/>
  <c r="H56" i="537"/>
  <c r="Y704" i="721"/>
  <c r="E704" i="721"/>
  <c r="F58" i="695"/>
  <c r="H59" i="695"/>
  <c r="F58" i="423"/>
  <c r="H59" i="423"/>
  <c r="F58" i="412"/>
  <c r="H59" i="412"/>
  <c r="F58" i="413"/>
  <c r="H59" i="413"/>
  <c r="E399" i="721"/>
  <c r="R399" i="721"/>
  <c r="AE34" i="720"/>
  <c r="E436" i="721"/>
  <c r="E826" i="720"/>
  <c r="Y826" i="720"/>
  <c r="Y261" i="720"/>
  <c r="Y86" i="720"/>
  <c r="E86" i="720"/>
  <c r="F55" i="557"/>
  <c r="H56" i="557"/>
  <c r="Y307" i="720"/>
  <c r="Y289" i="721"/>
  <c r="Y334" i="721"/>
  <c r="Y286" i="721"/>
  <c r="Y292" i="721"/>
  <c r="E292" i="721"/>
  <c r="P292" i="721"/>
  <c r="Y98" i="721"/>
  <c r="Y100" i="721"/>
  <c r="F55" i="280"/>
  <c r="H56" i="280"/>
  <c r="Y590" i="720"/>
  <c r="E590" i="720"/>
  <c r="Y387" i="721"/>
  <c r="F58" i="422"/>
  <c r="H59" i="422"/>
  <c r="Y442" i="720"/>
  <c r="E442" i="720"/>
  <c r="Y12" i="721"/>
  <c r="F55" i="285"/>
  <c r="H56" i="285"/>
  <c r="E92" i="720"/>
  <c r="Y92" i="720"/>
  <c r="Y309" i="721"/>
  <c r="F56" i="600"/>
  <c r="H57" i="600"/>
  <c r="Y320" i="720"/>
  <c r="F56" i="592"/>
  <c r="H57" i="592"/>
  <c r="Y260" i="721"/>
  <c r="Y342" i="721"/>
  <c r="E342" i="721"/>
  <c r="T515" i="721"/>
  <c r="AE515" i="721"/>
  <c r="AE516" i="721"/>
  <c r="F55" i="497"/>
  <c r="H56" i="497"/>
  <c r="Y608" i="720"/>
  <c r="E608" i="720"/>
  <c r="D149" i="721"/>
  <c r="L149" i="721"/>
  <c r="Y817" i="720"/>
  <c r="Y705" i="720"/>
  <c r="Y692" i="720"/>
  <c r="F56" i="348"/>
  <c r="H57" i="348"/>
  <c r="E461" i="720"/>
  <c r="Y461" i="720"/>
  <c r="Y361" i="720"/>
  <c r="Y730" i="721"/>
  <c r="Y269" i="721"/>
  <c r="E269" i="721"/>
  <c r="Y365" i="720"/>
  <c r="F56" i="618"/>
  <c r="H57" i="618"/>
  <c r="F55" i="565"/>
  <c r="H56" i="565"/>
  <c r="Y277" i="720"/>
  <c r="Y291" i="721"/>
  <c r="Y295" i="720"/>
  <c r="E295" i="720"/>
  <c r="F56" i="596"/>
  <c r="H57" i="596"/>
  <c r="Y611" i="721"/>
  <c r="Y594" i="721"/>
  <c r="F55" i="450"/>
  <c r="H56" i="450"/>
  <c r="Y225" i="720"/>
  <c r="T776" i="721"/>
  <c r="AE778" i="721"/>
  <c r="Y568" i="720"/>
  <c r="E568" i="720"/>
  <c r="Y567" i="721"/>
  <c r="Y704" i="720"/>
  <c r="E704" i="720"/>
  <c r="Y452" i="721"/>
  <c r="Y419" i="720"/>
  <c r="Y395" i="721"/>
  <c r="E395" i="721"/>
  <c r="R395" i="721"/>
  <c r="F58" i="697"/>
  <c r="H59" i="697"/>
  <c r="E440" i="721"/>
  <c r="Y362" i="721"/>
  <c r="E588" i="720"/>
  <c r="P588" i="720"/>
  <c r="Y588" i="720"/>
  <c r="AE811" i="720"/>
  <c r="F55" i="621"/>
  <c r="H56" i="621"/>
  <c r="Y261" i="721"/>
  <c r="Y293" i="720"/>
  <c r="Y87" i="720"/>
  <c r="E87" i="720"/>
  <c r="Y307" i="721"/>
  <c r="E334" i="720"/>
  <c r="R334" i="720"/>
  <c r="Y334" i="720"/>
  <c r="Y83" i="720"/>
  <c r="E83" i="720"/>
  <c r="P83" i="720"/>
  <c r="P82" i="720"/>
  <c r="Y304" i="720"/>
  <c r="F56" i="434"/>
  <c r="H57" i="434"/>
  <c r="Y314" i="720"/>
  <c r="F55" i="392"/>
  <c r="H56" i="392"/>
  <c r="Y597" i="720"/>
  <c r="E597" i="720"/>
  <c r="R597" i="720"/>
  <c r="F56" i="640"/>
  <c r="H57" i="640"/>
  <c r="Y387" i="720"/>
  <c r="E387" i="720"/>
  <c r="P387" i="720"/>
  <c r="E732" i="721"/>
  <c r="Y732" i="721"/>
  <c r="Y88" i="721"/>
  <c r="E88" i="721"/>
  <c r="P88" i="721"/>
  <c r="E85" i="720"/>
  <c r="J85" i="720"/>
  <c r="Y85" i="720"/>
  <c r="Y315" i="720"/>
  <c r="Y305" i="721"/>
  <c r="F55" i="609"/>
  <c r="H56" i="609"/>
  <c r="Y279" i="721"/>
  <c r="E266" i="721"/>
  <c r="Y266" i="721"/>
  <c r="Y609" i="721"/>
  <c r="Y615" i="720"/>
  <c r="Y583" i="721"/>
  <c r="Y206" i="720"/>
  <c r="Y33" i="721"/>
  <c r="E33" i="721"/>
  <c r="Y247" i="721"/>
  <c r="Y455" i="721"/>
  <c r="Y462" i="720"/>
  <c r="Y444" i="720"/>
  <c r="F58" i="703"/>
  <c r="H59" i="703"/>
  <c r="Y385" i="720"/>
  <c r="E385" i="720"/>
  <c r="Y453" i="721"/>
  <c r="P440" i="720"/>
  <c r="J440" i="720"/>
  <c r="R440" i="720"/>
  <c r="F440" i="720"/>
  <c r="N440" i="720"/>
  <c r="T440" i="720"/>
  <c r="L440" i="720"/>
  <c r="AE440" i="720"/>
  <c r="Y359" i="720"/>
  <c r="Y360" i="720"/>
  <c r="E360" i="720"/>
  <c r="F58" i="373"/>
  <c r="H59" i="373"/>
  <c r="E406" i="721"/>
  <c r="Y406" i="721"/>
  <c r="Y437" i="721"/>
  <c r="AA201" i="720"/>
  <c r="F201" i="720"/>
  <c r="Y201" i="720"/>
  <c r="W201" i="720"/>
  <c r="AC201" i="720"/>
  <c r="AE201" i="720"/>
  <c r="Y409" i="720"/>
  <c r="F54" i="543"/>
  <c r="H55" i="543"/>
  <c r="Y732" i="720"/>
  <c r="E732" i="720"/>
  <c r="Y101" i="721"/>
  <c r="E88" i="720"/>
  <c r="Y88" i="720"/>
  <c r="F55" i="555"/>
  <c r="H56" i="555"/>
  <c r="E296" i="720"/>
  <c r="Y296" i="720"/>
  <c r="Y305" i="720"/>
  <c r="Y312" i="721"/>
  <c r="F55" i="306"/>
  <c r="H56" i="306"/>
  <c r="Y94" i="721"/>
  <c r="E94" i="721"/>
  <c r="Y266" i="720"/>
  <c r="Y330" i="721"/>
  <c r="Y609" i="720"/>
  <c r="Y806" i="720"/>
  <c r="Y593" i="721"/>
  <c r="F55" i="448"/>
  <c r="H56" i="448"/>
  <c r="F55" i="534"/>
  <c r="H56" i="534"/>
  <c r="Y247" i="720"/>
  <c r="Y396" i="721"/>
  <c r="E396" i="721"/>
  <c r="Y444" i="721"/>
  <c r="Y386" i="721"/>
  <c r="F58" i="696"/>
  <c r="H59" i="696"/>
  <c r="Y16" i="721"/>
  <c r="Y359" i="721"/>
  <c r="E360" i="721"/>
  <c r="Y360" i="721"/>
  <c r="Y413" i="721"/>
  <c r="E413" i="721"/>
  <c r="Y441" i="720"/>
  <c r="Y442" i="721"/>
  <c r="E442" i="721"/>
  <c r="Y445" i="720"/>
  <c r="Y437" i="720"/>
  <c r="Y391" i="720"/>
  <c r="E391" i="720"/>
  <c r="L391" i="720"/>
  <c r="Y51" i="720"/>
  <c r="E409" i="721"/>
  <c r="J409" i="721"/>
  <c r="Y409" i="721"/>
  <c r="E363" i="720"/>
  <c r="Y363" i="720"/>
  <c r="Y733" i="721"/>
  <c r="E733" i="721"/>
  <c r="F55" i="561"/>
  <c r="H56" i="561"/>
  <c r="Y309" i="720"/>
  <c r="Y259" i="720"/>
  <c r="Y268" i="721"/>
  <c r="E268" i="721"/>
  <c r="Y99" i="720"/>
  <c r="Y260" i="720"/>
  <c r="F56" i="619"/>
  <c r="H57" i="619"/>
  <c r="AC173" i="720"/>
  <c r="Y595" i="720"/>
  <c r="F55" i="281"/>
  <c r="H56" i="281"/>
  <c r="Y817" i="721"/>
  <c r="Y705" i="721"/>
  <c r="Y692" i="721"/>
  <c r="I55" i="677"/>
  <c r="I57" i="677"/>
  <c r="F58" i="677"/>
  <c r="H59" i="677"/>
  <c r="V439" i="721"/>
  <c r="Y246" i="721"/>
  <c r="E246" i="721"/>
  <c r="Y702" i="720"/>
  <c r="Y461" i="721"/>
  <c r="E461" i="721"/>
  <c r="L175" i="721"/>
  <c r="Y361" i="721"/>
  <c r="Y730" i="720"/>
  <c r="F56" i="594"/>
  <c r="H57" i="594"/>
  <c r="E350" i="720"/>
  <c r="L350" i="720"/>
  <c r="Y350" i="720"/>
  <c r="Y349" i="720"/>
  <c r="E349" i="720"/>
  <c r="Y95" i="721"/>
  <c r="Y97" i="721"/>
  <c r="E97" i="721"/>
  <c r="E93" i="720"/>
  <c r="N93" i="720"/>
  <c r="Y93" i="720"/>
  <c r="Y310" i="721"/>
  <c r="Y291" i="720"/>
  <c r="E291" i="720"/>
  <c r="E288" i="720"/>
  <c r="T288" i="720"/>
  <c r="Y288" i="720"/>
  <c r="Y267" i="721"/>
  <c r="E267" i="721"/>
  <c r="Y618" i="720"/>
  <c r="Y585" i="720"/>
  <c r="E585" i="720"/>
  <c r="P585" i="720"/>
  <c r="Y568" i="721"/>
  <c r="E568" i="721"/>
  <c r="F568" i="721"/>
  <c r="Y567" i="720"/>
  <c r="Y452" i="720"/>
  <c r="Y394" i="721"/>
  <c r="E394" i="721"/>
  <c r="Y454" i="720"/>
  <c r="F8" i="384"/>
  <c r="H8" i="384"/>
  <c r="I22" i="384"/>
  <c r="Y362" i="720"/>
  <c r="AE73" i="721"/>
  <c r="Y588" i="721"/>
  <c r="E588" i="721"/>
  <c r="T515" i="720"/>
  <c r="AE515" i="720"/>
  <c r="AE516" i="720"/>
  <c r="E826" i="721"/>
  <c r="R826" i="721"/>
  <c r="Y826" i="721"/>
  <c r="F55" i="556"/>
  <c r="H56" i="556"/>
  <c r="Y293" i="721"/>
  <c r="Y87" i="721"/>
  <c r="E87" i="721"/>
  <c r="F55" i="516"/>
  <c r="H56" i="516"/>
  <c r="Y286" i="720"/>
  <c r="E286" i="720"/>
  <c r="P286" i="720"/>
  <c r="Y304" i="721"/>
  <c r="Y297" i="721"/>
  <c r="Y98" i="720"/>
  <c r="E610" i="721"/>
  <c r="Y610" i="721"/>
  <c r="Y597" i="721"/>
  <c r="E597" i="721"/>
  <c r="N597" i="721"/>
  <c r="E590" i="721"/>
  <c r="Y590" i="721"/>
  <c r="Y801" i="721"/>
  <c r="J296" i="721"/>
  <c r="L296" i="721"/>
  <c r="T296" i="721"/>
  <c r="T268" i="720"/>
  <c r="P268" i="720"/>
  <c r="R268" i="720"/>
  <c r="L268" i="720"/>
  <c r="J268" i="720"/>
  <c r="N268" i="720"/>
  <c r="F268" i="720"/>
  <c r="R298" i="720"/>
  <c r="N298" i="720"/>
  <c r="L298" i="720"/>
  <c r="F298" i="720"/>
  <c r="J298" i="720"/>
  <c r="T363" i="721"/>
  <c r="R363" i="721"/>
  <c r="L363" i="721"/>
  <c r="N363" i="721"/>
  <c r="F363" i="721"/>
  <c r="J363" i="721"/>
  <c r="P363" i="721"/>
  <c r="AC42" i="721"/>
  <c r="R394" i="720"/>
  <c r="J394" i="720"/>
  <c r="F394" i="720"/>
  <c r="L394" i="720"/>
  <c r="N394" i="720"/>
  <c r="P394" i="720"/>
  <c r="T394" i="720"/>
  <c r="F8" i="312"/>
  <c r="H8" i="312"/>
  <c r="I22" i="312"/>
  <c r="F267" i="720"/>
  <c r="J267" i="720"/>
  <c r="P267" i="720"/>
  <c r="N267" i="720"/>
  <c r="T267" i="720"/>
  <c r="R267" i="720"/>
  <c r="L267" i="720"/>
  <c r="AE267" i="720"/>
  <c r="N93" i="721"/>
  <c r="R93" i="721"/>
  <c r="J93" i="721"/>
  <c r="T93" i="721"/>
  <c r="AE93" i="721"/>
  <c r="P93" i="721"/>
  <c r="L93" i="721"/>
  <c r="F93" i="721"/>
  <c r="F590" i="721"/>
  <c r="P590" i="721"/>
  <c r="N590" i="721"/>
  <c r="R409" i="721"/>
  <c r="N409" i="721"/>
  <c r="P409" i="721"/>
  <c r="Y614" i="720"/>
  <c r="Y265" i="721"/>
  <c r="F334" i="720"/>
  <c r="L334" i="720"/>
  <c r="T334" i="720"/>
  <c r="AE334" i="720"/>
  <c r="L395" i="721"/>
  <c r="T395" i="721"/>
  <c r="T292" i="721"/>
  <c r="F292" i="721"/>
  <c r="L292" i="721"/>
  <c r="N292" i="721"/>
  <c r="F399" i="721"/>
  <c r="N399" i="721"/>
  <c r="L399" i="721"/>
  <c r="T399" i="721"/>
  <c r="J399" i="721"/>
  <c r="F58" i="415"/>
  <c r="F246" i="720"/>
  <c r="L246" i="720"/>
  <c r="N246" i="720"/>
  <c r="L603" i="720"/>
  <c r="L602" i="720"/>
  <c r="N602" i="720"/>
  <c r="T603" i="720"/>
  <c r="T602" i="720"/>
  <c r="AE602" i="720"/>
  <c r="F603" i="720"/>
  <c r="F602" i="720"/>
  <c r="P603" i="720"/>
  <c r="P602" i="720"/>
  <c r="J603" i="720"/>
  <c r="J602" i="720"/>
  <c r="R603" i="720"/>
  <c r="R602" i="720"/>
  <c r="L733" i="720"/>
  <c r="N733" i="720"/>
  <c r="J413" i="720"/>
  <c r="T413" i="720"/>
  <c r="P413" i="720"/>
  <c r="R413" i="720"/>
  <c r="V446" i="720"/>
  <c r="V446" i="721"/>
  <c r="I57" i="689"/>
  <c r="R460" i="720"/>
  <c r="P460" i="720"/>
  <c r="F460" i="720"/>
  <c r="T460" i="720"/>
  <c r="L460" i="720"/>
  <c r="R396" i="720"/>
  <c r="T396" i="720"/>
  <c r="F396" i="720"/>
  <c r="P396" i="720"/>
  <c r="L396" i="720"/>
  <c r="J396" i="720"/>
  <c r="N396" i="720"/>
  <c r="P391" i="721"/>
  <c r="L391" i="721"/>
  <c r="N391" i="721"/>
  <c r="T391" i="721"/>
  <c r="J391" i="721"/>
  <c r="F391" i="721"/>
  <c r="R391" i="721"/>
  <c r="F460" i="721"/>
  <c r="R460" i="721"/>
  <c r="J460" i="721"/>
  <c r="L460" i="721"/>
  <c r="N460" i="721"/>
  <c r="T460" i="721"/>
  <c r="P460" i="721"/>
  <c r="Y592" i="720"/>
  <c r="Y82" i="721"/>
  <c r="R395" i="720"/>
  <c r="T395" i="720"/>
  <c r="P395" i="720"/>
  <c r="N395" i="720"/>
  <c r="L395" i="720"/>
  <c r="J395" i="720"/>
  <c r="F395" i="720"/>
  <c r="F95" i="720"/>
  <c r="N95" i="720"/>
  <c r="T95" i="720"/>
  <c r="J95" i="720"/>
  <c r="R95" i="720"/>
  <c r="L95" i="720"/>
  <c r="P95" i="720"/>
  <c r="AC148" i="721"/>
  <c r="AA148" i="721"/>
  <c r="W148" i="721"/>
  <c r="F148" i="721"/>
  <c r="Y148" i="721"/>
  <c r="Y149" i="721"/>
  <c r="Y147" i="721"/>
  <c r="Y123" i="721"/>
  <c r="Y602" i="721"/>
  <c r="R406" i="720"/>
  <c r="T406" i="720"/>
  <c r="P406" i="720"/>
  <c r="N406" i="720"/>
  <c r="L406" i="720"/>
  <c r="AE406" i="720"/>
  <c r="F406" i="720"/>
  <c r="J406" i="720"/>
  <c r="L568" i="721"/>
  <c r="P568" i="721"/>
  <c r="J568" i="721"/>
  <c r="N568" i="721"/>
  <c r="L585" i="720"/>
  <c r="F585" i="720"/>
  <c r="N585" i="720"/>
  <c r="Y96" i="721"/>
  <c r="T391" i="720"/>
  <c r="N391" i="720"/>
  <c r="R391" i="720"/>
  <c r="J391" i="720"/>
  <c r="F85" i="720"/>
  <c r="R85" i="720"/>
  <c r="P85" i="720"/>
  <c r="N85" i="720"/>
  <c r="L85" i="720"/>
  <c r="F440" i="721"/>
  <c r="N440" i="721"/>
  <c r="T440" i="721"/>
  <c r="J440" i="721"/>
  <c r="L440" i="721"/>
  <c r="R440" i="721"/>
  <c r="P440" i="721"/>
  <c r="Y341" i="721"/>
  <c r="Y31" i="721"/>
  <c r="Y11" i="721"/>
  <c r="R349" i="721"/>
  <c r="N349" i="721"/>
  <c r="P349" i="721"/>
  <c r="L349" i="721"/>
  <c r="T349" i="721"/>
  <c r="F349" i="721"/>
  <c r="J349" i="721"/>
  <c r="R298" i="721"/>
  <c r="N298" i="721"/>
  <c r="L298" i="721"/>
  <c r="J298" i="721"/>
  <c r="F298" i="721"/>
  <c r="P298" i="721"/>
  <c r="T298" i="721"/>
  <c r="L597" i="721"/>
  <c r="T597" i="721"/>
  <c r="AE597" i="721"/>
  <c r="R597" i="721"/>
  <c r="J597" i="721"/>
  <c r="J286" i="720"/>
  <c r="R286" i="720"/>
  <c r="L286" i="720"/>
  <c r="T286" i="720"/>
  <c r="Y825" i="721"/>
  <c r="P461" i="721"/>
  <c r="R461" i="721"/>
  <c r="T461" i="721"/>
  <c r="J461" i="721"/>
  <c r="F461" i="721"/>
  <c r="AC172" i="720"/>
  <c r="Y592" i="721"/>
  <c r="R88" i="721"/>
  <c r="L88" i="721"/>
  <c r="J88" i="721"/>
  <c r="L387" i="720"/>
  <c r="R387" i="720"/>
  <c r="T387" i="720"/>
  <c r="R588" i="720"/>
  <c r="F588" i="720"/>
  <c r="L588" i="720"/>
  <c r="N588" i="720"/>
  <c r="AA838" i="720"/>
  <c r="Y566" i="721"/>
  <c r="Y545" i="721"/>
  <c r="AC149" i="721"/>
  <c r="AA149" i="721"/>
  <c r="F149" i="721"/>
  <c r="W149" i="721"/>
  <c r="F826" i="721"/>
  <c r="P826" i="721"/>
  <c r="J826" i="721"/>
  <c r="T826" i="721"/>
  <c r="N826" i="721"/>
  <c r="T588" i="721"/>
  <c r="L588" i="721"/>
  <c r="F588" i="721"/>
  <c r="P588" i="721"/>
  <c r="R588" i="721"/>
  <c r="N588" i="721"/>
  <c r="F8" i="390"/>
  <c r="H8" i="390"/>
  <c r="I22" i="390"/>
  <c r="R93" i="720"/>
  <c r="L93" i="720"/>
  <c r="J93" i="720"/>
  <c r="F93" i="720"/>
  <c r="J350" i="720"/>
  <c r="P350" i="720"/>
  <c r="F350" i="720"/>
  <c r="L246" i="721"/>
  <c r="F246" i="721"/>
  <c r="T246" i="721"/>
  <c r="J246" i="721"/>
  <c r="N246" i="721"/>
  <c r="R246" i="721"/>
  <c r="P246" i="721"/>
  <c r="E439" i="720"/>
  <c r="W439" i="720"/>
  <c r="F406" i="721"/>
  <c r="P406" i="721"/>
  <c r="R406" i="721"/>
  <c r="L406" i="721"/>
  <c r="J406" i="721"/>
  <c r="T406" i="721"/>
  <c r="N406" i="721"/>
  <c r="Y358" i="720"/>
  <c r="P266" i="721"/>
  <c r="F266" i="721"/>
  <c r="L266" i="721"/>
  <c r="R266" i="721"/>
  <c r="T266" i="721"/>
  <c r="N266" i="721"/>
  <c r="J266" i="721"/>
  <c r="P597" i="720"/>
  <c r="T597" i="720"/>
  <c r="AE597" i="720"/>
  <c r="N597" i="720"/>
  <c r="J597" i="720"/>
  <c r="L597" i="720"/>
  <c r="L83" i="720"/>
  <c r="L82" i="720"/>
  <c r="N83" i="720"/>
  <c r="N82" i="720"/>
  <c r="F83" i="720"/>
  <c r="F82" i="720"/>
  <c r="T83" i="720"/>
  <c r="T82" i="720"/>
  <c r="J83" i="720"/>
  <c r="J82" i="720"/>
  <c r="R83" i="720"/>
  <c r="R82" i="720"/>
  <c r="F704" i="720"/>
  <c r="J704" i="720"/>
  <c r="T704" i="720"/>
  <c r="P704" i="720"/>
  <c r="R704" i="720"/>
  <c r="N704" i="720"/>
  <c r="L704" i="720"/>
  <c r="N568" i="720"/>
  <c r="P568" i="720"/>
  <c r="R568" i="720"/>
  <c r="J568" i="720"/>
  <c r="L568" i="720"/>
  <c r="F568" i="720"/>
  <c r="T568" i="720"/>
  <c r="J295" i="720"/>
  <c r="L295" i="720"/>
  <c r="N295" i="720"/>
  <c r="T295" i="720"/>
  <c r="F295" i="720"/>
  <c r="R295" i="720"/>
  <c r="P295" i="720"/>
  <c r="T461" i="720"/>
  <c r="N461" i="720"/>
  <c r="F461" i="720"/>
  <c r="R461" i="720"/>
  <c r="L461" i="720"/>
  <c r="J461" i="720"/>
  <c r="P461" i="720"/>
  <c r="Y815" i="720"/>
  <c r="P608" i="720"/>
  <c r="P607" i="720"/>
  <c r="F608" i="720"/>
  <c r="F607" i="720"/>
  <c r="L608" i="720"/>
  <c r="L607" i="720"/>
  <c r="J608" i="720"/>
  <c r="J607" i="720"/>
  <c r="N608" i="720"/>
  <c r="N607" i="720"/>
  <c r="T608" i="720"/>
  <c r="T607" i="720"/>
  <c r="Y607" i="720"/>
  <c r="AE607" i="720"/>
  <c r="R608" i="720"/>
  <c r="R607" i="720"/>
  <c r="R92" i="720"/>
  <c r="F92" i="720"/>
  <c r="L92" i="720"/>
  <c r="P92" i="720"/>
  <c r="N92" i="720"/>
  <c r="J92" i="720"/>
  <c r="T92" i="720"/>
  <c r="AE92" i="720"/>
  <c r="L442" i="720"/>
  <c r="N442" i="720"/>
  <c r="T442" i="720"/>
  <c r="R442" i="720"/>
  <c r="F442" i="720"/>
  <c r="P442" i="720"/>
  <c r="J442" i="720"/>
  <c r="Y294" i="721"/>
  <c r="Y96" i="720"/>
  <c r="L269" i="720"/>
  <c r="N269" i="720"/>
  <c r="R269" i="720"/>
  <c r="F269" i="720"/>
  <c r="J269" i="720"/>
  <c r="P269" i="720"/>
  <c r="T269" i="720"/>
  <c r="W397" i="720"/>
  <c r="E397" i="720"/>
  <c r="Y245" i="720"/>
  <c r="D201" i="721"/>
  <c r="L201" i="721"/>
  <c r="Y607" i="721"/>
  <c r="Y602" i="720"/>
  <c r="Y341" i="720"/>
  <c r="R403" i="721"/>
  <c r="L403" i="721"/>
  <c r="P403" i="721"/>
  <c r="F403" i="721"/>
  <c r="J403" i="721"/>
  <c r="T403" i="721"/>
  <c r="N403" i="721"/>
  <c r="R436" i="720"/>
  <c r="P436" i="720"/>
  <c r="N436" i="720"/>
  <c r="T436" i="720"/>
  <c r="L436" i="720"/>
  <c r="F436" i="720"/>
  <c r="J436" i="720"/>
  <c r="N33" i="720"/>
  <c r="N31" i="720"/>
  <c r="P33" i="720"/>
  <c r="P31" i="720"/>
  <c r="F33" i="720"/>
  <c r="F31" i="720"/>
  <c r="T33" i="720"/>
  <c r="T31" i="720"/>
  <c r="L33" i="720"/>
  <c r="L31" i="720"/>
  <c r="J33" i="720"/>
  <c r="J31" i="720"/>
  <c r="R33" i="720"/>
  <c r="R31" i="720"/>
  <c r="R710" i="721"/>
  <c r="N710" i="721"/>
  <c r="F710" i="721"/>
  <c r="T710" i="721"/>
  <c r="P710" i="721"/>
  <c r="J710" i="721"/>
  <c r="L710" i="721"/>
  <c r="R92" i="721"/>
  <c r="L92" i="721"/>
  <c r="F92" i="721"/>
  <c r="T92" i="721"/>
  <c r="AE92" i="721"/>
  <c r="P92" i="721"/>
  <c r="J92" i="721"/>
  <c r="N92" i="721"/>
  <c r="P828" i="721"/>
  <c r="J828" i="721"/>
  <c r="F828" i="721"/>
  <c r="N828" i="721"/>
  <c r="T828" i="721"/>
  <c r="R828" i="721"/>
  <c r="L828" i="721"/>
  <c r="F615" i="721"/>
  <c r="F614" i="721"/>
  <c r="J615" i="721"/>
  <c r="J614" i="721"/>
  <c r="T615" i="721"/>
  <c r="T614" i="721"/>
  <c r="N615" i="721"/>
  <c r="N614" i="721"/>
  <c r="R615" i="721"/>
  <c r="R614" i="721"/>
  <c r="L615" i="721"/>
  <c r="L614" i="721"/>
  <c r="P615" i="721"/>
  <c r="P614" i="721"/>
  <c r="R289" i="720"/>
  <c r="L289" i="720"/>
  <c r="N289" i="720"/>
  <c r="P289" i="720"/>
  <c r="T289" i="720"/>
  <c r="F289" i="720"/>
  <c r="T277" i="721"/>
  <c r="R277" i="721"/>
  <c r="F277" i="721"/>
  <c r="N277" i="721"/>
  <c r="L277" i="721"/>
  <c r="P277" i="721"/>
  <c r="V402" i="721"/>
  <c r="I55" i="421"/>
  <c r="I57" i="421"/>
  <c r="V402" i="720"/>
  <c r="J603" i="721"/>
  <c r="J602" i="721"/>
  <c r="R603" i="721"/>
  <c r="R602" i="721"/>
  <c r="F603" i="721"/>
  <c r="F602" i="721"/>
  <c r="P603" i="721"/>
  <c r="P602" i="721"/>
  <c r="T603" i="721"/>
  <c r="T602" i="721"/>
  <c r="AE602" i="721"/>
  <c r="N603" i="721"/>
  <c r="N602" i="721"/>
  <c r="L603" i="721"/>
  <c r="L602" i="721"/>
  <c r="T403" i="720"/>
  <c r="R403" i="720"/>
  <c r="P403" i="720"/>
  <c r="N403" i="720"/>
  <c r="L403" i="720"/>
  <c r="AE403" i="720"/>
  <c r="J403" i="720"/>
  <c r="F403" i="720"/>
  <c r="F610" i="721"/>
  <c r="T610" i="721"/>
  <c r="AE610" i="721"/>
  <c r="P610" i="721"/>
  <c r="J610" i="721"/>
  <c r="R610" i="721"/>
  <c r="N610" i="721"/>
  <c r="L610" i="721"/>
  <c r="W439" i="721"/>
  <c r="E439" i="721"/>
  <c r="T439" i="721"/>
  <c r="R413" i="721"/>
  <c r="T413" i="721"/>
  <c r="P413" i="721"/>
  <c r="N413" i="721"/>
  <c r="L413" i="721"/>
  <c r="AE413" i="721"/>
  <c r="F413" i="721"/>
  <c r="J413" i="721"/>
  <c r="J296" i="720"/>
  <c r="F296" i="720"/>
  <c r="L296" i="720"/>
  <c r="P296" i="720"/>
  <c r="R296" i="720"/>
  <c r="N296" i="720"/>
  <c r="T296" i="720"/>
  <c r="F88" i="720"/>
  <c r="L88" i="720"/>
  <c r="J88" i="720"/>
  <c r="P88" i="720"/>
  <c r="N88" i="720"/>
  <c r="R88" i="720"/>
  <c r="T88" i="720"/>
  <c r="T385" i="720"/>
  <c r="J385" i="720"/>
  <c r="R385" i="720"/>
  <c r="L385" i="720"/>
  <c r="F385" i="720"/>
  <c r="N385" i="720"/>
  <c r="P385" i="720"/>
  <c r="P33" i="721"/>
  <c r="P31" i="721"/>
  <c r="L33" i="721"/>
  <c r="L31" i="721"/>
  <c r="F33" i="721"/>
  <c r="F31" i="721"/>
  <c r="N33" i="721"/>
  <c r="N31" i="721"/>
  <c r="J33" i="721"/>
  <c r="J31" i="721"/>
  <c r="R33" i="721"/>
  <c r="R31" i="721"/>
  <c r="T33" i="721"/>
  <c r="T31" i="721"/>
  <c r="T732" i="721"/>
  <c r="R732" i="721"/>
  <c r="N732" i="721"/>
  <c r="L732" i="721"/>
  <c r="P732" i="721"/>
  <c r="F732" i="721"/>
  <c r="J732" i="721"/>
  <c r="F87" i="720"/>
  <c r="R87" i="720"/>
  <c r="P87" i="720"/>
  <c r="N87" i="720"/>
  <c r="J87" i="720"/>
  <c r="T87" i="720"/>
  <c r="AE87" i="720"/>
  <c r="L87" i="720"/>
  <c r="R269" i="721"/>
  <c r="F269" i="721"/>
  <c r="P269" i="721"/>
  <c r="L269" i="721"/>
  <c r="N269" i="721"/>
  <c r="J269" i="721"/>
  <c r="T269" i="721"/>
  <c r="L826" i="720"/>
  <c r="T826" i="720"/>
  <c r="N826" i="720"/>
  <c r="J826" i="720"/>
  <c r="F826" i="720"/>
  <c r="P826" i="720"/>
  <c r="R826" i="720"/>
  <c r="T436" i="721"/>
  <c r="L436" i="721"/>
  <c r="P436" i="721"/>
  <c r="F436" i="721"/>
  <c r="J436" i="721"/>
  <c r="R436" i="721"/>
  <c r="N436" i="721"/>
  <c r="AE436" i="721"/>
  <c r="R704" i="721"/>
  <c r="T704" i="721"/>
  <c r="F704" i="721"/>
  <c r="L704" i="721"/>
  <c r="J704" i="721"/>
  <c r="N704" i="721"/>
  <c r="P704" i="721"/>
  <c r="AE704" i="721"/>
  <c r="T350" i="721"/>
  <c r="L350" i="721"/>
  <c r="F350" i="721"/>
  <c r="J350" i="721"/>
  <c r="R350" i="721"/>
  <c r="P350" i="721"/>
  <c r="N350" i="721"/>
  <c r="F52" i="720"/>
  <c r="P52" i="720"/>
  <c r="T52" i="720"/>
  <c r="N52" i="720"/>
  <c r="L52" i="720"/>
  <c r="R52" i="720"/>
  <c r="AE52" i="720"/>
  <c r="J52" i="720"/>
  <c r="P85" i="721"/>
  <c r="N85" i="721"/>
  <c r="R85" i="721"/>
  <c r="T85" i="721"/>
  <c r="AE85" i="721"/>
  <c r="F85" i="721"/>
  <c r="J85" i="721"/>
  <c r="L85" i="721"/>
  <c r="F610" i="720"/>
  <c r="L610" i="720"/>
  <c r="T610" i="720"/>
  <c r="AE610" i="720"/>
  <c r="R610" i="720"/>
  <c r="N610" i="720"/>
  <c r="P610" i="720"/>
  <c r="J610" i="720"/>
  <c r="P86" i="721"/>
  <c r="L86" i="721"/>
  <c r="N86" i="721"/>
  <c r="F86" i="721"/>
  <c r="R86" i="721"/>
  <c r="J86" i="721"/>
  <c r="T86" i="721"/>
  <c r="AE86" i="721"/>
  <c r="V388" i="720"/>
  <c r="R394" i="721"/>
  <c r="L394" i="721"/>
  <c r="F394" i="721"/>
  <c r="N394" i="721"/>
  <c r="P394" i="721"/>
  <c r="J394" i="721"/>
  <c r="T394" i="721"/>
  <c r="J267" i="721"/>
  <c r="T267" i="721"/>
  <c r="N267" i="721"/>
  <c r="P267" i="721"/>
  <c r="F267" i="721"/>
  <c r="R267" i="721"/>
  <c r="L267" i="721"/>
  <c r="F291" i="720"/>
  <c r="T291" i="720"/>
  <c r="P291" i="720"/>
  <c r="N291" i="720"/>
  <c r="R291" i="720"/>
  <c r="L291" i="720"/>
  <c r="Y358" i="721"/>
  <c r="Y265" i="720"/>
  <c r="T87" i="721"/>
  <c r="AE87" i="721"/>
  <c r="P87" i="721"/>
  <c r="N87" i="721"/>
  <c r="L87" i="721"/>
  <c r="F87" i="721"/>
  <c r="R87" i="721"/>
  <c r="J87" i="721"/>
  <c r="Y566" i="720"/>
  <c r="Y545" i="720"/>
  <c r="J97" i="721"/>
  <c r="J96" i="721"/>
  <c r="N97" i="721"/>
  <c r="N96" i="721"/>
  <c r="F97" i="721"/>
  <c r="F96" i="721"/>
  <c r="L97" i="721"/>
  <c r="L96" i="721"/>
  <c r="T97" i="721"/>
  <c r="T96" i="721"/>
  <c r="P97" i="721"/>
  <c r="P96" i="721"/>
  <c r="R97" i="721"/>
  <c r="R96" i="721"/>
  <c r="P349" i="720"/>
  <c r="R349" i="720"/>
  <c r="L349" i="720"/>
  <c r="N349" i="720"/>
  <c r="F349" i="720"/>
  <c r="T349" i="720"/>
  <c r="J349" i="720"/>
  <c r="Y245" i="721"/>
  <c r="Y815" i="721"/>
  <c r="F268" i="721"/>
  <c r="P268" i="721"/>
  <c r="R268" i="721"/>
  <c r="T268" i="721"/>
  <c r="L268" i="721"/>
  <c r="J268" i="721"/>
  <c r="N268" i="721"/>
  <c r="T733" i="721"/>
  <c r="F733" i="721"/>
  <c r="J733" i="721"/>
  <c r="P733" i="721"/>
  <c r="L733" i="721"/>
  <c r="R733" i="721"/>
  <c r="N733" i="721"/>
  <c r="N363" i="720"/>
  <c r="F363" i="720"/>
  <c r="J363" i="720"/>
  <c r="L363" i="720"/>
  <c r="R363" i="720"/>
  <c r="T363" i="720"/>
  <c r="P363" i="720"/>
  <c r="R442" i="721"/>
  <c r="L442" i="721"/>
  <c r="F442" i="721"/>
  <c r="J442" i="721"/>
  <c r="N442" i="721"/>
  <c r="T442" i="721"/>
  <c r="P442" i="721"/>
  <c r="F360" i="721"/>
  <c r="T360" i="721"/>
  <c r="J360" i="721"/>
  <c r="N360" i="721"/>
  <c r="R360" i="721"/>
  <c r="P360" i="721"/>
  <c r="L360" i="721"/>
  <c r="F396" i="721"/>
  <c r="P396" i="721"/>
  <c r="N396" i="721"/>
  <c r="T396" i="721"/>
  <c r="R396" i="721"/>
  <c r="L396" i="721"/>
  <c r="J396" i="721"/>
  <c r="Y801" i="720"/>
  <c r="Y775" i="720"/>
  <c r="R94" i="721"/>
  <c r="F94" i="721"/>
  <c r="L94" i="721"/>
  <c r="T94" i="721"/>
  <c r="AE94" i="721"/>
  <c r="P94" i="721"/>
  <c r="J94" i="721"/>
  <c r="N94" i="721"/>
  <c r="P732" i="720"/>
  <c r="N732" i="720"/>
  <c r="J732" i="720"/>
  <c r="F732" i="720"/>
  <c r="T732" i="720"/>
  <c r="L732" i="720"/>
  <c r="R732" i="720"/>
  <c r="J360" i="720"/>
  <c r="F360" i="720"/>
  <c r="N360" i="720"/>
  <c r="R360" i="720"/>
  <c r="P360" i="720"/>
  <c r="L360" i="720"/>
  <c r="T360" i="720"/>
  <c r="Y205" i="720"/>
  <c r="Y82" i="720"/>
  <c r="Y81" i="720"/>
  <c r="Y294" i="720"/>
  <c r="J342" i="721"/>
  <c r="F342" i="721"/>
  <c r="P342" i="721"/>
  <c r="T342" i="721"/>
  <c r="R342" i="721"/>
  <c r="N342" i="721"/>
  <c r="L342" i="721"/>
  <c r="AE342" i="721"/>
  <c r="T590" i="720"/>
  <c r="L590" i="720"/>
  <c r="R590" i="720"/>
  <c r="F590" i="720"/>
  <c r="P590" i="720"/>
  <c r="N590" i="720"/>
  <c r="F86" i="720"/>
  <c r="T86" i="720"/>
  <c r="AE86" i="720"/>
  <c r="L86" i="720"/>
  <c r="P86" i="720"/>
  <c r="N86" i="720"/>
  <c r="J86" i="720"/>
  <c r="R86" i="720"/>
  <c r="Y825" i="720"/>
  <c r="F585" i="721"/>
  <c r="R585" i="721"/>
  <c r="N585" i="721"/>
  <c r="L585" i="721"/>
  <c r="J585" i="721"/>
  <c r="T585" i="721"/>
  <c r="P585" i="721"/>
  <c r="L97" i="720"/>
  <c r="L96" i="720"/>
  <c r="N97" i="720"/>
  <c r="N96" i="720"/>
  <c r="J97" i="720"/>
  <c r="J96" i="720"/>
  <c r="P97" i="720"/>
  <c r="P96" i="720"/>
  <c r="R97" i="720"/>
  <c r="R96" i="720"/>
  <c r="T97" i="720"/>
  <c r="T96" i="720"/>
  <c r="F97" i="720"/>
  <c r="F96" i="720"/>
  <c r="W397" i="721"/>
  <c r="E397" i="721"/>
  <c r="W175" i="721"/>
  <c r="F175" i="721"/>
  <c r="AA175" i="721"/>
  <c r="AA173" i="721"/>
  <c r="AA172" i="721"/>
  <c r="Y175" i="721"/>
  <c r="Y173" i="721"/>
  <c r="Y172" i="721"/>
  <c r="AC175" i="721"/>
  <c r="Y257" i="720"/>
  <c r="V448" i="720"/>
  <c r="V448" i="721"/>
  <c r="I55" i="691"/>
  <c r="I57" i="691"/>
  <c r="L462" i="721"/>
  <c r="N462" i="721"/>
  <c r="T462" i="721"/>
  <c r="R462" i="721"/>
  <c r="P462" i="721"/>
  <c r="AE462" i="721"/>
  <c r="J462" i="721"/>
  <c r="F462" i="721"/>
  <c r="AE33" i="720"/>
  <c r="Y31" i="720"/>
  <c r="Y11" i="720"/>
  <c r="P94" i="720"/>
  <c r="J94" i="720"/>
  <c r="T94" i="720"/>
  <c r="AE94" i="720"/>
  <c r="R94" i="720"/>
  <c r="L94" i="720"/>
  <c r="F94" i="720"/>
  <c r="N94" i="720"/>
  <c r="Y257" i="721"/>
  <c r="T52" i="721"/>
  <c r="P52" i="721"/>
  <c r="R52" i="721"/>
  <c r="F52" i="721"/>
  <c r="J52" i="721"/>
  <c r="L52" i="721"/>
  <c r="N52" i="721"/>
  <c r="Y614" i="721"/>
  <c r="T292" i="720"/>
  <c r="L292" i="720"/>
  <c r="N292" i="720"/>
  <c r="R292" i="720"/>
  <c r="F292" i="720"/>
  <c r="P292" i="720"/>
  <c r="F55" i="263"/>
  <c r="H56" i="263"/>
  <c r="AE394" i="720"/>
  <c r="L288" i="721"/>
  <c r="F288" i="721"/>
  <c r="R288" i="721"/>
  <c r="T288" i="721"/>
  <c r="P288" i="721"/>
  <c r="N288" i="721"/>
  <c r="F8" i="420"/>
  <c r="H8" i="420"/>
  <c r="I22" i="420"/>
  <c r="AE395" i="720"/>
  <c r="AE83" i="720"/>
  <c r="AE608" i="720"/>
  <c r="AE363" i="721"/>
  <c r="AE295" i="720"/>
  <c r="AE268" i="720"/>
  <c r="AE289" i="720"/>
  <c r="AE442" i="721"/>
  <c r="AE615" i="721"/>
  <c r="AE603" i="720"/>
  <c r="AE442" i="720"/>
  <c r="AE360" i="720"/>
  <c r="AE288" i="721"/>
  <c r="AE403" i="721"/>
  <c r="AE349" i="720"/>
  <c r="AE88" i="720"/>
  <c r="AE296" i="720"/>
  <c r="AE292" i="720"/>
  <c r="AE52" i="721"/>
  <c r="AE396" i="721"/>
  <c r="AE360" i="721"/>
  <c r="AE394" i="721"/>
  <c r="AE732" i="721"/>
  <c r="AE710" i="721"/>
  <c r="AE269" i="720"/>
  <c r="AE95" i="720"/>
  <c r="AE460" i="721"/>
  <c r="AE396" i="720"/>
  <c r="AE350" i="721"/>
  <c r="AE461" i="720"/>
  <c r="AE590" i="720"/>
  <c r="AE732" i="720"/>
  <c r="AE268" i="721"/>
  <c r="AE704" i="720"/>
  <c r="F265" i="721"/>
  <c r="AE406" i="721"/>
  <c r="AE349" i="721"/>
  <c r="AE391" i="721"/>
  <c r="AE363" i="720"/>
  <c r="AE267" i="721"/>
  <c r="AE385" i="720"/>
  <c r="AE828" i="721"/>
  <c r="AE588" i="721"/>
  <c r="P825" i="721"/>
  <c r="P824" i="721"/>
  <c r="AE298" i="721"/>
  <c r="Y824" i="720"/>
  <c r="P397" i="721"/>
  <c r="T397" i="721"/>
  <c r="R397" i="721"/>
  <c r="N397" i="721"/>
  <c r="J397" i="721"/>
  <c r="F397" i="721"/>
  <c r="L397" i="721"/>
  <c r="L439" i="721"/>
  <c r="J439" i="721"/>
  <c r="F439" i="721"/>
  <c r="R439" i="721"/>
  <c r="N439" i="721"/>
  <c r="P439" i="721"/>
  <c r="F58" i="421"/>
  <c r="AC147" i="721"/>
  <c r="E448" i="721"/>
  <c r="W448" i="721"/>
  <c r="AE246" i="721"/>
  <c r="W402" i="721"/>
  <c r="E402" i="721"/>
  <c r="Y243" i="720"/>
  <c r="T265" i="721"/>
  <c r="P265" i="721"/>
  <c r="I55" i="390"/>
  <c r="I57" i="390"/>
  <c r="V389" i="720"/>
  <c r="V389" i="721"/>
  <c r="T825" i="721"/>
  <c r="T824" i="721"/>
  <c r="F825" i="721"/>
  <c r="G824" i="721"/>
  <c r="AE33" i="721"/>
  <c r="Y580" i="721"/>
  <c r="AC838" i="720"/>
  <c r="Y824" i="721"/>
  <c r="W446" i="721"/>
  <c r="E446" i="721"/>
  <c r="W448" i="720"/>
  <c r="E448" i="720"/>
  <c r="Y243" i="721"/>
  <c r="AE436" i="720"/>
  <c r="T397" i="720"/>
  <c r="F397" i="720"/>
  <c r="L397" i="720"/>
  <c r="R397" i="720"/>
  <c r="J397" i="720"/>
  <c r="N397" i="720"/>
  <c r="P397" i="720"/>
  <c r="AE97" i="720"/>
  <c r="R265" i="721"/>
  <c r="J825" i="721"/>
  <c r="J824" i="721"/>
  <c r="AE31" i="721"/>
  <c r="AE97" i="721"/>
  <c r="AE603" i="721"/>
  <c r="W446" i="720"/>
  <c r="E446" i="720"/>
  <c r="AE266" i="721"/>
  <c r="I55" i="312"/>
  <c r="I57" i="312"/>
  <c r="F58" i="312"/>
  <c r="H59" i="312"/>
  <c r="V380" i="720"/>
  <c r="V380" i="721"/>
  <c r="Y775" i="721"/>
  <c r="W388" i="720"/>
  <c r="E388" i="720"/>
  <c r="AE82" i="720"/>
  <c r="N265" i="721"/>
  <c r="F8" i="394"/>
  <c r="H8" i="394"/>
  <c r="I22" i="394"/>
  <c r="N825" i="721"/>
  <c r="N824" i="721"/>
  <c r="Y580" i="720"/>
  <c r="F58" i="689"/>
  <c r="H59" i="689"/>
  <c r="AE175" i="721"/>
  <c r="AC173" i="721"/>
  <c r="F8" i="418"/>
  <c r="H8" i="418"/>
  <c r="I22" i="418"/>
  <c r="V401" i="721"/>
  <c r="E401" i="721"/>
  <c r="I55" i="420"/>
  <c r="I57" i="420"/>
  <c r="F58" i="420"/>
  <c r="H59" i="420"/>
  <c r="V401" i="720"/>
  <c r="AE614" i="721"/>
  <c r="AE31" i="720"/>
  <c r="AE826" i="720"/>
  <c r="E402" i="720"/>
  <c r="W402" i="720"/>
  <c r="F201" i="721"/>
  <c r="AA201" i="721"/>
  <c r="W201" i="721"/>
  <c r="Y201" i="721"/>
  <c r="AC201" i="721"/>
  <c r="AE201" i="721"/>
  <c r="AE96" i="720"/>
  <c r="J265" i="721"/>
  <c r="L265" i="721"/>
  <c r="AE265" i="721"/>
  <c r="N439" i="720"/>
  <c r="L439" i="720"/>
  <c r="T439" i="720"/>
  <c r="R439" i="720"/>
  <c r="P439" i="720"/>
  <c r="AE439" i="720"/>
  <c r="J439" i="720"/>
  <c r="F439" i="720"/>
  <c r="R825" i="721"/>
  <c r="R824" i="721"/>
  <c r="AE96" i="721"/>
  <c r="AA147" i="721"/>
  <c r="AA123" i="721"/>
  <c r="AA838" i="721"/>
  <c r="Y81" i="721"/>
  <c r="AE397" i="720"/>
  <c r="AE397" i="721"/>
  <c r="AE439" i="721"/>
  <c r="E380" i="721"/>
  <c r="W380" i="721"/>
  <c r="T448" i="720"/>
  <c r="F448" i="720"/>
  <c r="P448" i="720"/>
  <c r="L448" i="720"/>
  <c r="N448" i="720"/>
  <c r="R448" i="720"/>
  <c r="AE448" i="720"/>
  <c r="J448" i="720"/>
  <c r="F446" i="721"/>
  <c r="T446" i="721"/>
  <c r="R446" i="721"/>
  <c r="N446" i="721"/>
  <c r="L446" i="721"/>
  <c r="J446" i="721"/>
  <c r="P446" i="721"/>
  <c r="E389" i="720"/>
  <c r="J389" i="720"/>
  <c r="W389" i="720"/>
  <c r="J402" i="721"/>
  <c r="L402" i="721"/>
  <c r="T402" i="721"/>
  <c r="F402" i="721"/>
  <c r="N402" i="721"/>
  <c r="R402" i="721"/>
  <c r="P402" i="721"/>
  <c r="F8" i="371"/>
  <c r="H8" i="371"/>
  <c r="I22" i="371"/>
  <c r="V390" i="721"/>
  <c r="E390" i="721"/>
  <c r="V390" i="720"/>
  <c r="I55" i="394"/>
  <c r="I57" i="394"/>
  <c r="T388" i="720"/>
  <c r="R388" i="720"/>
  <c r="P388" i="720"/>
  <c r="L388" i="720"/>
  <c r="J388" i="720"/>
  <c r="F388" i="720"/>
  <c r="N388" i="720"/>
  <c r="W380" i="720"/>
  <c r="E380" i="720"/>
  <c r="L380" i="720"/>
  <c r="R446" i="720"/>
  <c r="N446" i="720"/>
  <c r="P446" i="720"/>
  <c r="L446" i="720"/>
  <c r="J446" i="720"/>
  <c r="F446" i="720"/>
  <c r="T446" i="720"/>
  <c r="Z824" i="721"/>
  <c r="V824" i="721"/>
  <c r="AB824" i="721"/>
  <c r="F58" i="390"/>
  <c r="H59" i="390"/>
  <c r="F448" i="721"/>
  <c r="L448" i="721"/>
  <c r="P448" i="721"/>
  <c r="J448" i="721"/>
  <c r="R448" i="721"/>
  <c r="N448" i="721"/>
  <c r="T448" i="721"/>
  <c r="W401" i="720"/>
  <c r="E401" i="720"/>
  <c r="F401" i="720"/>
  <c r="F402" i="720"/>
  <c r="L402" i="720"/>
  <c r="P402" i="720"/>
  <c r="J402" i="720"/>
  <c r="T402" i="720"/>
  <c r="R402" i="720"/>
  <c r="N402" i="720"/>
  <c r="AE402" i="720"/>
  <c r="AC172" i="721"/>
  <c r="X824" i="721"/>
  <c r="Y838" i="721"/>
  <c r="W389" i="721"/>
  <c r="E389" i="721"/>
  <c r="J389" i="721"/>
  <c r="AC123" i="721"/>
  <c r="Y838" i="720"/>
  <c r="AE402" i="721"/>
  <c r="W390" i="720"/>
  <c r="E390" i="720"/>
  <c r="R390" i="720"/>
  <c r="F9" i="700"/>
  <c r="H9" i="700"/>
  <c r="I22" i="700"/>
  <c r="F8" i="701"/>
  <c r="H8" i="701"/>
  <c r="I22" i="701"/>
  <c r="J401" i="720"/>
  <c r="R401" i="720"/>
  <c r="L401" i="720"/>
  <c r="P401" i="720"/>
  <c r="N401" i="720"/>
  <c r="W390" i="721"/>
  <c r="N380" i="721"/>
  <c r="P380" i="721"/>
  <c r="J380" i="721"/>
  <c r="F380" i="721"/>
  <c r="L380" i="721"/>
  <c r="R380" i="721"/>
  <c r="T380" i="721"/>
  <c r="AC838" i="721"/>
  <c r="T380" i="720"/>
  <c r="R380" i="720"/>
  <c r="F8" i="435"/>
  <c r="H8" i="435"/>
  <c r="F389" i="720"/>
  <c r="P389" i="720"/>
  <c r="N389" i="720"/>
  <c r="T389" i="720"/>
  <c r="R389" i="720"/>
  <c r="J390" i="720"/>
  <c r="F390" i="720"/>
  <c r="T390" i="720"/>
  <c r="P390" i="720"/>
  <c r="N390" i="720"/>
  <c r="L390" i="720"/>
  <c r="F8" i="433"/>
  <c r="H8" i="433"/>
  <c r="I22" i="433"/>
  <c r="F8" i="429"/>
  <c r="H8" i="429"/>
  <c r="I22" i="429"/>
  <c r="F8" i="406"/>
  <c r="H8" i="406"/>
  <c r="I22" i="406"/>
  <c r="F8" i="368"/>
  <c r="H8" i="368"/>
  <c r="I22" i="368"/>
  <c r="F8" i="376"/>
  <c r="H8" i="376"/>
  <c r="I22" i="376"/>
  <c r="F8" i="339"/>
  <c r="H8" i="339"/>
  <c r="I22" i="339"/>
  <c r="F8" i="343"/>
  <c r="H8" i="343"/>
  <c r="I22" i="343"/>
  <c r="V410" i="720"/>
  <c r="F8" i="426"/>
  <c r="H8" i="426"/>
  <c r="I22" i="426"/>
  <c r="I55" i="426"/>
  <c r="I57" i="426"/>
  <c r="F9" i="435"/>
  <c r="H9" i="435"/>
  <c r="F8" i="431"/>
  <c r="H8" i="431"/>
  <c r="I22" i="431"/>
  <c r="F8" i="432"/>
  <c r="H8" i="432"/>
  <c r="I22" i="432"/>
  <c r="V420" i="720"/>
  <c r="W420" i="720"/>
  <c r="P401" i="721"/>
  <c r="J401" i="721"/>
  <c r="F401" i="721"/>
  <c r="R401" i="721"/>
  <c r="N401" i="721"/>
  <c r="T401" i="721"/>
  <c r="L401" i="721"/>
  <c r="F390" i="721"/>
  <c r="J390" i="721"/>
  <c r="L390" i="721"/>
  <c r="N390" i="721"/>
  <c r="T390" i="721"/>
  <c r="P390" i="721"/>
  <c r="W401" i="721"/>
  <c r="AE446" i="721"/>
  <c r="AE269" i="721"/>
  <c r="AE277" i="721"/>
  <c r="AE448" i="721"/>
  <c r="AE585" i="721"/>
  <c r="AE733" i="721"/>
  <c r="I22" i="435"/>
  <c r="V422" i="721"/>
  <c r="L389" i="720"/>
  <c r="T401" i="720"/>
  <c r="AE291" i="720"/>
  <c r="AE568" i="720"/>
  <c r="AE440" i="721"/>
  <c r="N350" i="720"/>
  <c r="R350" i="720"/>
  <c r="P93" i="720"/>
  <c r="T588" i="720"/>
  <c r="AE588" i="720"/>
  <c r="N387" i="720"/>
  <c r="AE387" i="720"/>
  <c r="F387" i="720"/>
  <c r="F88" i="721"/>
  <c r="N88" i="721"/>
  <c r="R568" i="721"/>
  <c r="F413" i="720"/>
  <c r="R733" i="720"/>
  <c r="J733" i="720"/>
  <c r="T409" i="721"/>
  <c r="F409" i="721"/>
  <c r="AE399" i="720"/>
  <c r="N781" i="720"/>
  <c r="F432" i="721"/>
  <c r="L432" i="721"/>
  <c r="T432" i="721"/>
  <c r="R432" i="721"/>
  <c r="P432" i="721"/>
  <c r="AE432" i="721"/>
  <c r="N43" i="720"/>
  <c r="AE44" i="720"/>
  <c r="P43" i="721"/>
  <c r="AE44" i="721"/>
  <c r="P62" i="721"/>
  <c r="F62" i="721"/>
  <c r="T62" i="721"/>
  <c r="L62" i="721"/>
  <c r="N62" i="721"/>
  <c r="T778" i="720"/>
  <c r="R778" i="720"/>
  <c r="F778" i="720"/>
  <c r="N778" i="720"/>
  <c r="N776" i="720"/>
  <c r="P778" i="720"/>
  <c r="P776" i="720"/>
  <c r="F597" i="720"/>
  <c r="T350" i="720"/>
  <c r="AE350" i="720"/>
  <c r="T93" i="720"/>
  <c r="AE93" i="720"/>
  <c r="L826" i="721"/>
  <c r="J387" i="720"/>
  <c r="T88" i="721"/>
  <c r="AE88" i="721"/>
  <c r="T85" i="720"/>
  <c r="AE85" i="720"/>
  <c r="F391" i="720"/>
  <c r="J585" i="720"/>
  <c r="T585" i="720"/>
  <c r="T568" i="721"/>
  <c r="AE568" i="721"/>
  <c r="L413" i="720"/>
  <c r="AE413" i="720"/>
  <c r="T246" i="720"/>
  <c r="P246" i="720"/>
  <c r="R292" i="721"/>
  <c r="AE292" i="721"/>
  <c r="J334" i="720"/>
  <c r="L409" i="721"/>
  <c r="T298" i="720"/>
  <c r="AE298" i="720"/>
  <c r="J778" i="720"/>
  <c r="J776" i="720"/>
  <c r="F54" i="623"/>
  <c r="H55" i="623"/>
  <c r="T118" i="721"/>
  <c r="J118" i="721"/>
  <c r="N118" i="721"/>
  <c r="R118" i="721"/>
  <c r="L118" i="721"/>
  <c r="T816" i="721"/>
  <c r="N816" i="721"/>
  <c r="J816" i="721"/>
  <c r="F816" i="721"/>
  <c r="L816" i="721"/>
  <c r="W432" i="720"/>
  <c r="E432" i="720"/>
  <c r="T151" i="720"/>
  <c r="AE151" i="720"/>
  <c r="AE162" i="720"/>
  <c r="E483" i="721"/>
  <c r="W483" i="721"/>
  <c r="W482" i="721"/>
  <c r="W608" i="721"/>
  <c r="E608" i="721"/>
  <c r="W187" i="721"/>
  <c r="E187" i="721"/>
  <c r="V806" i="720"/>
  <c r="I52" i="638"/>
  <c r="I54" i="638"/>
  <c r="F55" i="638"/>
  <c r="H56" i="638"/>
  <c r="V806" i="721"/>
  <c r="L781" i="720"/>
  <c r="L776" i="720"/>
  <c r="F781" i="720"/>
  <c r="T781" i="720"/>
  <c r="R781" i="720"/>
  <c r="AE781" i="720"/>
  <c r="AE62" i="721"/>
  <c r="T148" i="721"/>
  <c r="L148" i="721"/>
  <c r="R148" i="721"/>
  <c r="P148" i="721"/>
  <c r="R810" i="720"/>
  <c r="R809" i="720"/>
  <c r="J50" i="721"/>
  <c r="N50" i="721"/>
  <c r="P50" i="721"/>
  <c r="T50" i="721"/>
  <c r="L50" i="721"/>
  <c r="F50" i="721"/>
  <c r="N178" i="720"/>
  <c r="T178" i="720"/>
  <c r="J178" i="720"/>
  <c r="P178" i="720"/>
  <c r="L178" i="720"/>
  <c r="R178" i="720"/>
  <c r="F810" i="720"/>
  <c r="J810" i="720"/>
  <c r="L810" i="720"/>
  <c r="L809" i="720"/>
  <c r="T810" i="720"/>
  <c r="T813" i="720"/>
  <c r="T809" i="720"/>
  <c r="W816" i="720"/>
  <c r="E816" i="720"/>
  <c r="V320" i="721"/>
  <c r="V320" i="720"/>
  <c r="I53" i="614"/>
  <c r="I55" i="614"/>
  <c r="F56" i="614"/>
  <c r="H57" i="614"/>
  <c r="V191" i="721"/>
  <c r="V191" i="720"/>
  <c r="W191" i="720"/>
  <c r="I52" i="581"/>
  <c r="I54" i="581"/>
  <c r="I52" i="462"/>
  <c r="I54" i="462"/>
  <c r="F55" i="462"/>
  <c r="H56" i="462"/>
  <c r="V63" i="721"/>
  <c r="V63" i="720"/>
  <c r="V567" i="720"/>
  <c r="V567" i="721"/>
  <c r="I52" i="479"/>
  <c r="I54" i="479"/>
  <c r="F55" i="479"/>
  <c r="H56" i="479"/>
  <c r="V148" i="720"/>
  <c r="E78" i="720"/>
  <c r="W78" i="720"/>
  <c r="F175" i="720"/>
  <c r="R175" i="720"/>
  <c r="AE175" i="720"/>
  <c r="L64" i="721"/>
  <c r="N64" i="721"/>
  <c r="W520" i="720"/>
  <c r="E520" i="720"/>
  <c r="V723" i="720"/>
  <c r="V723" i="721"/>
  <c r="J175" i="720"/>
  <c r="J114" i="721"/>
  <c r="R114" i="721"/>
  <c r="T114" i="721"/>
  <c r="N813" i="720"/>
  <c r="AE813" i="720"/>
  <c r="N809" i="720"/>
  <c r="N781" i="721"/>
  <c r="R781" i="721"/>
  <c r="L781" i="721"/>
  <c r="L776" i="721"/>
  <c r="P781" i="721"/>
  <c r="P776" i="721"/>
  <c r="I55" i="360"/>
  <c r="I57" i="360"/>
  <c r="F58" i="360"/>
  <c r="H59" i="360"/>
  <c r="F55" i="628"/>
  <c r="H56" i="628"/>
  <c r="J149" i="721"/>
  <c r="R149" i="721"/>
  <c r="P149" i="721"/>
  <c r="AE149" i="721"/>
  <c r="N776" i="721"/>
  <c r="E18" i="721"/>
  <c r="N200" i="720"/>
  <c r="J200" i="720"/>
  <c r="L200" i="720"/>
  <c r="V189" i="721"/>
  <c r="V189" i="720"/>
  <c r="W65" i="720"/>
  <c r="E65" i="720"/>
  <c r="P809" i="720"/>
  <c r="AE200" i="721"/>
  <c r="R818" i="720"/>
  <c r="N818" i="720"/>
  <c r="P722" i="720"/>
  <c r="N722" i="720"/>
  <c r="J162" i="721"/>
  <c r="J151" i="721"/>
  <c r="N162" i="721"/>
  <c r="N151" i="721"/>
  <c r="T573" i="721"/>
  <c r="T572" i="721"/>
  <c r="AE572" i="721"/>
  <c r="L573" i="721"/>
  <c r="L572" i="721"/>
  <c r="T722" i="721"/>
  <c r="AE722" i="721"/>
  <c r="F722" i="721"/>
  <c r="V16" i="720"/>
  <c r="V187" i="720"/>
  <c r="I52" i="579"/>
  <c r="I54" i="579"/>
  <c r="I53" i="598"/>
  <c r="I55" i="598"/>
  <c r="F56" i="598"/>
  <c r="H57" i="598"/>
  <c r="V295" i="721"/>
  <c r="V583" i="721"/>
  <c r="V583" i="720"/>
  <c r="W520" i="721"/>
  <c r="E520" i="721"/>
  <c r="W486" i="720"/>
  <c r="W482" i="720"/>
  <c r="E486" i="720"/>
  <c r="V304" i="721"/>
  <c r="I53" i="606"/>
  <c r="I55" i="606"/>
  <c r="F56" i="606"/>
  <c r="H57" i="606"/>
  <c r="V304" i="720"/>
  <c r="V441" i="721"/>
  <c r="V441" i="720"/>
  <c r="I55" i="684"/>
  <c r="I57" i="684"/>
  <c r="F58" i="684"/>
  <c r="H59" i="684"/>
  <c r="V593" i="720"/>
  <c r="V593" i="721"/>
  <c r="V615" i="720"/>
  <c r="I52" i="436"/>
  <c r="I54" i="436"/>
  <c r="W117" i="720"/>
  <c r="E117" i="720"/>
  <c r="I53" i="595"/>
  <c r="I55" i="595"/>
  <c r="F56" i="595"/>
  <c r="H57" i="595"/>
  <c r="V266" i="720"/>
  <c r="I20" i="252"/>
  <c r="V611" i="721"/>
  <c r="V611" i="720"/>
  <c r="V818" i="721"/>
  <c r="I52" i="629"/>
  <c r="I54" i="629"/>
  <c r="F55" i="629"/>
  <c r="H56" i="629"/>
  <c r="V819" i="720"/>
  <c r="I52" i="631"/>
  <c r="I54" i="631"/>
  <c r="F55" i="631"/>
  <c r="H56" i="631"/>
  <c r="V819" i="721"/>
  <c r="V61" i="720"/>
  <c r="V61" i="721"/>
  <c r="V609" i="721"/>
  <c r="V609" i="720"/>
  <c r="I52" i="564"/>
  <c r="I54" i="564"/>
  <c r="F55" i="564"/>
  <c r="H56" i="564"/>
  <c r="V95" i="721"/>
  <c r="V730" i="721"/>
  <c r="V730" i="720"/>
  <c r="I22" i="459"/>
  <c r="V427" i="720"/>
  <c r="V710" i="720"/>
  <c r="V259" i="721"/>
  <c r="V259" i="720"/>
  <c r="I52" i="574"/>
  <c r="I54" i="574"/>
  <c r="F55" i="574"/>
  <c r="I55" i="705"/>
  <c r="I57" i="705"/>
  <c r="F58" i="705"/>
  <c r="H59" i="705"/>
  <c r="V462" i="720"/>
  <c r="V419" i="720"/>
  <c r="V419" i="721"/>
  <c r="V62" i="720"/>
  <c r="I52" i="461"/>
  <c r="I54" i="461"/>
  <c r="F55" i="461"/>
  <c r="H56" i="461"/>
  <c r="V117" i="721"/>
  <c r="I52" i="270"/>
  <c r="I54" i="270"/>
  <c r="F55" i="270"/>
  <c r="H56" i="270"/>
  <c r="V312" i="720"/>
  <c r="V312" i="721"/>
  <c r="V313" i="721"/>
  <c r="I52" i="610"/>
  <c r="I54" i="610"/>
  <c r="F55" i="610"/>
  <c r="H56" i="610"/>
  <c r="V313" i="720"/>
  <c r="V51" i="720"/>
  <c r="V51" i="721"/>
  <c r="I52" i="633"/>
  <c r="I54" i="633"/>
  <c r="V817" i="721"/>
  <c r="I19" i="539"/>
  <c r="I52" i="539"/>
  <c r="I54" i="539"/>
  <c r="F55" i="539"/>
  <c r="H56" i="539"/>
  <c r="H53" i="552"/>
  <c r="I19" i="604"/>
  <c r="I19" i="396"/>
  <c r="V618" i="720"/>
  <c r="I19" i="625"/>
  <c r="I22" i="674"/>
  <c r="I20" i="588"/>
  <c r="V247" i="721"/>
  <c r="I19" i="568"/>
  <c r="I21" i="607"/>
  <c r="V828" i="720"/>
  <c r="I19" i="287"/>
  <c r="I52" i="287"/>
  <c r="I54" i="287"/>
  <c r="I20" i="523"/>
  <c r="I53" i="523"/>
  <c r="I55" i="523"/>
  <c r="F56" i="523"/>
  <c r="H57" i="523"/>
  <c r="V418" i="720"/>
  <c r="V418" i="721"/>
  <c r="I55" i="406"/>
  <c r="I57" i="406"/>
  <c r="F58" i="406"/>
  <c r="E422" i="721"/>
  <c r="W422" i="721"/>
  <c r="F58" i="426"/>
  <c r="H59" i="426"/>
  <c r="F58" i="394"/>
  <c r="H59" i="394"/>
  <c r="F380" i="720"/>
  <c r="F389" i="721"/>
  <c r="AE446" i="720"/>
  <c r="AE390" i="720"/>
  <c r="AE388" i="720"/>
  <c r="AE389" i="720"/>
  <c r="AE401" i="721"/>
  <c r="P380" i="720"/>
  <c r="J380" i="720"/>
  <c r="AE380" i="721"/>
  <c r="R390" i="721"/>
  <c r="AE390" i="721"/>
  <c r="N380" i="720"/>
  <c r="T389" i="721"/>
  <c r="AE401" i="720"/>
  <c r="H59" i="421"/>
  <c r="L461" i="721"/>
  <c r="N461" i="721"/>
  <c r="AE461" i="721"/>
  <c r="L288" i="720"/>
  <c r="N288" i="720"/>
  <c r="P597" i="721"/>
  <c r="F597" i="721"/>
  <c r="F286" i="720"/>
  <c r="N286" i="720"/>
  <c r="AE286" i="720"/>
  <c r="F395" i="721"/>
  <c r="N334" i="720"/>
  <c r="P334" i="720"/>
  <c r="P391" i="720"/>
  <c r="AE391" i="720"/>
  <c r="R585" i="720"/>
  <c r="AE585" i="720"/>
  <c r="R246" i="720"/>
  <c r="AE246" i="720"/>
  <c r="P399" i="721"/>
  <c r="AE399" i="721"/>
  <c r="N395" i="721"/>
  <c r="P192" i="721"/>
  <c r="R192" i="721"/>
  <c r="T179" i="720"/>
  <c r="L179" i="720"/>
  <c r="R179" i="720"/>
  <c r="P179" i="720"/>
  <c r="T820" i="720"/>
  <c r="N820" i="720"/>
  <c r="P820" i="720"/>
  <c r="J820" i="720"/>
  <c r="F820" i="720"/>
  <c r="T483" i="720"/>
  <c r="J483" i="720"/>
  <c r="N483" i="720"/>
  <c r="T486" i="721"/>
  <c r="F486" i="721"/>
  <c r="I55" i="459"/>
  <c r="I57" i="459"/>
  <c r="V427" i="721"/>
  <c r="P115" i="720"/>
  <c r="N115" i="720"/>
  <c r="J192" i="721"/>
  <c r="J486" i="721"/>
  <c r="F813" i="720"/>
  <c r="F809" i="720"/>
  <c r="J813" i="720"/>
  <c r="J809" i="720"/>
  <c r="T64" i="721"/>
  <c r="R64" i="721"/>
  <c r="F179" i="720"/>
  <c r="T520" i="721"/>
  <c r="J520" i="721"/>
  <c r="F55" i="573"/>
  <c r="H56" i="573"/>
  <c r="AE573" i="721"/>
  <c r="F192" i="721"/>
  <c r="T192" i="721"/>
  <c r="P114" i="721"/>
  <c r="N114" i="721"/>
  <c r="N486" i="721"/>
  <c r="P486" i="721"/>
  <c r="N816" i="720"/>
  <c r="R816" i="720"/>
  <c r="E191" i="720"/>
  <c r="L820" i="720"/>
  <c r="N179" i="720"/>
  <c r="L575" i="721"/>
  <c r="J575" i="721"/>
  <c r="N575" i="721"/>
  <c r="L64" i="720"/>
  <c r="T64" i="720"/>
  <c r="N64" i="720"/>
  <c r="AE64" i="720"/>
  <c r="F64" i="720"/>
  <c r="W180" i="720"/>
  <c r="E180" i="720"/>
  <c r="V291" i="721"/>
  <c r="I53" i="409"/>
  <c r="I55" i="409"/>
  <c r="F56" i="409"/>
  <c r="H57" i="409"/>
  <c r="J776" i="721"/>
  <c r="N192" i="721"/>
  <c r="R486" i="721"/>
  <c r="L187" i="721"/>
  <c r="R187" i="721"/>
  <c r="AE200" i="720"/>
  <c r="R820" i="720"/>
  <c r="R483" i="720"/>
  <c r="R520" i="720"/>
  <c r="F520" i="720"/>
  <c r="L573" i="720"/>
  <c r="L572" i="720"/>
  <c r="N573" i="720"/>
  <c r="N572" i="720"/>
  <c r="P573" i="720"/>
  <c r="P572" i="720"/>
  <c r="J573" i="720"/>
  <c r="J572" i="720"/>
  <c r="T573" i="720"/>
  <c r="F55" i="464"/>
  <c r="H56" i="464"/>
  <c r="J810" i="721"/>
  <c r="L810" i="721"/>
  <c r="R810" i="721"/>
  <c r="T810" i="721"/>
  <c r="F810" i="721"/>
  <c r="H56" i="207"/>
  <c r="L72" i="721"/>
  <c r="L71" i="721"/>
  <c r="T72" i="721"/>
  <c r="N149" i="720"/>
  <c r="L149" i="720"/>
  <c r="R149" i="720"/>
  <c r="T149" i="720"/>
  <c r="P149" i="720"/>
  <c r="W723" i="721"/>
  <c r="E723" i="721"/>
  <c r="W115" i="721"/>
  <c r="E115" i="721"/>
  <c r="V455" i="720"/>
  <c r="I55" i="698"/>
  <c r="I57" i="698"/>
  <c r="V455" i="721"/>
  <c r="H57" i="605"/>
  <c r="F55" i="239"/>
  <c r="H56" i="239"/>
  <c r="J72" i="720"/>
  <c r="J71" i="720"/>
  <c r="F72" i="720"/>
  <c r="F71" i="720"/>
  <c r="R72" i="720"/>
  <c r="R71" i="720"/>
  <c r="W174" i="720"/>
  <c r="E174" i="720"/>
  <c r="W811" i="721"/>
  <c r="E811" i="721"/>
  <c r="V192" i="720"/>
  <c r="I52" i="582"/>
  <c r="I54" i="582"/>
  <c r="J78" i="720"/>
  <c r="L78" i="720"/>
  <c r="F78" i="720"/>
  <c r="V293" i="720"/>
  <c r="V293" i="721"/>
  <c r="V286" i="721"/>
  <c r="I53" i="403"/>
  <c r="I55" i="403"/>
  <c r="F56" i="403"/>
  <c r="H57" i="403"/>
  <c r="F59" i="338"/>
  <c r="H60" i="338"/>
  <c r="F55" i="463"/>
  <c r="H56" i="463"/>
  <c r="P485" i="720"/>
  <c r="F485" i="720"/>
  <c r="V375" i="720"/>
  <c r="X375" i="720"/>
  <c r="P483" i="721"/>
  <c r="J483" i="721"/>
  <c r="J482" i="721"/>
  <c r="H56" i="296"/>
  <c r="V359" i="720"/>
  <c r="V359" i="721"/>
  <c r="V16" i="721"/>
  <c r="F55" i="217"/>
  <c r="H56" i="217"/>
  <c r="V99" i="721"/>
  <c r="V99" i="720"/>
  <c r="W72" i="720"/>
  <c r="W71" i="720"/>
  <c r="T72" i="720"/>
  <c r="T71" i="720"/>
  <c r="AE71" i="720"/>
  <c r="N72" i="720"/>
  <c r="N71" i="720"/>
  <c r="E179" i="721"/>
  <c r="W179" i="721"/>
  <c r="W174" i="721"/>
  <c r="E174" i="721"/>
  <c r="I21" i="251"/>
  <c r="V595" i="720"/>
  <c r="V595" i="721"/>
  <c r="I55" i="674"/>
  <c r="I57" i="674"/>
  <c r="V437" i="720"/>
  <c r="V100" i="720"/>
  <c r="I52" i="568"/>
  <c r="I54" i="568"/>
  <c r="V100" i="721"/>
  <c r="V315" i="721"/>
  <c r="I52" i="612"/>
  <c r="I54" i="612"/>
  <c r="I20" i="408"/>
  <c r="I55" i="340"/>
  <c r="I57" i="340"/>
  <c r="F58" i="340"/>
  <c r="H59" i="340"/>
  <c r="V409" i="720"/>
  <c r="W809" i="720"/>
  <c r="V817" i="720"/>
  <c r="V342" i="720"/>
  <c r="I19" i="569"/>
  <c r="I19" i="542"/>
  <c r="W776" i="720"/>
  <c r="V83" i="721"/>
  <c r="V334" i="721"/>
  <c r="P162" i="720"/>
  <c r="P151" i="720"/>
  <c r="L162" i="720"/>
  <c r="L151" i="720"/>
  <c r="I22" i="624"/>
  <c r="V433" i="720"/>
  <c r="V18" i="720"/>
  <c r="I52" i="580"/>
  <c r="I54" i="580"/>
  <c r="F55" i="580"/>
  <c r="H56" i="580"/>
  <c r="I21" i="250"/>
  <c r="V195" i="721"/>
  <c r="V195" i="720"/>
  <c r="I20" i="524"/>
  <c r="I19" i="304"/>
  <c r="I19" i="616"/>
  <c r="I20" i="639"/>
  <c r="I19" i="30"/>
  <c r="I52" i="30"/>
  <c r="I54" i="30"/>
  <c r="I20" i="591"/>
  <c r="I19" i="336"/>
  <c r="I52" i="336"/>
  <c r="I54" i="336"/>
  <c r="F55" i="336"/>
  <c r="H56" i="336"/>
  <c r="I19" i="550"/>
  <c r="I19" i="651"/>
  <c r="V407" i="721"/>
  <c r="I55" i="431"/>
  <c r="I57" i="431"/>
  <c r="V407" i="720"/>
  <c r="V404" i="721"/>
  <c r="V404" i="720"/>
  <c r="V408" i="720"/>
  <c r="I55" i="339"/>
  <c r="I57" i="339"/>
  <c r="V408" i="721"/>
  <c r="W418" i="720"/>
  <c r="E418" i="720"/>
  <c r="E420" i="720"/>
  <c r="H59" i="406"/>
  <c r="P422" i="721"/>
  <c r="R422" i="721"/>
  <c r="J422" i="721"/>
  <c r="L422" i="721"/>
  <c r="N422" i="721"/>
  <c r="V421" i="720"/>
  <c r="I55" i="433"/>
  <c r="I57" i="433"/>
  <c r="V421" i="721"/>
  <c r="I55" i="343"/>
  <c r="I57" i="343"/>
  <c r="V410" i="721"/>
  <c r="V415" i="720"/>
  <c r="V415" i="721"/>
  <c r="I55" i="376"/>
  <c r="I57" i="376"/>
  <c r="V458" i="720"/>
  <c r="V458" i="721"/>
  <c r="I55" i="701"/>
  <c r="I57" i="701"/>
  <c r="I55" i="371"/>
  <c r="I57" i="371"/>
  <c r="V412" i="720"/>
  <c r="V412" i="721"/>
  <c r="V400" i="720"/>
  <c r="V400" i="721"/>
  <c r="I55" i="418"/>
  <c r="I57" i="418"/>
  <c r="E410" i="720"/>
  <c r="W410" i="720"/>
  <c r="I55" i="432"/>
  <c r="I57" i="432"/>
  <c r="V420" i="721"/>
  <c r="V411" i="721"/>
  <c r="V411" i="720"/>
  <c r="I55" i="368"/>
  <c r="I57" i="368"/>
  <c r="V405" i="720"/>
  <c r="I55" i="429"/>
  <c r="I57" i="429"/>
  <c r="V405" i="721"/>
  <c r="V457" i="720"/>
  <c r="V457" i="721"/>
  <c r="I55" i="700"/>
  <c r="I57" i="700"/>
  <c r="V422" i="720"/>
  <c r="N389" i="721"/>
  <c r="P389" i="721"/>
  <c r="L389" i="721"/>
  <c r="R389" i="721"/>
  <c r="AE389" i="721"/>
  <c r="I55" i="435"/>
  <c r="I57" i="435"/>
  <c r="F58" i="691"/>
  <c r="H59" i="691"/>
  <c r="I55" i="384"/>
  <c r="I57" i="384"/>
  <c r="V388" i="721"/>
  <c r="V447" i="720"/>
  <c r="I55" i="690"/>
  <c r="I57" i="690"/>
  <c r="V447" i="721"/>
  <c r="H59" i="415"/>
  <c r="T590" i="721"/>
  <c r="L590" i="721"/>
  <c r="R590" i="721"/>
  <c r="R288" i="720"/>
  <c r="P288" i="720"/>
  <c r="F288" i="720"/>
  <c r="I55" i="416"/>
  <c r="I57" i="416"/>
  <c r="V398" i="720"/>
  <c r="V398" i="721"/>
  <c r="P608" i="721"/>
  <c r="P607" i="721"/>
  <c r="L608" i="721"/>
  <c r="L607" i="721"/>
  <c r="F608" i="721"/>
  <c r="F607" i="721"/>
  <c r="N608" i="721"/>
  <c r="N607" i="721"/>
  <c r="F733" i="720"/>
  <c r="T733" i="720"/>
  <c r="AE733" i="720"/>
  <c r="V426" i="721"/>
  <c r="V426" i="720"/>
  <c r="I55" i="367"/>
  <c r="I57" i="367"/>
  <c r="P395" i="721"/>
  <c r="AE395" i="721"/>
  <c r="J395" i="721"/>
  <c r="V431" i="720"/>
  <c r="V431" i="721"/>
  <c r="I55" i="342"/>
  <c r="I57" i="342"/>
  <c r="R296" i="721"/>
  <c r="N296" i="721"/>
  <c r="F520" i="721"/>
  <c r="L520" i="721"/>
  <c r="F483" i="720"/>
  <c r="P483" i="720"/>
  <c r="J117" i="720"/>
  <c r="J113" i="720"/>
  <c r="L117" i="720"/>
  <c r="L113" i="720"/>
  <c r="T722" i="720"/>
  <c r="J722" i="720"/>
  <c r="H56" i="574"/>
  <c r="I21" i="502"/>
  <c r="H56" i="460"/>
  <c r="H56" i="484"/>
  <c r="F55" i="232"/>
  <c r="H56" i="232"/>
  <c r="F55" i="734"/>
  <c r="H56" i="734"/>
  <c r="N460" i="720"/>
  <c r="AE460" i="720"/>
  <c r="P296" i="721"/>
  <c r="I55" i="624"/>
  <c r="I57" i="624"/>
  <c r="V433" i="721"/>
  <c r="F55" i="395"/>
  <c r="H56" i="395"/>
  <c r="V314" i="720"/>
  <c r="I52" i="611"/>
  <c r="I54" i="611"/>
  <c r="V314" i="721"/>
  <c r="T151" i="721"/>
  <c r="AE151" i="721"/>
  <c r="AE162" i="721"/>
  <c r="R575" i="721"/>
  <c r="T575" i="721"/>
  <c r="AE575" i="721"/>
  <c r="F55" i="237"/>
  <c r="H56" i="237"/>
  <c r="H56" i="533"/>
  <c r="I52" i="541"/>
  <c r="I54" i="541"/>
  <c r="V361" i="721"/>
  <c r="V361" i="720"/>
  <c r="N485" i="720"/>
  <c r="F162" i="720"/>
  <c r="F151" i="720"/>
  <c r="R162" i="720"/>
  <c r="R151" i="720"/>
  <c r="J162" i="720"/>
  <c r="J151" i="720"/>
  <c r="J179" i="720"/>
  <c r="L72" i="720"/>
  <c r="Z727" i="721"/>
  <c r="F55" i="648"/>
  <c r="H56" i="648"/>
  <c r="V820" i="721"/>
  <c r="I52" i="632"/>
  <c r="I54" i="632"/>
  <c r="W113" i="720"/>
  <c r="V260" i="721"/>
  <c r="V260" i="720"/>
  <c r="V339" i="720"/>
  <c r="I52" i="604"/>
  <c r="I54" i="604"/>
  <c r="V339" i="721"/>
  <c r="V453" i="720"/>
  <c r="V453" i="721"/>
  <c r="V505" i="721"/>
  <c r="V505" i="720"/>
  <c r="V386" i="721"/>
  <c r="V386" i="720"/>
  <c r="I55" i="382"/>
  <c r="I57" i="382"/>
  <c r="H56" i="235"/>
  <c r="F55" i="30"/>
  <c r="H56" i="30"/>
  <c r="V79" i="721"/>
  <c r="V79" i="720"/>
  <c r="V299" i="720"/>
  <c r="V299" i="721"/>
  <c r="V522" i="720"/>
  <c r="V522" i="721"/>
  <c r="I52" i="508"/>
  <c r="I54" i="508"/>
  <c r="V444" i="720"/>
  <c r="V444" i="721"/>
  <c r="I55" i="687"/>
  <c r="I57" i="687"/>
  <c r="V445" i="721"/>
  <c r="V445" i="720"/>
  <c r="V277" i="720"/>
  <c r="I53" i="522"/>
  <c r="I55" i="522"/>
  <c r="V330" i="721"/>
  <c r="I52" i="616"/>
  <c r="I54" i="616"/>
  <c r="V330" i="720"/>
  <c r="V618" i="721"/>
  <c r="I52" i="396"/>
  <c r="I54" i="396"/>
  <c r="H56" i="478"/>
  <c r="V261" i="721"/>
  <c r="I53" i="716"/>
  <c r="I55" i="716"/>
  <c r="V261" i="720"/>
  <c r="I49" i="551"/>
  <c r="I51" i="551"/>
  <c r="V77" i="721"/>
  <c r="V77" i="720"/>
  <c r="V702" i="721"/>
  <c r="V702" i="720"/>
  <c r="I53" i="608"/>
  <c r="I55" i="608"/>
  <c r="V310" i="720"/>
  <c r="V310" i="721"/>
  <c r="V452" i="721"/>
  <c r="V452" i="720"/>
  <c r="V454" i="721"/>
  <c r="V454" i="720"/>
  <c r="I53" i="407"/>
  <c r="I55" i="407"/>
  <c r="V289" i="721"/>
  <c r="V309" i="720"/>
  <c r="V309" i="721"/>
  <c r="I53" i="252"/>
  <c r="I55" i="252"/>
  <c r="V307" i="720"/>
  <c r="I54" i="607"/>
  <c r="I56" i="607"/>
  <c r="V307" i="721"/>
  <c r="V98" i="721"/>
  <c r="V98" i="720"/>
  <c r="I52" i="566"/>
  <c r="I54" i="566"/>
  <c r="I19" i="278"/>
  <c r="V340" i="720"/>
  <c r="V340" i="721"/>
  <c r="I53" i="601"/>
  <c r="I55" i="601"/>
  <c r="V297" i="721"/>
  <c r="V297" i="720"/>
  <c r="H56" i="334"/>
  <c r="H56" i="155"/>
  <c r="I53" i="588"/>
  <c r="I55" i="588"/>
  <c r="V247" i="720"/>
  <c r="E78" i="721"/>
  <c r="W78" i="721"/>
  <c r="I55" i="383"/>
  <c r="I57" i="383"/>
  <c r="V387" i="721"/>
  <c r="V385" i="721"/>
  <c r="I55" i="374"/>
  <c r="I57" i="374"/>
  <c r="V533" i="720"/>
  <c r="V533" i="721"/>
  <c r="I52" i="381"/>
  <c r="I54" i="381"/>
  <c r="H56" i="225"/>
  <c r="V278" i="721"/>
  <c r="V278" i="720"/>
  <c r="V437" i="721"/>
  <c r="V315" i="720"/>
  <c r="F55" i="287"/>
  <c r="H56" i="287"/>
  <c r="W247" i="721"/>
  <c r="E247" i="721"/>
  <c r="F55" i="633"/>
  <c r="H56" i="633"/>
  <c r="W51" i="720"/>
  <c r="E51" i="720"/>
  <c r="W462" i="720"/>
  <c r="E462" i="720"/>
  <c r="W259" i="721"/>
  <c r="E259" i="721"/>
  <c r="W730" i="720"/>
  <c r="E730" i="720"/>
  <c r="W609" i="720"/>
  <c r="E609" i="720"/>
  <c r="E819" i="721"/>
  <c r="W819" i="721"/>
  <c r="E818" i="721"/>
  <c r="W818" i="721"/>
  <c r="W615" i="720"/>
  <c r="E615" i="720"/>
  <c r="W441" i="720"/>
  <c r="E441" i="720"/>
  <c r="W304" i="721"/>
  <c r="E304" i="721"/>
  <c r="W16" i="720"/>
  <c r="E16" i="720"/>
  <c r="W189" i="721"/>
  <c r="E189" i="721"/>
  <c r="T520" i="720"/>
  <c r="L520" i="720"/>
  <c r="N520" i="720"/>
  <c r="P520" i="720"/>
  <c r="J520" i="720"/>
  <c r="W567" i="721"/>
  <c r="E567" i="721"/>
  <c r="W806" i="720"/>
  <c r="E806" i="720"/>
  <c r="W607" i="721"/>
  <c r="AE816" i="721"/>
  <c r="L825" i="721"/>
  <c r="AE826" i="721"/>
  <c r="AE778" i="720"/>
  <c r="T776" i="720"/>
  <c r="AE809" i="720"/>
  <c r="AE149" i="720"/>
  <c r="AE810" i="721"/>
  <c r="AE64" i="721"/>
  <c r="W828" i="720"/>
  <c r="E828" i="720"/>
  <c r="W313" i="721"/>
  <c r="E313" i="721"/>
  <c r="W62" i="720"/>
  <c r="E62" i="720"/>
  <c r="W710" i="720"/>
  <c r="E710" i="720"/>
  <c r="W730" i="721"/>
  <c r="E730" i="721"/>
  <c r="W609" i="721"/>
  <c r="E609" i="721"/>
  <c r="F117" i="720"/>
  <c r="F113" i="720"/>
  <c r="T117" i="720"/>
  <c r="T113" i="720"/>
  <c r="R117" i="720"/>
  <c r="R113" i="720"/>
  <c r="P117" i="720"/>
  <c r="P113" i="720"/>
  <c r="N117" i="720"/>
  <c r="N113" i="720"/>
  <c r="AE113" i="720"/>
  <c r="W593" i="721"/>
  <c r="E593" i="721"/>
  <c r="W441" i="721"/>
  <c r="E441" i="721"/>
  <c r="J486" i="720"/>
  <c r="J482" i="720"/>
  <c r="T486" i="720"/>
  <c r="T482" i="720"/>
  <c r="AE482" i="720"/>
  <c r="L486" i="720"/>
  <c r="L482" i="720"/>
  <c r="R486" i="720"/>
  <c r="R482" i="720"/>
  <c r="N486" i="720"/>
  <c r="P486" i="720"/>
  <c r="F486" i="720"/>
  <c r="F482" i="720"/>
  <c r="W583" i="720"/>
  <c r="E583" i="720"/>
  <c r="F55" i="579"/>
  <c r="H56" i="579"/>
  <c r="AE818" i="720"/>
  <c r="P65" i="720"/>
  <c r="T65" i="720"/>
  <c r="R65" i="720"/>
  <c r="N65" i="720"/>
  <c r="L65" i="720"/>
  <c r="AE65" i="720"/>
  <c r="F65" i="720"/>
  <c r="P18" i="721"/>
  <c r="T18" i="721"/>
  <c r="L18" i="721"/>
  <c r="N18" i="721"/>
  <c r="J18" i="721"/>
  <c r="F18" i="721"/>
  <c r="R18" i="721"/>
  <c r="R776" i="721"/>
  <c r="AE776" i="721"/>
  <c r="AE781" i="721"/>
  <c r="T78" i="720"/>
  <c r="P78" i="720"/>
  <c r="N78" i="720"/>
  <c r="R78" i="720"/>
  <c r="W567" i="720"/>
  <c r="E567" i="720"/>
  <c r="F55" i="581"/>
  <c r="H56" i="581"/>
  <c r="E320" i="720"/>
  <c r="W320" i="720"/>
  <c r="T187" i="721"/>
  <c r="F187" i="721"/>
  <c r="P187" i="721"/>
  <c r="J187" i="721"/>
  <c r="N187" i="721"/>
  <c r="AE118" i="721"/>
  <c r="N482" i="720"/>
  <c r="W173" i="721"/>
  <c r="V498" i="721"/>
  <c r="V498" i="720"/>
  <c r="I52" i="625"/>
  <c r="I54" i="625"/>
  <c r="F55" i="625"/>
  <c r="H56" i="625"/>
  <c r="W312" i="721"/>
  <c r="E312" i="721"/>
  <c r="W419" i="721"/>
  <c r="E419" i="721"/>
  <c r="W95" i="721"/>
  <c r="E95" i="721"/>
  <c r="W61" i="721"/>
  <c r="E61" i="721"/>
  <c r="W819" i="720"/>
  <c r="E819" i="720"/>
  <c r="W611" i="720"/>
  <c r="E611" i="720"/>
  <c r="W593" i="720"/>
  <c r="E593" i="720"/>
  <c r="W304" i="720"/>
  <c r="E304" i="720"/>
  <c r="W583" i="721"/>
  <c r="E583" i="721"/>
  <c r="W187" i="720"/>
  <c r="E187" i="720"/>
  <c r="W148" i="720"/>
  <c r="E148" i="720"/>
  <c r="W63" i="720"/>
  <c r="E63" i="720"/>
  <c r="W320" i="721"/>
  <c r="E320" i="721"/>
  <c r="AE178" i="720"/>
  <c r="AE50" i="721"/>
  <c r="AE148" i="721"/>
  <c r="W806" i="721"/>
  <c r="E806" i="721"/>
  <c r="N483" i="721"/>
  <c r="T483" i="721"/>
  <c r="T482" i="721"/>
  <c r="AE482" i="721"/>
  <c r="F483" i="721"/>
  <c r="F482" i="721"/>
  <c r="L483" i="721"/>
  <c r="L482" i="721"/>
  <c r="R483" i="721"/>
  <c r="L432" i="720"/>
  <c r="J432" i="720"/>
  <c r="R432" i="720"/>
  <c r="F432" i="720"/>
  <c r="N432" i="720"/>
  <c r="P432" i="720"/>
  <c r="T432" i="720"/>
  <c r="AE432" i="720"/>
  <c r="F776" i="720"/>
  <c r="AE409" i="721"/>
  <c r="AE78" i="720"/>
  <c r="AE520" i="720"/>
  <c r="N482" i="721"/>
  <c r="W618" i="720"/>
  <c r="E618" i="720"/>
  <c r="W817" i="721"/>
  <c r="E817" i="721"/>
  <c r="W51" i="721"/>
  <c r="E51" i="721"/>
  <c r="W313" i="720"/>
  <c r="E313" i="720"/>
  <c r="W312" i="720"/>
  <c r="E312" i="720"/>
  <c r="W117" i="721"/>
  <c r="E117" i="721"/>
  <c r="W419" i="720"/>
  <c r="E419" i="720"/>
  <c r="W259" i="720"/>
  <c r="E259" i="720"/>
  <c r="W427" i="720"/>
  <c r="E427" i="720"/>
  <c r="E61" i="720"/>
  <c r="W61" i="720"/>
  <c r="W611" i="721"/>
  <c r="E611" i="721"/>
  <c r="W266" i="720"/>
  <c r="E266" i="720"/>
  <c r="F55" i="436"/>
  <c r="H56" i="436"/>
  <c r="P520" i="721"/>
  <c r="N520" i="721"/>
  <c r="R520" i="721"/>
  <c r="AE520" i="721"/>
  <c r="W295" i="721"/>
  <c r="E295" i="721"/>
  <c r="W189" i="720"/>
  <c r="E189" i="720"/>
  <c r="W723" i="720"/>
  <c r="E723" i="720"/>
  <c r="W63" i="721"/>
  <c r="E63" i="721"/>
  <c r="E191" i="721"/>
  <c r="W191" i="721"/>
  <c r="L816" i="720"/>
  <c r="T816" i="720"/>
  <c r="P816" i="720"/>
  <c r="F816" i="720"/>
  <c r="J816" i="720"/>
  <c r="AE810" i="720"/>
  <c r="J608" i="721"/>
  <c r="J607" i="721"/>
  <c r="T608" i="721"/>
  <c r="T607" i="721"/>
  <c r="R608" i="721"/>
  <c r="R607" i="721"/>
  <c r="R776" i="720"/>
  <c r="AE776" i="720"/>
  <c r="V279" i="721"/>
  <c r="V279" i="720"/>
  <c r="I53" i="524"/>
  <c r="I55" i="524"/>
  <c r="F56" i="524"/>
  <c r="H57" i="524"/>
  <c r="F55" i="612"/>
  <c r="H56" i="612"/>
  <c r="W100" i="720"/>
  <c r="E100" i="720"/>
  <c r="W595" i="720"/>
  <c r="E595" i="720"/>
  <c r="W99" i="721"/>
  <c r="E99" i="721"/>
  <c r="E192" i="720"/>
  <c r="W192" i="720"/>
  <c r="F174" i="720"/>
  <c r="L174" i="720"/>
  <c r="P174" i="720"/>
  <c r="J174" i="720"/>
  <c r="T174" i="720"/>
  <c r="N174" i="720"/>
  <c r="R174" i="720"/>
  <c r="R180" i="720"/>
  <c r="R173" i="720"/>
  <c r="W455" i="721"/>
  <c r="E455" i="721"/>
  <c r="W113" i="721"/>
  <c r="T71" i="721"/>
  <c r="AE71" i="721"/>
  <c r="AE72" i="721"/>
  <c r="J180" i="720"/>
  <c r="P180" i="720"/>
  <c r="T180" i="720"/>
  <c r="N180" i="720"/>
  <c r="L180" i="720"/>
  <c r="AE180" i="720"/>
  <c r="F180" i="720"/>
  <c r="AE816" i="720"/>
  <c r="W427" i="721"/>
  <c r="E427" i="721"/>
  <c r="AE820" i="720"/>
  <c r="AE179" i="720"/>
  <c r="AE115" i="720"/>
  <c r="I52" i="651"/>
  <c r="I54" i="651"/>
  <c r="F55" i="651"/>
  <c r="H56" i="651"/>
  <c r="V493" i="720"/>
  <c r="V493" i="721"/>
  <c r="V258" i="721"/>
  <c r="I53" i="591"/>
  <c r="I55" i="591"/>
  <c r="V258" i="720"/>
  <c r="I53" i="639"/>
  <c r="I55" i="639"/>
  <c r="F56" i="639"/>
  <c r="H57" i="639"/>
  <c r="V365" i="720"/>
  <c r="V365" i="721"/>
  <c r="W195" i="720"/>
  <c r="E195" i="720"/>
  <c r="W334" i="721"/>
  <c r="E334" i="721"/>
  <c r="I52" i="542"/>
  <c r="I54" i="542"/>
  <c r="V362" i="720"/>
  <c r="V362" i="721"/>
  <c r="W817" i="720"/>
  <c r="E817" i="720"/>
  <c r="W409" i="720"/>
  <c r="E409" i="720"/>
  <c r="W315" i="721"/>
  <c r="E315" i="721"/>
  <c r="W437" i="720"/>
  <c r="E437" i="720"/>
  <c r="V306" i="721"/>
  <c r="V306" i="720"/>
  <c r="I54" i="251"/>
  <c r="I56" i="251"/>
  <c r="F57" i="251"/>
  <c r="H58" i="251"/>
  <c r="T179" i="721"/>
  <c r="L179" i="721"/>
  <c r="F179" i="721"/>
  <c r="N179" i="721"/>
  <c r="P179" i="721"/>
  <c r="J179" i="721"/>
  <c r="R179" i="721"/>
  <c r="W359" i="721"/>
  <c r="E359" i="721"/>
  <c r="W286" i="721"/>
  <c r="E286" i="721"/>
  <c r="W173" i="720"/>
  <c r="AE174" i="720"/>
  <c r="F58" i="698"/>
  <c r="H59" i="698"/>
  <c r="F723" i="721"/>
  <c r="N723" i="721"/>
  <c r="J723" i="721"/>
  <c r="P723" i="721"/>
  <c r="T723" i="721"/>
  <c r="L723" i="721"/>
  <c r="R723" i="721"/>
  <c r="AE723" i="721"/>
  <c r="T572" i="720"/>
  <c r="AE573" i="720"/>
  <c r="AE486" i="721"/>
  <c r="R482" i="721"/>
  <c r="AE114" i="721"/>
  <c r="F58" i="459"/>
  <c r="H59" i="459"/>
  <c r="V76" i="720"/>
  <c r="V76" i="721"/>
  <c r="I52" i="550"/>
  <c r="I54" i="550"/>
  <c r="E195" i="721"/>
  <c r="W195" i="721"/>
  <c r="I54" i="250"/>
  <c r="I56" i="250"/>
  <c r="F57" i="250"/>
  <c r="H58" i="250"/>
  <c r="V305" i="720"/>
  <c r="V305" i="721"/>
  <c r="E18" i="720"/>
  <c r="W18" i="720"/>
  <c r="W83" i="721"/>
  <c r="E83" i="721"/>
  <c r="V101" i="721"/>
  <c r="I52" i="569"/>
  <c r="I54" i="569"/>
  <c r="F55" i="569"/>
  <c r="H56" i="569"/>
  <c r="V101" i="720"/>
  <c r="W100" i="721"/>
  <c r="E100" i="721"/>
  <c r="F58" i="674"/>
  <c r="H59" i="674"/>
  <c r="L174" i="721"/>
  <c r="L173" i="721"/>
  <c r="R174" i="721"/>
  <c r="J174" i="721"/>
  <c r="J173" i="721"/>
  <c r="P174" i="721"/>
  <c r="T174" i="721"/>
  <c r="N174" i="721"/>
  <c r="AE174" i="721"/>
  <c r="N173" i="721"/>
  <c r="T173" i="721"/>
  <c r="F174" i="721"/>
  <c r="W359" i="720"/>
  <c r="E359" i="720"/>
  <c r="AE483" i="721"/>
  <c r="P482" i="721"/>
  <c r="W293" i="721"/>
  <c r="E293" i="721"/>
  <c r="L811" i="721"/>
  <c r="P811" i="721"/>
  <c r="P809" i="721"/>
  <c r="T811" i="721"/>
  <c r="R811" i="721"/>
  <c r="N811" i="721"/>
  <c r="AE811" i="721"/>
  <c r="N809" i="721"/>
  <c r="R809" i="721"/>
  <c r="F811" i="721"/>
  <c r="F809" i="721"/>
  <c r="J811" i="721"/>
  <c r="J809" i="721"/>
  <c r="W455" i="720"/>
  <c r="E455" i="720"/>
  <c r="L809" i="721"/>
  <c r="AE192" i="721"/>
  <c r="AE380" i="720"/>
  <c r="E418" i="721"/>
  <c r="W418" i="721"/>
  <c r="V594" i="721"/>
  <c r="V594" i="720"/>
  <c r="I52" i="304"/>
  <c r="I54" i="304"/>
  <c r="F55" i="304"/>
  <c r="H56" i="304"/>
  <c r="W433" i="720"/>
  <c r="E433" i="720"/>
  <c r="W342" i="720"/>
  <c r="E342" i="720"/>
  <c r="I53" i="408"/>
  <c r="I55" i="408"/>
  <c r="V290" i="720"/>
  <c r="V290" i="721"/>
  <c r="F55" i="568"/>
  <c r="H56" i="568"/>
  <c r="W595" i="721"/>
  <c r="E595" i="721"/>
  <c r="W99" i="720"/>
  <c r="E99" i="720"/>
  <c r="W16" i="721"/>
  <c r="E16" i="721"/>
  <c r="W293" i="720"/>
  <c r="E293" i="720"/>
  <c r="F55" i="582"/>
  <c r="H56" i="582"/>
  <c r="W809" i="721"/>
  <c r="J115" i="721"/>
  <c r="P115" i="721"/>
  <c r="T115" i="721"/>
  <c r="R115" i="721"/>
  <c r="F115" i="721"/>
  <c r="L115" i="721"/>
  <c r="N115" i="721"/>
  <c r="AE187" i="721"/>
  <c r="W291" i="721"/>
  <c r="E291" i="721"/>
  <c r="L191" i="720"/>
  <c r="F191" i="720"/>
  <c r="P191" i="720"/>
  <c r="T191" i="720"/>
  <c r="J191" i="720"/>
  <c r="N191" i="720"/>
  <c r="R191" i="720"/>
  <c r="T809" i="721"/>
  <c r="T422" i="721"/>
  <c r="AE422" i="721"/>
  <c r="F422" i="721"/>
  <c r="W437" i="721"/>
  <c r="E437" i="721"/>
  <c r="W278" i="721"/>
  <c r="E278" i="721"/>
  <c r="W533" i="720"/>
  <c r="E533" i="720"/>
  <c r="F58" i="383"/>
  <c r="H59" i="383"/>
  <c r="W340" i="721"/>
  <c r="E340" i="721"/>
  <c r="W98" i="721"/>
  <c r="E98" i="721"/>
  <c r="F56" i="252"/>
  <c r="H57" i="252"/>
  <c r="F56" i="407"/>
  <c r="H57" i="407"/>
  <c r="W452" i="721"/>
  <c r="E452" i="721"/>
  <c r="W702" i="720"/>
  <c r="E702" i="720"/>
  <c r="F52" i="551"/>
  <c r="H53" i="551"/>
  <c r="W330" i="720"/>
  <c r="E330" i="720"/>
  <c r="W277" i="720"/>
  <c r="E277" i="720"/>
  <c r="W445" i="721"/>
  <c r="E445" i="721"/>
  <c r="F55" i="508"/>
  <c r="H56" i="508"/>
  <c r="W299" i="720"/>
  <c r="E299" i="720"/>
  <c r="W386" i="720"/>
  <c r="E386" i="720"/>
  <c r="W453" i="721"/>
  <c r="E453" i="721"/>
  <c r="W339" i="720"/>
  <c r="E339" i="720"/>
  <c r="F55" i="632"/>
  <c r="H56" i="632"/>
  <c r="L71" i="720"/>
  <c r="AE72" i="720"/>
  <c r="W361" i="721"/>
  <c r="E361" i="721"/>
  <c r="F55" i="611"/>
  <c r="H56" i="611"/>
  <c r="F58" i="624"/>
  <c r="H59" i="624"/>
  <c r="P482" i="720"/>
  <c r="AE483" i="720"/>
  <c r="E431" i="721"/>
  <c r="W431" i="721"/>
  <c r="E426" i="720"/>
  <c r="W426" i="720"/>
  <c r="AE117" i="720"/>
  <c r="AE590" i="721"/>
  <c r="F58" i="690"/>
  <c r="H59" i="690"/>
  <c r="W422" i="720"/>
  <c r="E422" i="720"/>
  <c r="E405" i="721"/>
  <c r="W405" i="721"/>
  <c r="E411" i="720"/>
  <c r="W411" i="720"/>
  <c r="F58" i="418"/>
  <c r="H59" i="418"/>
  <c r="E412" i="721"/>
  <c r="W412" i="721"/>
  <c r="F58" i="701"/>
  <c r="H59" i="701"/>
  <c r="W415" i="721"/>
  <c r="E415" i="721"/>
  <c r="E421" i="720"/>
  <c r="W421" i="720"/>
  <c r="E408" i="721"/>
  <c r="W408" i="721"/>
  <c r="E404" i="721"/>
  <c r="W404" i="721"/>
  <c r="F58" i="374"/>
  <c r="H59" i="374"/>
  <c r="W247" i="720"/>
  <c r="E247" i="720"/>
  <c r="W297" i="720"/>
  <c r="E297" i="720"/>
  <c r="E340" i="720"/>
  <c r="W340" i="720"/>
  <c r="V577" i="720"/>
  <c r="V577" i="721"/>
  <c r="I52" i="278"/>
  <c r="I54" i="278"/>
  <c r="W307" i="721"/>
  <c r="E307" i="721"/>
  <c r="W309" i="721"/>
  <c r="E309" i="721"/>
  <c r="W454" i="720"/>
  <c r="E454" i="720"/>
  <c r="W310" i="721"/>
  <c r="E310" i="721"/>
  <c r="W702" i="721"/>
  <c r="E702" i="721"/>
  <c r="W261" i="720"/>
  <c r="E261" i="720"/>
  <c r="F55" i="616"/>
  <c r="H56" i="616"/>
  <c r="F58" i="687"/>
  <c r="H59" i="687"/>
  <c r="W522" i="721"/>
  <c r="E522" i="721"/>
  <c r="W79" i="720"/>
  <c r="E79" i="720"/>
  <c r="W386" i="721"/>
  <c r="E386" i="721"/>
  <c r="W453" i="720"/>
  <c r="E453" i="720"/>
  <c r="W260" i="720"/>
  <c r="E260" i="720"/>
  <c r="W820" i="721"/>
  <c r="E820" i="721"/>
  <c r="F55" i="541"/>
  <c r="H56" i="541"/>
  <c r="W314" i="720"/>
  <c r="E314" i="720"/>
  <c r="AE722" i="720"/>
  <c r="E431" i="720"/>
  <c r="W431" i="720"/>
  <c r="E426" i="721"/>
  <c r="W426" i="721"/>
  <c r="E398" i="721"/>
  <c r="W398" i="721"/>
  <c r="AE288" i="720"/>
  <c r="W447" i="720"/>
  <c r="E447" i="720"/>
  <c r="W388" i="721"/>
  <c r="E388" i="721"/>
  <c r="F58" i="435"/>
  <c r="H59" i="435"/>
  <c r="F58" i="700"/>
  <c r="H59" i="700"/>
  <c r="F58" i="429"/>
  <c r="H59" i="429"/>
  <c r="W411" i="721"/>
  <c r="E411" i="721"/>
  <c r="E400" i="721"/>
  <c r="W400" i="721"/>
  <c r="W412" i="720"/>
  <c r="E412" i="720"/>
  <c r="W458" i="721"/>
  <c r="E458" i="721"/>
  <c r="W415" i="720"/>
  <c r="E415" i="720"/>
  <c r="F58" i="339"/>
  <c r="H59" i="339"/>
  <c r="E407" i="720"/>
  <c r="W407" i="720"/>
  <c r="F55" i="381"/>
  <c r="H56" i="381"/>
  <c r="W385" i="721"/>
  <c r="E385" i="721"/>
  <c r="T78" i="721"/>
  <c r="L78" i="721"/>
  <c r="N78" i="721"/>
  <c r="J78" i="721"/>
  <c r="F78" i="721"/>
  <c r="P78" i="721"/>
  <c r="R78" i="721"/>
  <c r="F56" i="588"/>
  <c r="H57" i="588"/>
  <c r="W297" i="721"/>
  <c r="E297" i="721"/>
  <c r="F55" i="566"/>
  <c r="H56" i="566"/>
  <c r="F57" i="607"/>
  <c r="H58" i="607"/>
  <c r="W309" i="720"/>
  <c r="E309" i="720"/>
  <c r="W454" i="721"/>
  <c r="E454" i="721"/>
  <c r="E310" i="720"/>
  <c r="W310" i="720"/>
  <c r="E77" i="720"/>
  <c r="W77" i="720"/>
  <c r="F56" i="716"/>
  <c r="H57" i="716"/>
  <c r="F55" i="396"/>
  <c r="H56" i="396"/>
  <c r="W330" i="721"/>
  <c r="E330" i="721"/>
  <c r="W444" i="721"/>
  <c r="E444" i="721"/>
  <c r="W522" i="720"/>
  <c r="E522" i="720"/>
  <c r="W79" i="721"/>
  <c r="E79" i="721"/>
  <c r="W505" i="720"/>
  <c r="E505" i="720"/>
  <c r="W339" i="721"/>
  <c r="E339" i="721"/>
  <c r="W260" i="721"/>
  <c r="E260" i="721"/>
  <c r="V308" i="721"/>
  <c r="V308" i="720"/>
  <c r="I54" i="502"/>
  <c r="I56" i="502"/>
  <c r="AE296" i="721"/>
  <c r="AE485" i="720"/>
  <c r="E398" i="720"/>
  <c r="W398" i="720"/>
  <c r="F58" i="384"/>
  <c r="H59" i="384"/>
  <c r="W457" i="721"/>
  <c r="E457" i="721"/>
  <c r="E405" i="720"/>
  <c r="W405" i="720"/>
  <c r="W420" i="721"/>
  <c r="E420" i="721"/>
  <c r="W400" i="720"/>
  <c r="E400" i="720"/>
  <c r="F58" i="371"/>
  <c r="H59" i="371"/>
  <c r="E458" i="720"/>
  <c r="W458" i="720"/>
  <c r="E410" i="721"/>
  <c r="W410" i="721"/>
  <c r="W421" i="721"/>
  <c r="E421" i="721"/>
  <c r="P418" i="720"/>
  <c r="T418" i="720"/>
  <c r="N418" i="720"/>
  <c r="J418" i="720"/>
  <c r="L418" i="720"/>
  <c r="F418" i="720"/>
  <c r="R418" i="720"/>
  <c r="E408" i="720"/>
  <c r="W408" i="720"/>
  <c r="F58" i="431"/>
  <c r="H59" i="431"/>
  <c r="W315" i="720"/>
  <c r="E315" i="720"/>
  <c r="W278" i="720"/>
  <c r="E278" i="720"/>
  <c r="W533" i="721"/>
  <c r="E533" i="721"/>
  <c r="W387" i="721"/>
  <c r="E387" i="721"/>
  <c r="F56" i="601"/>
  <c r="H57" i="601"/>
  <c r="W98" i="720"/>
  <c r="E98" i="720"/>
  <c r="W307" i="720"/>
  <c r="E307" i="720"/>
  <c r="E289" i="721"/>
  <c r="W289" i="721"/>
  <c r="W452" i="720"/>
  <c r="E452" i="720"/>
  <c r="F56" i="608"/>
  <c r="H57" i="608"/>
  <c r="W77" i="721"/>
  <c r="E77" i="721"/>
  <c r="W261" i="721"/>
  <c r="E261" i="721"/>
  <c r="W618" i="721"/>
  <c r="E618" i="721"/>
  <c r="F56" i="522"/>
  <c r="H57" i="522"/>
  <c r="W445" i="720"/>
  <c r="E445" i="720"/>
  <c r="W444" i="720"/>
  <c r="E444" i="720"/>
  <c r="E299" i="721"/>
  <c r="W299" i="721"/>
  <c r="F58" i="382"/>
  <c r="H59" i="382"/>
  <c r="W505" i="721"/>
  <c r="E505" i="721"/>
  <c r="F55" i="604"/>
  <c r="H56" i="604"/>
  <c r="W361" i="720"/>
  <c r="E361" i="720"/>
  <c r="W314" i="721"/>
  <c r="E314" i="721"/>
  <c r="E433" i="721"/>
  <c r="W433" i="721"/>
  <c r="F58" i="342"/>
  <c r="H59" i="342"/>
  <c r="F58" i="367"/>
  <c r="H59" i="367"/>
  <c r="F58" i="416"/>
  <c r="H59" i="416"/>
  <c r="W447" i="721"/>
  <c r="E447" i="721"/>
  <c r="W457" i="720"/>
  <c r="E457" i="720"/>
  <c r="F58" i="368"/>
  <c r="H59" i="368"/>
  <c r="F58" i="432"/>
  <c r="H59" i="432"/>
  <c r="F410" i="720"/>
  <c r="P410" i="720"/>
  <c r="L410" i="720"/>
  <c r="R410" i="720"/>
  <c r="N410" i="720"/>
  <c r="J410" i="720"/>
  <c r="T410" i="720"/>
  <c r="F58" i="376"/>
  <c r="H59" i="376"/>
  <c r="F58" i="343"/>
  <c r="H59" i="343"/>
  <c r="F58" i="433"/>
  <c r="H59" i="433"/>
  <c r="R420" i="720"/>
  <c r="P420" i="720"/>
  <c r="L420" i="720"/>
  <c r="N420" i="720"/>
  <c r="F420" i="720"/>
  <c r="T420" i="720"/>
  <c r="J420" i="720"/>
  <c r="E404" i="720"/>
  <c r="W404" i="720"/>
  <c r="W407" i="721"/>
  <c r="E407" i="721"/>
  <c r="L191" i="721"/>
  <c r="R191" i="721"/>
  <c r="F191" i="721"/>
  <c r="T191" i="721"/>
  <c r="P191" i="721"/>
  <c r="J191" i="721"/>
  <c r="N191" i="721"/>
  <c r="N611" i="721"/>
  <c r="P611" i="721"/>
  <c r="J611" i="721"/>
  <c r="R611" i="721"/>
  <c r="T611" i="721"/>
  <c r="AE611" i="721"/>
  <c r="F611" i="721"/>
  <c r="L611" i="721"/>
  <c r="R427" i="720"/>
  <c r="F427" i="720"/>
  <c r="J427" i="720"/>
  <c r="N427" i="720"/>
  <c r="T427" i="720"/>
  <c r="L427" i="720"/>
  <c r="P427" i="720"/>
  <c r="F419" i="720"/>
  <c r="T419" i="720"/>
  <c r="R419" i="720"/>
  <c r="J419" i="720"/>
  <c r="N419" i="720"/>
  <c r="P419" i="720"/>
  <c r="L419" i="720"/>
  <c r="P312" i="720"/>
  <c r="R312" i="720"/>
  <c r="J312" i="720"/>
  <c r="F312" i="720"/>
  <c r="L312" i="720"/>
  <c r="N312" i="720"/>
  <c r="T312" i="720"/>
  <c r="T51" i="721"/>
  <c r="R51" i="721"/>
  <c r="N51" i="721"/>
  <c r="J51" i="721"/>
  <c r="F51" i="721"/>
  <c r="L51" i="721"/>
  <c r="P51" i="721"/>
  <c r="J618" i="720"/>
  <c r="R618" i="720"/>
  <c r="F618" i="720"/>
  <c r="P618" i="720"/>
  <c r="L618" i="720"/>
  <c r="N618" i="720"/>
  <c r="T618" i="720"/>
  <c r="AE618" i="720"/>
  <c r="T806" i="721"/>
  <c r="AE806" i="721"/>
  <c r="R806" i="721"/>
  <c r="P806" i="721"/>
  <c r="J806" i="721"/>
  <c r="F806" i="721"/>
  <c r="L806" i="721"/>
  <c r="N806" i="721"/>
  <c r="R187" i="720"/>
  <c r="J187" i="720"/>
  <c r="L187" i="720"/>
  <c r="T187" i="720"/>
  <c r="F187" i="720"/>
  <c r="N187" i="720"/>
  <c r="P187" i="720"/>
  <c r="F304" i="720"/>
  <c r="J304" i="720"/>
  <c r="L304" i="720"/>
  <c r="N304" i="720"/>
  <c r="P304" i="720"/>
  <c r="T304" i="720"/>
  <c r="R304" i="720"/>
  <c r="J611" i="720"/>
  <c r="T611" i="720"/>
  <c r="AE611" i="720"/>
  <c r="L611" i="720"/>
  <c r="R611" i="720"/>
  <c r="F611" i="720"/>
  <c r="N611" i="720"/>
  <c r="P611" i="720"/>
  <c r="P61" i="721"/>
  <c r="T61" i="721"/>
  <c r="N61" i="721"/>
  <c r="J61" i="721"/>
  <c r="R61" i="721"/>
  <c r="L61" i="721"/>
  <c r="F61" i="721"/>
  <c r="E498" i="720"/>
  <c r="W498" i="720"/>
  <c r="L567" i="720"/>
  <c r="L566" i="720"/>
  <c r="L545" i="720"/>
  <c r="J567" i="720"/>
  <c r="J566" i="720"/>
  <c r="J545" i="720"/>
  <c r="P567" i="720"/>
  <c r="P566" i="720"/>
  <c r="P545" i="720"/>
  <c r="T567" i="720"/>
  <c r="T566" i="720"/>
  <c r="AE566" i="720"/>
  <c r="F567" i="720"/>
  <c r="F566" i="720"/>
  <c r="G545" i="720"/>
  <c r="N567" i="720"/>
  <c r="N566" i="720"/>
  <c r="N545" i="720"/>
  <c r="R567" i="720"/>
  <c r="R566" i="720"/>
  <c r="R545" i="720"/>
  <c r="R583" i="720"/>
  <c r="F583" i="720"/>
  <c r="T583" i="720"/>
  <c r="N583" i="720"/>
  <c r="J583" i="720"/>
  <c r="L583" i="720"/>
  <c r="P583" i="720"/>
  <c r="W592" i="721"/>
  <c r="AE607" i="721"/>
  <c r="W566" i="721"/>
  <c r="W545" i="721"/>
  <c r="F16" i="720"/>
  <c r="J16" i="720"/>
  <c r="N16" i="720"/>
  <c r="P16" i="720"/>
  <c r="T16" i="720"/>
  <c r="R16" i="720"/>
  <c r="L16" i="720"/>
  <c r="P441" i="720"/>
  <c r="R441" i="720"/>
  <c r="J441" i="720"/>
  <c r="T441" i="720"/>
  <c r="N441" i="720"/>
  <c r="F441" i="720"/>
  <c r="L441" i="720"/>
  <c r="L609" i="720"/>
  <c r="J609" i="720"/>
  <c r="P609" i="720"/>
  <c r="F609" i="720"/>
  <c r="N609" i="720"/>
  <c r="R609" i="720"/>
  <c r="T609" i="720"/>
  <c r="F259" i="721"/>
  <c r="N259" i="721"/>
  <c r="P259" i="721"/>
  <c r="J259" i="721"/>
  <c r="L259" i="721"/>
  <c r="R259" i="721"/>
  <c r="T259" i="721"/>
  <c r="J51" i="720"/>
  <c r="R51" i="720"/>
  <c r="T51" i="720"/>
  <c r="N51" i="720"/>
  <c r="L51" i="720"/>
  <c r="P51" i="720"/>
  <c r="F51" i="720"/>
  <c r="N247" i="721"/>
  <c r="N245" i="721"/>
  <c r="P247" i="721"/>
  <c r="P245" i="721"/>
  <c r="J247" i="721"/>
  <c r="J245" i="721"/>
  <c r="T247" i="721"/>
  <c r="T245" i="721"/>
  <c r="AE245" i="721"/>
  <c r="L247" i="721"/>
  <c r="L245" i="721"/>
  <c r="F247" i="721"/>
  <c r="F245" i="721"/>
  <c r="R247" i="721"/>
  <c r="R245" i="721"/>
  <c r="AE418" i="720"/>
  <c r="P173" i="720"/>
  <c r="R63" i="721"/>
  <c r="F63" i="721"/>
  <c r="T63" i="721"/>
  <c r="L63" i="721"/>
  <c r="P63" i="721"/>
  <c r="N63" i="721"/>
  <c r="J189" i="720"/>
  <c r="P189" i="720"/>
  <c r="R189" i="720"/>
  <c r="T189" i="720"/>
  <c r="F189" i="720"/>
  <c r="N189" i="720"/>
  <c r="L189" i="720"/>
  <c r="AE427" i="720"/>
  <c r="AE419" i="720"/>
  <c r="AE312" i="720"/>
  <c r="W43" i="721"/>
  <c r="AE51" i="721"/>
  <c r="P320" i="721"/>
  <c r="J320" i="721"/>
  <c r="T320" i="721"/>
  <c r="F320" i="721"/>
  <c r="R320" i="721"/>
  <c r="N320" i="721"/>
  <c r="L320" i="721"/>
  <c r="F148" i="720"/>
  <c r="J148" i="720"/>
  <c r="T148" i="720"/>
  <c r="R148" i="720"/>
  <c r="P148" i="720"/>
  <c r="L148" i="720"/>
  <c r="N148" i="720"/>
  <c r="AE187" i="720"/>
  <c r="AE304" i="720"/>
  <c r="N312" i="721"/>
  <c r="J312" i="721"/>
  <c r="T312" i="721"/>
  <c r="R312" i="721"/>
  <c r="P312" i="721"/>
  <c r="L312" i="721"/>
  <c r="F312" i="721"/>
  <c r="W498" i="721"/>
  <c r="E498" i="721"/>
  <c r="R320" i="720"/>
  <c r="T320" i="720"/>
  <c r="P320" i="720"/>
  <c r="N320" i="720"/>
  <c r="L320" i="720"/>
  <c r="AE320" i="720"/>
  <c r="J320" i="720"/>
  <c r="F320" i="720"/>
  <c r="W566" i="720"/>
  <c r="W545" i="720"/>
  <c r="V545" i="720"/>
  <c r="AE567" i="720"/>
  <c r="AE18" i="721"/>
  <c r="P441" i="721"/>
  <c r="L441" i="721"/>
  <c r="T441" i="721"/>
  <c r="N441" i="721"/>
  <c r="J441" i="721"/>
  <c r="R441" i="721"/>
  <c r="F441" i="721"/>
  <c r="N609" i="721"/>
  <c r="P609" i="721"/>
  <c r="F609" i="721"/>
  <c r="T609" i="721"/>
  <c r="R609" i="721"/>
  <c r="J609" i="721"/>
  <c r="L609" i="721"/>
  <c r="L710" i="720"/>
  <c r="R710" i="720"/>
  <c r="P710" i="720"/>
  <c r="F710" i="720"/>
  <c r="T710" i="720"/>
  <c r="N710" i="720"/>
  <c r="J710" i="720"/>
  <c r="F313" i="721"/>
  <c r="T313" i="721"/>
  <c r="L313" i="721"/>
  <c r="N313" i="721"/>
  <c r="R313" i="721"/>
  <c r="J313" i="721"/>
  <c r="P313" i="721"/>
  <c r="F828" i="720"/>
  <c r="F825" i="720"/>
  <c r="G824" i="720"/>
  <c r="R828" i="720"/>
  <c r="R825" i="720"/>
  <c r="R824" i="720"/>
  <c r="N828" i="720"/>
  <c r="N825" i="720"/>
  <c r="N824" i="720"/>
  <c r="J828" i="720"/>
  <c r="J825" i="720"/>
  <c r="J824" i="720"/>
  <c r="T828" i="720"/>
  <c r="T825" i="720"/>
  <c r="T824" i="720"/>
  <c r="P828" i="720"/>
  <c r="P825" i="720"/>
  <c r="P824" i="720"/>
  <c r="L828" i="720"/>
  <c r="L825" i="720"/>
  <c r="L824" i="720"/>
  <c r="L824" i="721"/>
  <c r="AE824" i="721"/>
  <c r="AE825" i="721"/>
  <c r="L806" i="720"/>
  <c r="F806" i="720"/>
  <c r="N806" i="720"/>
  <c r="T806" i="720"/>
  <c r="AE806" i="720"/>
  <c r="R806" i="720"/>
  <c r="J806" i="720"/>
  <c r="P806" i="720"/>
  <c r="AE441" i="720"/>
  <c r="L818" i="721"/>
  <c r="F818" i="721"/>
  <c r="P818" i="721"/>
  <c r="J818" i="721"/>
  <c r="N818" i="721"/>
  <c r="T818" i="721"/>
  <c r="R818" i="721"/>
  <c r="AE818" i="721"/>
  <c r="AE609" i="720"/>
  <c r="AE259" i="721"/>
  <c r="AE51" i="720"/>
  <c r="W43" i="720"/>
  <c r="AE247" i="721"/>
  <c r="W245" i="721"/>
  <c r="F117" i="721"/>
  <c r="F113" i="721"/>
  <c r="F173" i="721"/>
  <c r="J173" i="720"/>
  <c r="AE63" i="721"/>
  <c r="AE189" i="720"/>
  <c r="F266" i="720"/>
  <c r="F265" i="720"/>
  <c r="L266" i="720"/>
  <c r="L265" i="720"/>
  <c r="T266" i="720"/>
  <c r="T265" i="720"/>
  <c r="R266" i="720"/>
  <c r="R265" i="720"/>
  <c r="N266" i="720"/>
  <c r="N265" i="720"/>
  <c r="P266" i="720"/>
  <c r="P265" i="720"/>
  <c r="J266" i="720"/>
  <c r="J265" i="720"/>
  <c r="J259" i="720"/>
  <c r="T259" i="720"/>
  <c r="L259" i="720"/>
  <c r="P259" i="720"/>
  <c r="N259" i="720"/>
  <c r="R259" i="720"/>
  <c r="F259" i="720"/>
  <c r="L117" i="721"/>
  <c r="L113" i="721"/>
  <c r="N117" i="721"/>
  <c r="N113" i="721"/>
  <c r="R117" i="721"/>
  <c r="T117" i="721"/>
  <c r="T113" i="721"/>
  <c r="J117" i="721"/>
  <c r="J113" i="721"/>
  <c r="P117" i="721"/>
  <c r="P113" i="721"/>
  <c r="J313" i="720"/>
  <c r="R313" i="720"/>
  <c r="F313" i="720"/>
  <c r="T313" i="720"/>
  <c r="L313" i="720"/>
  <c r="P313" i="720"/>
  <c r="N313" i="720"/>
  <c r="L817" i="721"/>
  <c r="J817" i="721"/>
  <c r="P817" i="721"/>
  <c r="T817" i="721"/>
  <c r="F817" i="721"/>
  <c r="N817" i="721"/>
  <c r="R817" i="721"/>
  <c r="AE817" i="721"/>
  <c r="AE320" i="721"/>
  <c r="AE148" i="720"/>
  <c r="J583" i="721"/>
  <c r="P583" i="721"/>
  <c r="T583" i="721"/>
  <c r="N583" i="721"/>
  <c r="F583" i="721"/>
  <c r="R583" i="721"/>
  <c r="L583" i="721"/>
  <c r="J593" i="720"/>
  <c r="J592" i="720"/>
  <c r="R593" i="720"/>
  <c r="R592" i="720"/>
  <c r="L593" i="720"/>
  <c r="L592" i="720"/>
  <c r="N593" i="720"/>
  <c r="N592" i="720"/>
  <c r="T593" i="720"/>
  <c r="T592" i="720"/>
  <c r="P593" i="720"/>
  <c r="P592" i="720"/>
  <c r="F593" i="720"/>
  <c r="F592" i="720"/>
  <c r="F819" i="720"/>
  <c r="P819" i="720"/>
  <c r="L819" i="720"/>
  <c r="N819" i="720"/>
  <c r="J819" i="720"/>
  <c r="T819" i="720"/>
  <c r="R819" i="720"/>
  <c r="P95" i="721"/>
  <c r="J95" i="721"/>
  <c r="T95" i="721"/>
  <c r="N95" i="721"/>
  <c r="L95" i="721"/>
  <c r="R95" i="721"/>
  <c r="F95" i="721"/>
  <c r="AE312" i="721"/>
  <c r="AE441" i="721"/>
  <c r="AE609" i="721"/>
  <c r="AE710" i="720"/>
  <c r="AE313" i="721"/>
  <c r="AE828" i="720"/>
  <c r="W825" i="720"/>
  <c r="P189" i="721"/>
  <c r="P188" i="721"/>
  <c r="T189" i="721"/>
  <c r="T188" i="721"/>
  <c r="F189" i="721"/>
  <c r="F188" i="721"/>
  <c r="L189" i="721"/>
  <c r="L188" i="721"/>
  <c r="N189" i="721"/>
  <c r="N188" i="721"/>
  <c r="J189" i="721"/>
  <c r="J188" i="721"/>
  <c r="R189" i="721"/>
  <c r="R188" i="721"/>
  <c r="W188" i="721"/>
  <c r="AE188" i="721"/>
  <c r="J304" i="721"/>
  <c r="L304" i="721"/>
  <c r="R304" i="721"/>
  <c r="T304" i="721"/>
  <c r="N304" i="721"/>
  <c r="P304" i="721"/>
  <c r="F304" i="721"/>
  <c r="R615" i="720"/>
  <c r="R614" i="720"/>
  <c r="N615" i="720"/>
  <c r="N614" i="720"/>
  <c r="F615" i="720"/>
  <c r="F614" i="720"/>
  <c r="L615" i="720"/>
  <c r="L614" i="720"/>
  <c r="P615" i="720"/>
  <c r="P614" i="720"/>
  <c r="J615" i="720"/>
  <c r="J614" i="720"/>
  <c r="T615" i="720"/>
  <c r="T614" i="720"/>
  <c r="F730" i="720"/>
  <c r="P730" i="720"/>
  <c r="N730" i="720"/>
  <c r="T730" i="720"/>
  <c r="R730" i="720"/>
  <c r="L730" i="720"/>
  <c r="AE730" i="720"/>
  <c r="J730" i="720"/>
  <c r="L462" i="720"/>
  <c r="J462" i="720"/>
  <c r="P462" i="720"/>
  <c r="T462" i="720"/>
  <c r="N462" i="720"/>
  <c r="R462" i="720"/>
  <c r="AE462" i="720"/>
  <c r="F462" i="720"/>
  <c r="R113" i="721"/>
  <c r="R173" i="721"/>
  <c r="AE191" i="721"/>
  <c r="F723" i="720"/>
  <c r="P723" i="720"/>
  <c r="J723" i="720"/>
  <c r="N723" i="720"/>
  <c r="T723" i="720"/>
  <c r="R723" i="720"/>
  <c r="L723" i="720"/>
  <c r="AE723" i="720"/>
  <c r="J295" i="721"/>
  <c r="N295" i="721"/>
  <c r="R295" i="721"/>
  <c r="P295" i="721"/>
  <c r="T295" i="721"/>
  <c r="L295" i="721"/>
  <c r="AE295" i="721"/>
  <c r="F295" i="721"/>
  <c r="AE266" i="720"/>
  <c r="W265" i="720"/>
  <c r="AE265" i="720"/>
  <c r="N61" i="720"/>
  <c r="T61" i="720"/>
  <c r="R61" i="720"/>
  <c r="P61" i="720"/>
  <c r="L61" i="720"/>
  <c r="AE61" i="720"/>
  <c r="J61" i="720"/>
  <c r="F61" i="720"/>
  <c r="AE117" i="721"/>
  <c r="AE313" i="720"/>
  <c r="L63" i="720"/>
  <c r="N63" i="720"/>
  <c r="T63" i="720"/>
  <c r="R63" i="720"/>
  <c r="F63" i="720"/>
  <c r="P63" i="720"/>
  <c r="AE63" i="720"/>
  <c r="AE583" i="721"/>
  <c r="W592" i="720"/>
  <c r="AE593" i="720"/>
  <c r="AE819" i="720"/>
  <c r="AE95" i="721"/>
  <c r="R419" i="721"/>
  <c r="P419" i="721"/>
  <c r="F419" i="721"/>
  <c r="N419" i="721"/>
  <c r="J419" i="721"/>
  <c r="T419" i="721"/>
  <c r="L419" i="721"/>
  <c r="AE419" i="721"/>
  <c r="AE486" i="720"/>
  <c r="L593" i="721"/>
  <c r="L592" i="721"/>
  <c r="L580" i="721"/>
  <c r="P593" i="721"/>
  <c r="P592" i="721"/>
  <c r="P580" i="721"/>
  <c r="R593" i="721"/>
  <c r="R592" i="721"/>
  <c r="R580" i="721"/>
  <c r="J593" i="721"/>
  <c r="J592" i="721"/>
  <c r="J580" i="721"/>
  <c r="T593" i="721"/>
  <c r="T592" i="721"/>
  <c r="T580" i="721"/>
  <c r="AE580" i="721"/>
  <c r="N593" i="721"/>
  <c r="N592" i="721"/>
  <c r="N580" i="721"/>
  <c r="F593" i="721"/>
  <c r="F592" i="721"/>
  <c r="G580" i="721"/>
  <c r="N730" i="721"/>
  <c r="R730" i="721"/>
  <c r="P730" i="721"/>
  <c r="J730" i="721"/>
  <c r="L730" i="721"/>
  <c r="F730" i="721"/>
  <c r="T730" i="721"/>
  <c r="AE730" i="721"/>
  <c r="L62" i="720"/>
  <c r="R62" i="720"/>
  <c r="N62" i="720"/>
  <c r="P62" i="720"/>
  <c r="T62" i="720"/>
  <c r="AE62" i="720"/>
  <c r="F62" i="720"/>
  <c r="AE608" i="721"/>
  <c r="F567" i="721"/>
  <c r="F566" i="721"/>
  <c r="G545" i="721"/>
  <c r="R567" i="721"/>
  <c r="R566" i="721"/>
  <c r="R545" i="721"/>
  <c r="J567" i="721"/>
  <c r="J566" i="721"/>
  <c r="J545" i="721"/>
  <c r="L567" i="721"/>
  <c r="L566" i="721"/>
  <c r="L545" i="721"/>
  <c r="P567" i="721"/>
  <c r="P566" i="721"/>
  <c r="P545" i="721"/>
  <c r="N567" i="721"/>
  <c r="N566" i="721"/>
  <c r="N545" i="721"/>
  <c r="T567" i="721"/>
  <c r="T566" i="721"/>
  <c r="AE304" i="721"/>
  <c r="W614" i="720"/>
  <c r="AE614" i="720"/>
  <c r="AE615" i="720"/>
  <c r="F819" i="721"/>
  <c r="R819" i="721"/>
  <c r="T819" i="721"/>
  <c r="P819" i="721"/>
  <c r="N819" i="721"/>
  <c r="L819" i="721"/>
  <c r="AE819" i="721"/>
  <c r="J819" i="721"/>
  <c r="AE410" i="720"/>
  <c r="AE809" i="721"/>
  <c r="AE191" i="720"/>
  <c r="P291" i="721"/>
  <c r="N291" i="721"/>
  <c r="T291" i="721"/>
  <c r="R291" i="721"/>
  <c r="L291" i="721"/>
  <c r="AE291" i="721"/>
  <c r="F291" i="721"/>
  <c r="J595" i="721"/>
  <c r="R595" i="721"/>
  <c r="F595" i="721"/>
  <c r="P595" i="721"/>
  <c r="T595" i="721"/>
  <c r="N595" i="721"/>
  <c r="L595" i="721"/>
  <c r="W290" i="721"/>
  <c r="E290" i="721"/>
  <c r="W594" i="720"/>
  <c r="E594" i="720"/>
  <c r="F455" i="720"/>
  <c r="L455" i="720"/>
  <c r="N455" i="720"/>
  <c r="R455" i="720"/>
  <c r="T455" i="720"/>
  <c r="J455" i="720"/>
  <c r="P455" i="720"/>
  <c r="N100" i="721"/>
  <c r="J100" i="721"/>
  <c r="F100" i="721"/>
  <c r="L100" i="721"/>
  <c r="R100" i="721"/>
  <c r="P100" i="721"/>
  <c r="T100" i="721"/>
  <c r="W101" i="721"/>
  <c r="E101" i="721"/>
  <c r="L18" i="720"/>
  <c r="F18" i="720"/>
  <c r="R18" i="720"/>
  <c r="J18" i="720"/>
  <c r="T18" i="720"/>
  <c r="P18" i="720"/>
  <c r="N18" i="720"/>
  <c r="W76" i="720"/>
  <c r="E76" i="720"/>
  <c r="T359" i="721"/>
  <c r="F359" i="721"/>
  <c r="N359" i="721"/>
  <c r="R359" i="721"/>
  <c r="L359" i="721"/>
  <c r="J359" i="721"/>
  <c r="P359" i="721"/>
  <c r="R437" i="720"/>
  <c r="T437" i="720"/>
  <c r="J437" i="720"/>
  <c r="P437" i="720"/>
  <c r="N437" i="720"/>
  <c r="F437" i="720"/>
  <c r="L437" i="720"/>
  <c r="T409" i="720"/>
  <c r="N409" i="720"/>
  <c r="R409" i="720"/>
  <c r="F409" i="720"/>
  <c r="J409" i="720"/>
  <c r="P409" i="720"/>
  <c r="L409" i="720"/>
  <c r="W362" i="721"/>
  <c r="E362" i="721"/>
  <c r="W365" i="720"/>
  <c r="E365" i="720"/>
  <c r="W258" i="721"/>
  <c r="E258" i="721"/>
  <c r="AE115" i="721"/>
  <c r="N192" i="720"/>
  <c r="T192" i="720"/>
  <c r="T188" i="720"/>
  <c r="P192" i="720"/>
  <c r="P188" i="720"/>
  <c r="L192" i="720"/>
  <c r="F192" i="720"/>
  <c r="J192" i="720"/>
  <c r="R192" i="720"/>
  <c r="R188" i="720"/>
  <c r="T99" i="720"/>
  <c r="J99" i="720"/>
  <c r="P99" i="720"/>
  <c r="F99" i="720"/>
  <c r="N99" i="720"/>
  <c r="R99" i="720"/>
  <c r="L99" i="720"/>
  <c r="AE595" i="721"/>
  <c r="W290" i="720"/>
  <c r="E290" i="720"/>
  <c r="F433" i="720"/>
  <c r="N433" i="720"/>
  <c r="J433" i="720"/>
  <c r="R433" i="720"/>
  <c r="P433" i="720"/>
  <c r="T433" i="720"/>
  <c r="L433" i="720"/>
  <c r="W594" i="721"/>
  <c r="E594" i="721"/>
  <c r="N418" i="721"/>
  <c r="R418" i="721"/>
  <c r="J418" i="721"/>
  <c r="P418" i="721"/>
  <c r="T418" i="721"/>
  <c r="F418" i="721"/>
  <c r="L418" i="721"/>
  <c r="AE455" i="720"/>
  <c r="T293" i="721"/>
  <c r="F293" i="721"/>
  <c r="J293" i="721"/>
  <c r="N293" i="721"/>
  <c r="P293" i="721"/>
  <c r="R293" i="721"/>
  <c r="L293" i="721"/>
  <c r="AE293" i="721"/>
  <c r="T359" i="720"/>
  <c r="R359" i="720"/>
  <c r="F359" i="720"/>
  <c r="L359" i="720"/>
  <c r="J359" i="720"/>
  <c r="P359" i="720"/>
  <c r="N359" i="720"/>
  <c r="AE100" i="721"/>
  <c r="N83" i="721"/>
  <c r="N82" i="721"/>
  <c r="F83" i="721"/>
  <c r="F82" i="721"/>
  <c r="R83" i="721"/>
  <c r="R82" i="721"/>
  <c r="T83" i="721"/>
  <c r="T82" i="721"/>
  <c r="P83" i="721"/>
  <c r="P82" i="721"/>
  <c r="J83" i="721"/>
  <c r="J82" i="721"/>
  <c r="L83" i="721"/>
  <c r="L82" i="721"/>
  <c r="W305" i="721"/>
  <c r="E305" i="721"/>
  <c r="N195" i="721"/>
  <c r="J195" i="721"/>
  <c r="P195" i="721"/>
  <c r="T195" i="721"/>
  <c r="R195" i="721"/>
  <c r="L195" i="721"/>
  <c r="F195" i="721"/>
  <c r="AE359" i="721"/>
  <c r="AE179" i="721"/>
  <c r="AE437" i="720"/>
  <c r="AE409" i="720"/>
  <c r="W362" i="720"/>
  <c r="E362" i="720"/>
  <c r="L195" i="720"/>
  <c r="F195" i="720"/>
  <c r="J195" i="720"/>
  <c r="P195" i="720"/>
  <c r="T195" i="720"/>
  <c r="N195" i="720"/>
  <c r="R195" i="720"/>
  <c r="AE195" i="720"/>
  <c r="W493" i="721"/>
  <c r="E493" i="721"/>
  <c r="N173" i="720"/>
  <c r="L173" i="720"/>
  <c r="N99" i="721"/>
  <c r="R99" i="721"/>
  <c r="T99" i="721"/>
  <c r="P99" i="721"/>
  <c r="L99" i="721"/>
  <c r="AE99" i="721"/>
  <c r="J99" i="721"/>
  <c r="F99" i="721"/>
  <c r="N100" i="720"/>
  <c r="L100" i="720"/>
  <c r="R100" i="720"/>
  <c r="F100" i="720"/>
  <c r="J100" i="720"/>
  <c r="T100" i="720"/>
  <c r="P100" i="720"/>
  <c r="W279" i="720"/>
  <c r="E279" i="720"/>
  <c r="AE78" i="721"/>
  <c r="N188" i="720"/>
  <c r="F188" i="720"/>
  <c r="AE99" i="720"/>
  <c r="F56" i="408"/>
  <c r="H57" i="408"/>
  <c r="AE433" i="720"/>
  <c r="P173" i="721"/>
  <c r="W101" i="720"/>
  <c r="E101" i="720"/>
  <c r="W82" i="721"/>
  <c r="W305" i="720"/>
  <c r="E305" i="720"/>
  <c r="F55" i="550"/>
  <c r="H56" i="550"/>
  <c r="AE572" i="720"/>
  <c r="T545" i="720"/>
  <c r="AE545" i="720"/>
  <c r="J286" i="721"/>
  <c r="L286" i="721"/>
  <c r="R286" i="721"/>
  <c r="P286" i="721"/>
  <c r="T286" i="721"/>
  <c r="N286" i="721"/>
  <c r="F286" i="721"/>
  <c r="E306" i="720"/>
  <c r="W306" i="720"/>
  <c r="T315" i="721"/>
  <c r="F315" i="721"/>
  <c r="J315" i="721"/>
  <c r="P315" i="721"/>
  <c r="R315" i="721"/>
  <c r="N315" i="721"/>
  <c r="L315" i="721"/>
  <c r="R817" i="720"/>
  <c r="R815" i="720"/>
  <c r="L817" i="720"/>
  <c r="L815" i="720"/>
  <c r="N817" i="720"/>
  <c r="N815" i="720"/>
  <c r="T817" i="720"/>
  <c r="T815" i="720"/>
  <c r="J817" i="720"/>
  <c r="J815" i="720"/>
  <c r="P817" i="720"/>
  <c r="P815" i="720"/>
  <c r="F817" i="720"/>
  <c r="F815" i="720"/>
  <c r="F55" i="542"/>
  <c r="H56" i="542"/>
  <c r="W258" i="720"/>
  <c r="E258" i="720"/>
  <c r="W493" i="720"/>
  <c r="E493" i="720"/>
  <c r="T427" i="721"/>
  <c r="F427" i="721"/>
  <c r="J427" i="721"/>
  <c r="R427" i="721"/>
  <c r="P427" i="721"/>
  <c r="L427" i="721"/>
  <c r="N427" i="721"/>
  <c r="J455" i="721"/>
  <c r="N455" i="721"/>
  <c r="L455" i="721"/>
  <c r="F455" i="721"/>
  <c r="R455" i="721"/>
  <c r="T455" i="721"/>
  <c r="P455" i="721"/>
  <c r="T173" i="720"/>
  <c r="AE173" i="720"/>
  <c r="F173" i="720"/>
  <c r="W279" i="721"/>
  <c r="E279" i="721"/>
  <c r="J188" i="720"/>
  <c r="L188" i="720"/>
  <c r="F293" i="720"/>
  <c r="J293" i="720"/>
  <c r="T293" i="720"/>
  <c r="R293" i="720"/>
  <c r="P293" i="720"/>
  <c r="N293" i="720"/>
  <c r="L293" i="720"/>
  <c r="L16" i="721"/>
  <c r="N16" i="721"/>
  <c r="P16" i="721"/>
  <c r="T16" i="721"/>
  <c r="R16" i="721"/>
  <c r="F16" i="721"/>
  <c r="J16" i="721"/>
  <c r="F342" i="720"/>
  <c r="R342" i="720"/>
  <c r="T342" i="720"/>
  <c r="L342" i="720"/>
  <c r="J342" i="720"/>
  <c r="P342" i="720"/>
  <c r="N342" i="720"/>
  <c r="AE18" i="720"/>
  <c r="W76" i="721"/>
  <c r="E76" i="721"/>
  <c r="W306" i="721"/>
  <c r="E306" i="721"/>
  <c r="AE315" i="721"/>
  <c r="W815" i="720"/>
  <c r="T334" i="721"/>
  <c r="AE334" i="721"/>
  <c r="P334" i="721"/>
  <c r="R334" i="721"/>
  <c r="L334" i="721"/>
  <c r="J334" i="721"/>
  <c r="N334" i="721"/>
  <c r="F334" i="721"/>
  <c r="W365" i="721"/>
  <c r="E365" i="721"/>
  <c r="F56" i="591"/>
  <c r="H57" i="591"/>
  <c r="AE455" i="721"/>
  <c r="W188" i="720"/>
  <c r="AE192" i="720"/>
  <c r="T595" i="720"/>
  <c r="AE595" i="720"/>
  <c r="R595" i="720"/>
  <c r="J595" i="720"/>
  <c r="L595" i="720"/>
  <c r="N595" i="720"/>
  <c r="P595" i="720"/>
  <c r="F595" i="720"/>
  <c r="AE173" i="721"/>
  <c r="T408" i="720"/>
  <c r="F408" i="720"/>
  <c r="L408" i="720"/>
  <c r="R408" i="720"/>
  <c r="P408" i="720"/>
  <c r="J408" i="720"/>
  <c r="N408" i="720"/>
  <c r="W308" i="720"/>
  <c r="E308" i="720"/>
  <c r="J426" i="721"/>
  <c r="L426" i="721"/>
  <c r="T426" i="721"/>
  <c r="F426" i="721"/>
  <c r="R426" i="721"/>
  <c r="N426" i="721"/>
  <c r="P426" i="721"/>
  <c r="F314" i="720"/>
  <c r="P314" i="720"/>
  <c r="N314" i="720"/>
  <c r="R314" i="720"/>
  <c r="T314" i="720"/>
  <c r="L314" i="720"/>
  <c r="AE314" i="720"/>
  <c r="J314" i="720"/>
  <c r="W257" i="720"/>
  <c r="J247" i="720"/>
  <c r="J245" i="720"/>
  <c r="L247" i="720"/>
  <c r="L245" i="720"/>
  <c r="F247" i="720"/>
  <c r="F245" i="720"/>
  <c r="P247" i="720"/>
  <c r="P245" i="720"/>
  <c r="R247" i="720"/>
  <c r="R245" i="720"/>
  <c r="T247" i="720"/>
  <c r="T245" i="720"/>
  <c r="N247" i="720"/>
  <c r="N245" i="720"/>
  <c r="N415" i="721"/>
  <c r="F415" i="721"/>
  <c r="J415" i="721"/>
  <c r="L415" i="721"/>
  <c r="R415" i="721"/>
  <c r="P415" i="721"/>
  <c r="T415" i="721"/>
  <c r="P422" i="720"/>
  <c r="T422" i="720"/>
  <c r="R422" i="720"/>
  <c r="N422" i="720"/>
  <c r="L422" i="720"/>
  <c r="AE422" i="720"/>
  <c r="J422" i="720"/>
  <c r="F422" i="720"/>
  <c r="R457" i="720"/>
  <c r="F457" i="720"/>
  <c r="J457" i="720"/>
  <c r="T457" i="720"/>
  <c r="N457" i="720"/>
  <c r="P457" i="720"/>
  <c r="L457" i="720"/>
  <c r="T339" i="721"/>
  <c r="F339" i="721"/>
  <c r="R339" i="721"/>
  <c r="J339" i="721"/>
  <c r="L339" i="721"/>
  <c r="P339" i="721"/>
  <c r="N339" i="721"/>
  <c r="J310" i="720"/>
  <c r="L310" i="720"/>
  <c r="R310" i="720"/>
  <c r="F310" i="720"/>
  <c r="P310" i="720"/>
  <c r="T310" i="720"/>
  <c r="N310" i="720"/>
  <c r="R385" i="721"/>
  <c r="P385" i="721"/>
  <c r="F385" i="721"/>
  <c r="N385" i="721"/>
  <c r="J385" i="721"/>
  <c r="L385" i="721"/>
  <c r="T385" i="721"/>
  <c r="AE420" i="720"/>
  <c r="R314" i="721"/>
  <c r="L314" i="721"/>
  <c r="N314" i="721"/>
  <c r="F314" i="721"/>
  <c r="J314" i="721"/>
  <c r="P314" i="721"/>
  <c r="T314" i="721"/>
  <c r="T444" i="720"/>
  <c r="L444" i="720"/>
  <c r="F444" i="720"/>
  <c r="P444" i="720"/>
  <c r="J444" i="720"/>
  <c r="N444" i="720"/>
  <c r="R444" i="720"/>
  <c r="J261" i="721"/>
  <c r="T261" i="721"/>
  <c r="P261" i="721"/>
  <c r="F261" i="721"/>
  <c r="L261" i="721"/>
  <c r="R261" i="721"/>
  <c r="N261" i="721"/>
  <c r="J98" i="720"/>
  <c r="P98" i="720"/>
  <c r="R98" i="720"/>
  <c r="F98" i="720"/>
  <c r="L98" i="720"/>
  <c r="T98" i="720"/>
  <c r="N98" i="720"/>
  <c r="T387" i="721"/>
  <c r="L387" i="721"/>
  <c r="J387" i="721"/>
  <c r="P387" i="721"/>
  <c r="R387" i="721"/>
  <c r="N387" i="721"/>
  <c r="F387" i="721"/>
  <c r="F278" i="720"/>
  <c r="N278" i="720"/>
  <c r="P278" i="720"/>
  <c r="R278" i="720"/>
  <c r="T278" i="720"/>
  <c r="L278" i="720"/>
  <c r="AE278" i="720"/>
  <c r="J410" i="721"/>
  <c r="R410" i="721"/>
  <c r="N410" i="721"/>
  <c r="L410" i="721"/>
  <c r="T410" i="721"/>
  <c r="F410" i="721"/>
  <c r="P410" i="721"/>
  <c r="AE410" i="721"/>
  <c r="L405" i="720"/>
  <c r="N405" i="720"/>
  <c r="P405" i="720"/>
  <c r="R405" i="720"/>
  <c r="T405" i="720"/>
  <c r="J405" i="720"/>
  <c r="F405" i="720"/>
  <c r="E308" i="721"/>
  <c r="W308" i="721"/>
  <c r="F79" i="721"/>
  <c r="P79" i="721"/>
  <c r="L79" i="721"/>
  <c r="N79" i="721"/>
  <c r="T79" i="721"/>
  <c r="R79" i="721"/>
  <c r="J79" i="721"/>
  <c r="T444" i="721"/>
  <c r="P444" i="721"/>
  <c r="F444" i="721"/>
  <c r="N444" i="721"/>
  <c r="L444" i="721"/>
  <c r="J444" i="721"/>
  <c r="R444" i="721"/>
  <c r="W75" i="720"/>
  <c r="T454" i="721"/>
  <c r="F454" i="721"/>
  <c r="J454" i="721"/>
  <c r="R454" i="721"/>
  <c r="P454" i="721"/>
  <c r="N454" i="721"/>
  <c r="L454" i="721"/>
  <c r="J297" i="721"/>
  <c r="T297" i="721"/>
  <c r="R297" i="721"/>
  <c r="L297" i="721"/>
  <c r="P297" i="721"/>
  <c r="F297" i="721"/>
  <c r="N297" i="721"/>
  <c r="L458" i="721"/>
  <c r="J458" i="721"/>
  <c r="N458" i="721"/>
  <c r="P458" i="721"/>
  <c r="R458" i="721"/>
  <c r="T458" i="721"/>
  <c r="F458" i="721"/>
  <c r="L388" i="721"/>
  <c r="P388" i="721"/>
  <c r="F388" i="721"/>
  <c r="T388" i="721"/>
  <c r="J388" i="721"/>
  <c r="R388" i="721"/>
  <c r="N388" i="721"/>
  <c r="J398" i="721"/>
  <c r="P398" i="721"/>
  <c r="N398" i="721"/>
  <c r="L398" i="721"/>
  <c r="F398" i="721"/>
  <c r="T398" i="721"/>
  <c r="R398" i="721"/>
  <c r="N431" i="720"/>
  <c r="T431" i="720"/>
  <c r="F431" i="720"/>
  <c r="L431" i="720"/>
  <c r="J431" i="720"/>
  <c r="P431" i="720"/>
  <c r="R431" i="720"/>
  <c r="F820" i="721"/>
  <c r="F815" i="721"/>
  <c r="P820" i="721"/>
  <c r="P815" i="721"/>
  <c r="L820" i="721"/>
  <c r="L815" i="721"/>
  <c r="R820" i="721"/>
  <c r="R815" i="721"/>
  <c r="T820" i="721"/>
  <c r="T815" i="721"/>
  <c r="N820" i="721"/>
  <c r="N815" i="721"/>
  <c r="J820" i="721"/>
  <c r="J815" i="721"/>
  <c r="J453" i="720"/>
  <c r="P453" i="720"/>
  <c r="T453" i="720"/>
  <c r="F453" i="720"/>
  <c r="L453" i="720"/>
  <c r="N453" i="720"/>
  <c r="R453" i="720"/>
  <c r="R79" i="720"/>
  <c r="F79" i="720"/>
  <c r="N79" i="720"/>
  <c r="P79" i="720"/>
  <c r="J79" i="720"/>
  <c r="T79" i="720"/>
  <c r="L79" i="720"/>
  <c r="T261" i="720"/>
  <c r="R261" i="720"/>
  <c r="P261" i="720"/>
  <c r="N261" i="720"/>
  <c r="L261" i="720"/>
  <c r="AE261" i="720"/>
  <c r="J261" i="720"/>
  <c r="F261" i="720"/>
  <c r="P310" i="721"/>
  <c r="L310" i="721"/>
  <c r="J310" i="721"/>
  <c r="F310" i="721"/>
  <c r="R310" i="721"/>
  <c r="N310" i="721"/>
  <c r="T310" i="721"/>
  <c r="T309" i="721"/>
  <c r="F309" i="721"/>
  <c r="P309" i="721"/>
  <c r="R309" i="721"/>
  <c r="J309" i="721"/>
  <c r="N309" i="721"/>
  <c r="L309" i="721"/>
  <c r="F55" i="278"/>
  <c r="H56" i="278"/>
  <c r="N340" i="720"/>
  <c r="R340" i="720"/>
  <c r="J340" i="720"/>
  <c r="T340" i="720"/>
  <c r="AE340" i="720"/>
  <c r="L340" i="720"/>
  <c r="F340" i="720"/>
  <c r="P340" i="720"/>
  <c r="W245" i="720"/>
  <c r="AE247" i="720"/>
  <c r="T408" i="721"/>
  <c r="R408" i="721"/>
  <c r="F408" i="721"/>
  <c r="L408" i="721"/>
  <c r="J408" i="721"/>
  <c r="P408" i="721"/>
  <c r="N408" i="721"/>
  <c r="AE415" i="721"/>
  <c r="N412" i="721"/>
  <c r="J412" i="721"/>
  <c r="T412" i="721"/>
  <c r="P412" i="721"/>
  <c r="L412" i="721"/>
  <c r="R412" i="721"/>
  <c r="F412" i="721"/>
  <c r="T411" i="720"/>
  <c r="N411" i="720"/>
  <c r="J411" i="720"/>
  <c r="R411" i="720"/>
  <c r="F411" i="720"/>
  <c r="L411" i="720"/>
  <c r="P411" i="720"/>
  <c r="L426" i="720"/>
  <c r="P426" i="720"/>
  <c r="R426" i="720"/>
  <c r="T426" i="720"/>
  <c r="J426" i="720"/>
  <c r="N426" i="720"/>
  <c r="F426" i="720"/>
  <c r="P339" i="720"/>
  <c r="L339" i="720"/>
  <c r="F339" i="720"/>
  <c r="R339" i="720"/>
  <c r="N339" i="720"/>
  <c r="J339" i="720"/>
  <c r="T339" i="720"/>
  <c r="L386" i="720"/>
  <c r="F386" i="720"/>
  <c r="J386" i="720"/>
  <c r="N386" i="720"/>
  <c r="R386" i="720"/>
  <c r="T386" i="720"/>
  <c r="P386" i="720"/>
  <c r="AE386" i="720"/>
  <c r="R277" i="720"/>
  <c r="F277" i="720"/>
  <c r="T277" i="720"/>
  <c r="N277" i="720"/>
  <c r="P277" i="720"/>
  <c r="L277" i="720"/>
  <c r="L452" i="721"/>
  <c r="J452" i="721"/>
  <c r="R452" i="721"/>
  <c r="F452" i="721"/>
  <c r="N452" i="721"/>
  <c r="P452" i="721"/>
  <c r="T452" i="721"/>
  <c r="R340" i="721"/>
  <c r="L340" i="721"/>
  <c r="J340" i="721"/>
  <c r="N340" i="721"/>
  <c r="T340" i="721"/>
  <c r="P340" i="721"/>
  <c r="F340" i="721"/>
  <c r="P278" i="721"/>
  <c r="F278" i="721"/>
  <c r="R278" i="721"/>
  <c r="T278" i="721"/>
  <c r="N278" i="721"/>
  <c r="L278" i="721"/>
  <c r="AE314" i="721"/>
  <c r="AE444" i="720"/>
  <c r="AE261" i="721"/>
  <c r="R289" i="721"/>
  <c r="P289" i="721"/>
  <c r="L289" i="721"/>
  <c r="F289" i="721"/>
  <c r="N289" i="721"/>
  <c r="T289" i="721"/>
  <c r="AE289" i="721"/>
  <c r="AE98" i="720"/>
  <c r="AE387" i="721"/>
  <c r="N421" i="721"/>
  <c r="P421" i="721"/>
  <c r="L421" i="721"/>
  <c r="F421" i="721"/>
  <c r="J421" i="721"/>
  <c r="R421" i="721"/>
  <c r="T421" i="721"/>
  <c r="N400" i="720"/>
  <c r="F400" i="720"/>
  <c r="T400" i="720"/>
  <c r="P400" i="720"/>
  <c r="J400" i="720"/>
  <c r="R400" i="720"/>
  <c r="L400" i="720"/>
  <c r="T420" i="721"/>
  <c r="F420" i="721"/>
  <c r="L420" i="721"/>
  <c r="R420" i="721"/>
  <c r="P420" i="721"/>
  <c r="N420" i="721"/>
  <c r="J420" i="721"/>
  <c r="P457" i="721"/>
  <c r="J457" i="721"/>
  <c r="T457" i="721"/>
  <c r="F457" i="721"/>
  <c r="L457" i="721"/>
  <c r="N457" i="721"/>
  <c r="R457" i="721"/>
  <c r="R260" i="721"/>
  <c r="J260" i="721"/>
  <c r="N260" i="721"/>
  <c r="F260" i="721"/>
  <c r="L260" i="721"/>
  <c r="P260" i="721"/>
  <c r="T260" i="721"/>
  <c r="T505" i="720"/>
  <c r="P505" i="720"/>
  <c r="F505" i="720"/>
  <c r="N505" i="720"/>
  <c r="L505" i="720"/>
  <c r="J505" i="720"/>
  <c r="R505" i="720"/>
  <c r="AE79" i="721"/>
  <c r="AE444" i="721"/>
  <c r="F77" i="720"/>
  <c r="J77" i="720"/>
  <c r="P77" i="720"/>
  <c r="N77" i="720"/>
  <c r="R77" i="720"/>
  <c r="T77" i="720"/>
  <c r="L77" i="720"/>
  <c r="AE454" i="721"/>
  <c r="W294" i="721"/>
  <c r="AE297" i="721"/>
  <c r="AE458" i="721"/>
  <c r="N400" i="721"/>
  <c r="R400" i="721"/>
  <c r="P400" i="721"/>
  <c r="L400" i="721"/>
  <c r="J400" i="721"/>
  <c r="T400" i="721"/>
  <c r="AE400" i="721"/>
  <c r="F400" i="721"/>
  <c r="AE388" i="721"/>
  <c r="W815" i="721"/>
  <c r="AE815" i="721"/>
  <c r="AE820" i="721"/>
  <c r="AE453" i="720"/>
  <c r="AE79" i="720"/>
  <c r="AE310" i="721"/>
  <c r="AE309" i="721"/>
  <c r="W577" i="721"/>
  <c r="E577" i="721"/>
  <c r="L297" i="720"/>
  <c r="R297" i="720"/>
  <c r="T297" i="720"/>
  <c r="F297" i="720"/>
  <c r="J297" i="720"/>
  <c r="P297" i="720"/>
  <c r="N297" i="720"/>
  <c r="T431" i="721"/>
  <c r="R431" i="721"/>
  <c r="P431" i="721"/>
  <c r="L431" i="721"/>
  <c r="N431" i="721"/>
  <c r="J431" i="721"/>
  <c r="F431" i="721"/>
  <c r="N361" i="721"/>
  <c r="P361" i="721"/>
  <c r="J361" i="721"/>
  <c r="F361" i="721"/>
  <c r="T361" i="721"/>
  <c r="L361" i="721"/>
  <c r="R361" i="721"/>
  <c r="AE339" i="720"/>
  <c r="AE277" i="720"/>
  <c r="AE452" i="721"/>
  <c r="AE340" i="721"/>
  <c r="N533" i="720"/>
  <c r="N531" i="720"/>
  <c r="L533" i="720"/>
  <c r="L531" i="720"/>
  <c r="R533" i="720"/>
  <c r="R531" i="720"/>
  <c r="T533" i="720"/>
  <c r="T531" i="720"/>
  <c r="J533" i="720"/>
  <c r="J531" i="720"/>
  <c r="P533" i="720"/>
  <c r="P531" i="720"/>
  <c r="F533" i="720"/>
  <c r="F531" i="720"/>
  <c r="AE278" i="721"/>
  <c r="J433" i="721"/>
  <c r="T433" i="721"/>
  <c r="P433" i="721"/>
  <c r="R433" i="721"/>
  <c r="F433" i="721"/>
  <c r="L433" i="721"/>
  <c r="N433" i="721"/>
  <c r="W358" i="720"/>
  <c r="T299" i="721"/>
  <c r="R299" i="721"/>
  <c r="P299" i="721"/>
  <c r="L299" i="721"/>
  <c r="J299" i="721"/>
  <c r="N299" i="721"/>
  <c r="F299" i="721"/>
  <c r="W75" i="721"/>
  <c r="W531" i="721"/>
  <c r="N404" i="720"/>
  <c r="T404" i="720"/>
  <c r="F404" i="720"/>
  <c r="L404" i="720"/>
  <c r="J404" i="720"/>
  <c r="P404" i="720"/>
  <c r="R404" i="720"/>
  <c r="J447" i="721"/>
  <c r="N447" i="721"/>
  <c r="P447" i="721"/>
  <c r="L447" i="721"/>
  <c r="T447" i="721"/>
  <c r="R447" i="721"/>
  <c r="AE447" i="721"/>
  <c r="F447" i="721"/>
  <c r="F407" i="721"/>
  <c r="N407" i="721"/>
  <c r="P407" i="721"/>
  <c r="T407" i="721"/>
  <c r="L407" i="721"/>
  <c r="R407" i="721"/>
  <c r="AE407" i="721"/>
  <c r="J407" i="721"/>
  <c r="F361" i="720"/>
  <c r="J361" i="720"/>
  <c r="R361" i="720"/>
  <c r="N361" i="720"/>
  <c r="P361" i="720"/>
  <c r="L361" i="720"/>
  <c r="T361" i="720"/>
  <c r="F505" i="721"/>
  <c r="R505" i="721"/>
  <c r="L505" i="721"/>
  <c r="J505" i="721"/>
  <c r="N505" i="721"/>
  <c r="T505" i="721"/>
  <c r="P505" i="721"/>
  <c r="L445" i="720"/>
  <c r="N445" i="720"/>
  <c r="T445" i="720"/>
  <c r="J445" i="720"/>
  <c r="R445" i="720"/>
  <c r="P445" i="720"/>
  <c r="F445" i="720"/>
  <c r="J618" i="721"/>
  <c r="N618" i="721"/>
  <c r="L618" i="721"/>
  <c r="P618" i="721"/>
  <c r="R618" i="721"/>
  <c r="F618" i="721"/>
  <c r="T618" i="721"/>
  <c r="AE618" i="721"/>
  <c r="P77" i="721"/>
  <c r="T77" i="721"/>
  <c r="F77" i="721"/>
  <c r="R77" i="721"/>
  <c r="L77" i="721"/>
  <c r="N77" i="721"/>
  <c r="J77" i="721"/>
  <c r="N452" i="720"/>
  <c r="F452" i="720"/>
  <c r="J452" i="720"/>
  <c r="L452" i="720"/>
  <c r="R452" i="720"/>
  <c r="T452" i="720"/>
  <c r="P452" i="720"/>
  <c r="R307" i="720"/>
  <c r="P307" i="720"/>
  <c r="J307" i="720"/>
  <c r="L307" i="720"/>
  <c r="N307" i="720"/>
  <c r="T307" i="720"/>
  <c r="F307" i="720"/>
  <c r="F533" i="721"/>
  <c r="F531" i="721"/>
  <c r="J533" i="721"/>
  <c r="J531" i="721"/>
  <c r="P533" i="721"/>
  <c r="P531" i="721"/>
  <c r="T533" i="721"/>
  <c r="T531" i="721"/>
  <c r="L533" i="721"/>
  <c r="L531" i="721"/>
  <c r="R533" i="721"/>
  <c r="R531" i="721"/>
  <c r="N533" i="721"/>
  <c r="N531" i="721"/>
  <c r="R315" i="720"/>
  <c r="J315" i="720"/>
  <c r="N315" i="720"/>
  <c r="P315" i="720"/>
  <c r="T315" i="720"/>
  <c r="L315" i="720"/>
  <c r="F315" i="720"/>
  <c r="AE408" i="720"/>
  <c r="AE421" i="721"/>
  <c r="N458" i="720"/>
  <c r="F458" i="720"/>
  <c r="P458" i="720"/>
  <c r="J458" i="720"/>
  <c r="R458" i="720"/>
  <c r="T458" i="720"/>
  <c r="L458" i="720"/>
  <c r="AE400" i="720"/>
  <c r="AE420" i="721"/>
  <c r="AE457" i="721"/>
  <c r="J398" i="720"/>
  <c r="N398" i="720"/>
  <c r="L398" i="720"/>
  <c r="T398" i="720"/>
  <c r="R398" i="720"/>
  <c r="P398" i="720"/>
  <c r="AE398" i="720"/>
  <c r="F398" i="720"/>
  <c r="F57" i="502"/>
  <c r="H58" i="502"/>
  <c r="W257" i="721"/>
  <c r="AE260" i="721"/>
  <c r="AE505" i="720"/>
  <c r="L522" i="720"/>
  <c r="T522" i="720"/>
  <c r="F522" i="720"/>
  <c r="J522" i="720"/>
  <c r="P522" i="720"/>
  <c r="N522" i="720"/>
  <c r="R522" i="720"/>
  <c r="R330" i="721"/>
  <c r="T330" i="721"/>
  <c r="L330" i="721"/>
  <c r="P330" i="721"/>
  <c r="N330" i="721"/>
  <c r="F330" i="721"/>
  <c r="AE310" i="720"/>
  <c r="L309" i="720"/>
  <c r="R309" i="720"/>
  <c r="T309" i="720"/>
  <c r="J309" i="720"/>
  <c r="P309" i="720"/>
  <c r="F309" i="720"/>
  <c r="N309" i="720"/>
  <c r="P407" i="720"/>
  <c r="L407" i="720"/>
  <c r="T407" i="720"/>
  <c r="J407" i="720"/>
  <c r="F407" i="720"/>
  <c r="R407" i="720"/>
  <c r="N407" i="720"/>
  <c r="J415" i="720"/>
  <c r="R415" i="720"/>
  <c r="F415" i="720"/>
  <c r="N415" i="720"/>
  <c r="L415" i="720"/>
  <c r="P415" i="720"/>
  <c r="T415" i="720"/>
  <c r="F412" i="720"/>
  <c r="L412" i="720"/>
  <c r="N412" i="720"/>
  <c r="P412" i="720"/>
  <c r="T412" i="720"/>
  <c r="R412" i="720"/>
  <c r="J412" i="720"/>
  <c r="J411" i="721"/>
  <c r="L411" i="721"/>
  <c r="T411" i="721"/>
  <c r="R411" i="721"/>
  <c r="N411" i="721"/>
  <c r="F411" i="721"/>
  <c r="P411" i="721"/>
  <c r="P447" i="720"/>
  <c r="N447" i="720"/>
  <c r="L447" i="720"/>
  <c r="F447" i="720"/>
  <c r="J447" i="720"/>
  <c r="R447" i="720"/>
  <c r="T447" i="720"/>
  <c r="AE426" i="721"/>
  <c r="R260" i="720"/>
  <c r="L260" i="720"/>
  <c r="P260" i="720"/>
  <c r="F260" i="720"/>
  <c r="J260" i="720"/>
  <c r="N260" i="720"/>
  <c r="T260" i="720"/>
  <c r="N386" i="721"/>
  <c r="J386" i="721"/>
  <c r="T386" i="721"/>
  <c r="R386" i="721"/>
  <c r="L386" i="721"/>
  <c r="F386" i="721"/>
  <c r="P386" i="721"/>
  <c r="J522" i="721"/>
  <c r="F522" i="721"/>
  <c r="T522" i="721"/>
  <c r="P522" i="721"/>
  <c r="L522" i="721"/>
  <c r="N522" i="721"/>
  <c r="R522" i="721"/>
  <c r="T702" i="721"/>
  <c r="J702" i="721"/>
  <c r="P702" i="721"/>
  <c r="N702" i="721"/>
  <c r="F702" i="721"/>
  <c r="R702" i="721"/>
  <c r="L702" i="721"/>
  <c r="T454" i="720"/>
  <c r="R454" i="720"/>
  <c r="N454" i="720"/>
  <c r="L454" i="720"/>
  <c r="P454" i="720"/>
  <c r="F454" i="720"/>
  <c r="J454" i="720"/>
  <c r="L307" i="721"/>
  <c r="N307" i="721"/>
  <c r="P307" i="721"/>
  <c r="F307" i="721"/>
  <c r="R307" i="721"/>
  <c r="T307" i="721"/>
  <c r="J307" i="721"/>
  <c r="W577" i="720"/>
  <c r="E577" i="720"/>
  <c r="W294" i="720"/>
  <c r="AE297" i="720"/>
  <c r="L404" i="721"/>
  <c r="R404" i="721"/>
  <c r="F404" i="721"/>
  <c r="J404" i="721"/>
  <c r="P404" i="721"/>
  <c r="N404" i="721"/>
  <c r="T404" i="721"/>
  <c r="L421" i="720"/>
  <c r="J421" i="720"/>
  <c r="F421" i="720"/>
  <c r="N421" i="720"/>
  <c r="R421" i="720"/>
  <c r="P421" i="720"/>
  <c r="T421" i="720"/>
  <c r="P405" i="721"/>
  <c r="T405" i="721"/>
  <c r="F405" i="721"/>
  <c r="L405" i="721"/>
  <c r="N405" i="721"/>
  <c r="R405" i="721"/>
  <c r="J405" i="721"/>
  <c r="W358" i="721"/>
  <c r="AE361" i="721"/>
  <c r="T453" i="721"/>
  <c r="L453" i="721"/>
  <c r="J453" i="721"/>
  <c r="R453" i="721"/>
  <c r="P453" i="721"/>
  <c r="F453" i="721"/>
  <c r="N453" i="721"/>
  <c r="R299" i="720"/>
  <c r="P299" i="720"/>
  <c r="T299" i="720"/>
  <c r="L299" i="720"/>
  <c r="J299" i="720"/>
  <c r="N299" i="720"/>
  <c r="F299" i="720"/>
  <c r="T445" i="721"/>
  <c r="R445" i="721"/>
  <c r="P445" i="721"/>
  <c r="L445" i="721"/>
  <c r="J445" i="721"/>
  <c r="N445" i="721"/>
  <c r="F445" i="721"/>
  <c r="P330" i="720"/>
  <c r="N330" i="720"/>
  <c r="R330" i="720"/>
  <c r="L330" i="720"/>
  <c r="F330" i="720"/>
  <c r="T330" i="720"/>
  <c r="J702" i="720"/>
  <c r="N702" i="720"/>
  <c r="P702" i="720"/>
  <c r="F702" i="720"/>
  <c r="R702" i="720"/>
  <c r="T702" i="720"/>
  <c r="L702" i="720"/>
  <c r="F98" i="721"/>
  <c r="J98" i="721"/>
  <c r="P98" i="721"/>
  <c r="R98" i="721"/>
  <c r="N98" i="721"/>
  <c r="L98" i="721"/>
  <c r="T98" i="721"/>
  <c r="W531" i="720"/>
  <c r="AE533" i="720"/>
  <c r="T437" i="721"/>
  <c r="P437" i="721"/>
  <c r="F437" i="721"/>
  <c r="L437" i="721"/>
  <c r="J437" i="721"/>
  <c r="N437" i="721"/>
  <c r="R437" i="721"/>
  <c r="AE113" i="721"/>
  <c r="AE405" i="721"/>
  <c r="AE702" i="721"/>
  <c r="AE386" i="721"/>
  <c r="AE415" i="720"/>
  <c r="AE315" i="720"/>
  <c r="AE452" i="720"/>
  <c r="AE445" i="720"/>
  <c r="AE505" i="721"/>
  <c r="AE342" i="720"/>
  <c r="AE195" i="721"/>
  <c r="AE359" i="720"/>
  <c r="T545" i="721"/>
  <c r="AE545" i="721"/>
  <c r="AE566" i="721"/>
  <c r="P580" i="720"/>
  <c r="R580" i="720"/>
  <c r="W495" i="721"/>
  <c r="F8" i="197"/>
  <c r="H8" i="197"/>
  <c r="I22" i="197"/>
  <c r="F11" i="570"/>
  <c r="H11" i="570"/>
  <c r="F10" i="586"/>
  <c r="H10" i="586"/>
  <c r="I19" i="586"/>
  <c r="F11" i="346"/>
  <c r="H11" i="346"/>
  <c r="F10" i="244"/>
  <c r="H10" i="244"/>
  <c r="I19" i="244"/>
  <c r="F11" i="571"/>
  <c r="H11" i="571"/>
  <c r="F10" i="243"/>
  <c r="H10" i="243"/>
  <c r="I19" i="243"/>
  <c r="F8" i="585"/>
  <c r="H8" i="585"/>
  <c r="I19" i="585"/>
  <c r="F11" i="345"/>
  <c r="H11" i="345"/>
  <c r="F11" i="613"/>
  <c r="H11" i="613"/>
  <c r="F10" i="649"/>
  <c r="H10" i="649"/>
  <c r="I19" i="649"/>
  <c r="F11" i="231"/>
  <c r="H11" i="231"/>
  <c r="F10" i="472"/>
  <c r="H10" i="472"/>
  <c r="I19" i="472"/>
  <c r="AE567" i="721"/>
  <c r="AB545" i="720"/>
  <c r="Z545" i="720"/>
  <c r="X545" i="720"/>
  <c r="AE286" i="721"/>
  <c r="AB580" i="721"/>
  <c r="X580" i="721"/>
  <c r="Z580" i="721"/>
  <c r="T580" i="720"/>
  <c r="AE580" i="720"/>
  <c r="J580" i="720"/>
  <c r="AE259" i="720"/>
  <c r="V545" i="721"/>
  <c r="AE593" i="721"/>
  <c r="AE433" i="721"/>
  <c r="AE385" i="721"/>
  <c r="AE339" i="721"/>
  <c r="AE16" i="721"/>
  <c r="AE293" i="720"/>
  <c r="AE83" i="721"/>
  <c r="AE189" i="721"/>
  <c r="X545" i="721"/>
  <c r="Z545" i="721"/>
  <c r="AB545" i="721"/>
  <c r="W824" i="720"/>
  <c r="V824" i="720"/>
  <c r="AE825" i="720"/>
  <c r="N580" i="720"/>
  <c r="Z824" i="720"/>
  <c r="AB824" i="720"/>
  <c r="X824" i="720"/>
  <c r="W580" i="721"/>
  <c r="V580" i="721"/>
  <c r="AE592" i="721"/>
  <c r="W495" i="720"/>
  <c r="AE299" i="720"/>
  <c r="AE412" i="721"/>
  <c r="AE427" i="721"/>
  <c r="AE100" i="720"/>
  <c r="W580" i="720"/>
  <c r="AE592" i="720"/>
  <c r="G580" i="720"/>
  <c r="L580" i="720"/>
  <c r="L498" i="721"/>
  <c r="L495" i="721"/>
  <c r="P498" i="721"/>
  <c r="P495" i="721"/>
  <c r="J498" i="721"/>
  <c r="J495" i="721"/>
  <c r="T498" i="721"/>
  <c r="T495" i="721"/>
  <c r="F498" i="721"/>
  <c r="F495" i="721"/>
  <c r="R498" i="721"/>
  <c r="R495" i="721"/>
  <c r="N498" i="721"/>
  <c r="N495" i="721"/>
  <c r="AE16" i="720"/>
  <c r="AE583" i="720"/>
  <c r="F498" i="720"/>
  <c r="F495" i="720"/>
  <c r="L498" i="720"/>
  <c r="L495" i="720"/>
  <c r="J498" i="720"/>
  <c r="J495" i="720"/>
  <c r="N498" i="720"/>
  <c r="N495" i="720"/>
  <c r="T498" i="720"/>
  <c r="T495" i="720"/>
  <c r="P498" i="720"/>
  <c r="P495" i="720"/>
  <c r="R498" i="720"/>
  <c r="R495" i="720"/>
  <c r="AE61" i="721"/>
  <c r="AE421" i="720"/>
  <c r="AE411" i="721"/>
  <c r="AE309" i="720"/>
  <c r="AE330" i="721"/>
  <c r="AE458" i="720"/>
  <c r="AE431" i="721"/>
  <c r="AE408" i="721"/>
  <c r="AE431" i="720"/>
  <c r="AE457" i="720"/>
  <c r="P365" i="721"/>
  <c r="J365" i="721"/>
  <c r="R365" i="721"/>
  <c r="N365" i="721"/>
  <c r="L365" i="721"/>
  <c r="T365" i="721"/>
  <c r="F365" i="721"/>
  <c r="F306" i="721"/>
  <c r="R306" i="721"/>
  <c r="L306" i="721"/>
  <c r="T306" i="721"/>
  <c r="P306" i="721"/>
  <c r="N306" i="721"/>
  <c r="AE306" i="721"/>
  <c r="J306" i="721"/>
  <c r="P76" i="721"/>
  <c r="R76" i="721"/>
  <c r="F76" i="721"/>
  <c r="F75" i="721"/>
  <c r="G42" i="721"/>
  <c r="T76" i="721"/>
  <c r="L76" i="721"/>
  <c r="N76" i="721"/>
  <c r="J76" i="721"/>
  <c r="J75" i="721"/>
  <c r="J42" i="721"/>
  <c r="P279" i="721"/>
  <c r="R279" i="721"/>
  <c r="L279" i="721"/>
  <c r="T279" i="721"/>
  <c r="N279" i="721"/>
  <c r="J279" i="721"/>
  <c r="F279" i="721"/>
  <c r="N493" i="720"/>
  <c r="N490" i="720"/>
  <c r="N481" i="720"/>
  <c r="T493" i="720"/>
  <c r="T490" i="720"/>
  <c r="J493" i="720"/>
  <c r="J490" i="720"/>
  <c r="J481" i="720"/>
  <c r="R493" i="720"/>
  <c r="R490" i="720"/>
  <c r="P493" i="720"/>
  <c r="P490" i="720"/>
  <c r="L493" i="720"/>
  <c r="L490" i="720"/>
  <c r="F493" i="720"/>
  <c r="F490" i="720"/>
  <c r="F10" i="347"/>
  <c r="H10" i="347"/>
  <c r="F10" i="646"/>
  <c r="H10" i="646"/>
  <c r="F8" i="634"/>
  <c r="H8" i="634"/>
  <c r="I19" i="634"/>
  <c r="F10" i="470"/>
  <c r="H10" i="470"/>
  <c r="F594" i="721"/>
  <c r="T594" i="721"/>
  <c r="AE594" i="721"/>
  <c r="J594" i="721"/>
  <c r="N594" i="721"/>
  <c r="L594" i="721"/>
  <c r="P594" i="721"/>
  <c r="R594" i="721"/>
  <c r="J365" i="720"/>
  <c r="P365" i="720"/>
  <c r="N365" i="720"/>
  <c r="L365" i="720"/>
  <c r="R365" i="720"/>
  <c r="F365" i="720"/>
  <c r="T365" i="720"/>
  <c r="P76" i="720"/>
  <c r="T76" i="720"/>
  <c r="L76" i="720"/>
  <c r="L75" i="720"/>
  <c r="L42" i="720"/>
  <c r="F76" i="720"/>
  <c r="J76" i="720"/>
  <c r="J75" i="720"/>
  <c r="J42" i="720"/>
  <c r="N76" i="720"/>
  <c r="R76" i="720"/>
  <c r="AE330" i="720"/>
  <c r="AE445" i="721"/>
  <c r="AE447" i="720"/>
  <c r="AE412" i="720"/>
  <c r="AE407" i="720"/>
  <c r="N75" i="721"/>
  <c r="N42" i="721"/>
  <c r="T75" i="721"/>
  <c r="T42" i="721"/>
  <c r="T481" i="720"/>
  <c r="AE481" i="720"/>
  <c r="T75" i="720"/>
  <c r="T42" i="720"/>
  <c r="AE411" i="720"/>
  <c r="AE405" i="720"/>
  <c r="AE365" i="721"/>
  <c r="AE817" i="720"/>
  <c r="AE76" i="721"/>
  <c r="AE279" i="721"/>
  <c r="W490" i="720"/>
  <c r="AE490" i="720"/>
  <c r="AE493" i="720"/>
  <c r="F305" i="720"/>
  <c r="P305" i="720"/>
  <c r="J305" i="720"/>
  <c r="T305" i="720"/>
  <c r="R305" i="720"/>
  <c r="N305" i="720"/>
  <c r="L305" i="720"/>
  <c r="R101" i="720"/>
  <c r="N101" i="720"/>
  <c r="T101" i="720"/>
  <c r="L101" i="720"/>
  <c r="F101" i="720"/>
  <c r="P101" i="720"/>
  <c r="J101" i="720"/>
  <c r="J305" i="721"/>
  <c r="P305" i="721"/>
  <c r="L305" i="721"/>
  <c r="N305" i="721"/>
  <c r="F305" i="721"/>
  <c r="T305" i="721"/>
  <c r="R305" i="721"/>
  <c r="L290" i="720"/>
  <c r="F290" i="720"/>
  <c r="T290" i="720"/>
  <c r="P290" i="720"/>
  <c r="N290" i="720"/>
  <c r="R290" i="720"/>
  <c r="L362" i="721"/>
  <c r="L358" i="721"/>
  <c r="T362" i="721"/>
  <c r="T358" i="721"/>
  <c r="J362" i="721"/>
  <c r="R362" i="721"/>
  <c r="F362" i="721"/>
  <c r="N362" i="721"/>
  <c r="N358" i="721"/>
  <c r="P362" i="721"/>
  <c r="P358" i="721"/>
  <c r="L75" i="721"/>
  <c r="L42" i="721"/>
  <c r="P75" i="721"/>
  <c r="P42" i="721"/>
  <c r="AE299" i="721"/>
  <c r="G481" i="720"/>
  <c r="R481" i="720"/>
  <c r="F358" i="721"/>
  <c r="R75" i="720"/>
  <c r="R42" i="720"/>
  <c r="F75" i="720"/>
  <c r="G42" i="720"/>
  <c r="AE815" i="720"/>
  <c r="F12" i="571"/>
  <c r="H12" i="571"/>
  <c r="I20" i="571"/>
  <c r="F12" i="570"/>
  <c r="H12" i="570"/>
  <c r="I20" i="570"/>
  <c r="F12" i="613"/>
  <c r="H12" i="613"/>
  <c r="I19" i="613"/>
  <c r="F9" i="303"/>
  <c r="H9" i="303"/>
  <c r="I19" i="303"/>
  <c r="F12" i="346"/>
  <c r="H12" i="346"/>
  <c r="I19" i="346"/>
  <c r="F12" i="231"/>
  <c r="H12" i="231"/>
  <c r="I19" i="231"/>
  <c r="F12" i="345"/>
  <c r="H12" i="345"/>
  <c r="I19" i="345"/>
  <c r="T258" i="720"/>
  <c r="T257" i="720"/>
  <c r="AE257" i="720"/>
  <c r="L258" i="720"/>
  <c r="L257" i="720"/>
  <c r="N258" i="720"/>
  <c r="N257" i="720"/>
  <c r="R258" i="720"/>
  <c r="P258" i="720"/>
  <c r="AE258" i="720"/>
  <c r="P257" i="720"/>
  <c r="F258" i="720"/>
  <c r="F257" i="720"/>
  <c r="J258" i="720"/>
  <c r="AE305" i="720"/>
  <c r="AE101" i="720"/>
  <c r="T493" i="721"/>
  <c r="T490" i="721"/>
  <c r="T481" i="721"/>
  <c r="AE481" i="721"/>
  <c r="F493" i="721"/>
  <c r="F490" i="721"/>
  <c r="G481" i="721"/>
  <c r="P493" i="721"/>
  <c r="P490" i="721"/>
  <c r="P481" i="721"/>
  <c r="L493" i="721"/>
  <c r="L490" i="721"/>
  <c r="L481" i="721"/>
  <c r="N493" i="721"/>
  <c r="N490" i="721"/>
  <c r="N481" i="721"/>
  <c r="R493" i="721"/>
  <c r="R490" i="721"/>
  <c r="R481" i="721"/>
  <c r="J493" i="721"/>
  <c r="J490" i="721"/>
  <c r="J481" i="721"/>
  <c r="AE305" i="721"/>
  <c r="AE82" i="721"/>
  <c r="AE418" i="721"/>
  <c r="AE290" i="720"/>
  <c r="P258" i="721"/>
  <c r="P257" i="721"/>
  <c r="L258" i="721"/>
  <c r="L257" i="721"/>
  <c r="T258" i="721"/>
  <c r="T257" i="721"/>
  <c r="AE257" i="721"/>
  <c r="J258" i="721"/>
  <c r="J257" i="721"/>
  <c r="F258" i="721"/>
  <c r="F257" i="721"/>
  <c r="R258" i="721"/>
  <c r="R257" i="721"/>
  <c r="N258" i="721"/>
  <c r="N257" i="721"/>
  <c r="AE362" i="721"/>
  <c r="L290" i="721"/>
  <c r="N290" i="721"/>
  <c r="P290" i="721"/>
  <c r="T290" i="721"/>
  <c r="R290" i="721"/>
  <c r="F290" i="721"/>
  <c r="AE437" i="721"/>
  <c r="AE98" i="721"/>
  <c r="AE702" i="720"/>
  <c r="AE453" i="721"/>
  <c r="AE404" i="721"/>
  <c r="AE307" i="721"/>
  <c r="AE454" i="720"/>
  <c r="AE522" i="721"/>
  <c r="J257" i="720"/>
  <c r="AE522" i="720"/>
  <c r="AE307" i="720"/>
  <c r="R75" i="721"/>
  <c r="R42" i="721"/>
  <c r="AE404" i="720"/>
  <c r="P481" i="720"/>
  <c r="L481" i="720"/>
  <c r="R358" i="721"/>
  <c r="J358" i="721"/>
  <c r="N75" i="720"/>
  <c r="N42" i="720"/>
  <c r="AE426" i="720"/>
  <c r="AE398" i="721"/>
  <c r="AE188" i="720"/>
  <c r="L306" i="720"/>
  <c r="R306" i="720"/>
  <c r="P306" i="720"/>
  <c r="T306" i="720"/>
  <c r="F306" i="720"/>
  <c r="J306" i="720"/>
  <c r="N306" i="720"/>
  <c r="N279" i="720"/>
  <c r="T279" i="720"/>
  <c r="F279" i="720"/>
  <c r="J279" i="720"/>
  <c r="P279" i="720"/>
  <c r="L279" i="720"/>
  <c r="R279" i="720"/>
  <c r="W490" i="721"/>
  <c r="N362" i="720"/>
  <c r="N358" i="720"/>
  <c r="P362" i="720"/>
  <c r="P358" i="720"/>
  <c r="R362" i="720"/>
  <c r="R358" i="720"/>
  <c r="L362" i="720"/>
  <c r="L358" i="720"/>
  <c r="T362" i="720"/>
  <c r="T358" i="720"/>
  <c r="J362" i="720"/>
  <c r="J358" i="720"/>
  <c r="F362" i="720"/>
  <c r="F358" i="720"/>
  <c r="F8" i="444"/>
  <c r="H8" i="444"/>
  <c r="I18" i="444"/>
  <c r="F8" i="355"/>
  <c r="H8" i="355"/>
  <c r="I19" i="355"/>
  <c r="F8" i="548"/>
  <c r="H8" i="548"/>
  <c r="I19" i="548"/>
  <c r="F8" i="228"/>
  <c r="H8" i="228"/>
  <c r="I19" i="228"/>
  <c r="F8" i="224"/>
  <c r="H8" i="224"/>
  <c r="I19" i="224"/>
  <c r="F8" i="277"/>
  <c r="H8" i="277"/>
  <c r="I19" i="277"/>
  <c r="I52" i="277"/>
  <c r="I54" i="277"/>
  <c r="F8" i="236"/>
  <c r="H8" i="236"/>
  <c r="I18" i="236"/>
  <c r="F8" i="446"/>
  <c r="H8" i="446"/>
  <c r="I19" i="446"/>
  <c r="F8" i="504"/>
  <c r="H8" i="504"/>
  <c r="I19" i="504"/>
  <c r="F8" i="494"/>
  <c r="H8" i="494"/>
  <c r="I19" i="494"/>
  <c r="F8" i="575"/>
  <c r="H8" i="575"/>
  <c r="I19" i="575"/>
  <c r="F8" i="549"/>
  <c r="H8" i="549"/>
  <c r="I17" i="549"/>
  <c r="F13" i="333"/>
  <c r="H13" i="333"/>
  <c r="I19" i="333"/>
  <c r="F8" i="547"/>
  <c r="H8" i="547"/>
  <c r="I19" i="547"/>
  <c r="F8" i="241"/>
  <c r="H8" i="241"/>
  <c r="I19" i="241"/>
  <c r="F8" i="481"/>
  <c r="H8" i="481"/>
  <c r="I19" i="481"/>
  <c r="F8" i="577"/>
  <c r="H8" i="577"/>
  <c r="I18" i="577"/>
  <c r="F8" i="227"/>
  <c r="H8" i="227"/>
  <c r="I19" i="227"/>
  <c r="F8" i="635"/>
  <c r="H8" i="635"/>
  <c r="I19" i="635"/>
  <c r="F8" i="347"/>
  <c r="H8" i="347"/>
  <c r="F8" i="641"/>
  <c r="H8" i="641"/>
  <c r="I19" i="641"/>
  <c r="F8" i="636"/>
  <c r="H8" i="636"/>
  <c r="I19" i="636"/>
  <c r="F8" i="356"/>
  <c r="H8" i="356"/>
  <c r="I19" i="356"/>
  <c r="F8" i="530"/>
  <c r="H8" i="530"/>
  <c r="I19" i="530"/>
  <c r="F8" i="364"/>
  <c r="H8" i="364"/>
  <c r="I19" i="364"/>
  <c r="F8" i="442"/>
  <c r="H8" i="442"/>
  <c r="I19" i="442"/>
  <c r="F8" i="427"/>
  <c r="H8" i="427"/>
  <c r="I19" i="427"/>
  <c r="F8" i="505"/>
  <c r="H8" i="505"/>
  <c r="I19" i="505"/>
  <c r="F8" i="646"/>
  <c r="H8" i="646"/>
  <c r="F8" i="445"/>
  <c r="H8" i="445"/>
  <c r="I19" i="445"/>
  <c r="F8" i="503"/>
  <c r="H8" i="503"/>
  <c r="I19" i="503"/>
  <c r="F8" i="708"/>
  <c r="H8" i="708"/>
  <c r="I19" i="708"/>
  <c r="F8" i="587"/>
  <c r="H8" i="587"/>
  <c r="I19" i="587"/>
  <c r="F8" i="470"/>
  <c r="H8" i="470"/>
  <c r="AE258" i="721"/>
  <c r="P101" i="721"/>
  <c r="T101" i="721"/>
  <c r="L101" i="721"/>
  <c r="N101" i="721"/>
  <c r="J101" i="721"/>
  <c r="F101" i="721"/>
  <c r="R101" i="721"/>
  <c r="F594" i="720"/>
  <c r="N594" i="720"/>
  <c r="L594" i="720"/>
  <c r="R594" i="720"/>
  <c r="T594" i="720"/>
  <c r="AE594" i="720"/>
  <c r="P594" i="720"/>
  <c r="J594" i="720"/>
  <c r="AE290" i="721"/>
  <c r="AE531" i="720"/>
  <c r="W481" i="720"/>
  <c r="V481" i="720"/>
  <c r="J577" i="720"/>
  <c r="N577" i="720"/>
  <c r="P577" i="720"/>
  <c r="F577" i="720"/>
  <c r="T577" i="720"/>
  <c r="R577" i="720"/>
  <c r="L577" i="720"/>
  <c r="AE361" i="720"/>
  <c r="P294" i="720"/>
  <c r="R294" i="720"/>
  <c r="Z42" i="720"/>
  <c r="V328" i="720"/>
  <c r="X42" i="720"/>
  <c r="AB42" i="720"/>
  <c r="F9" i="538"/>
  <c r="H9" i="538"/>
  <c r="I19" i="538"/>
  <c r="F8" i="620"/>
  <c r="H8" i="620"/>
  <c r="I20" i="620"/>
  <c r="P294" i="721"/>
  <c r="J294" i="721"/>
  <c r="AE77" i="720"/>
  <c r="F308" i="720"/>
  <c r="L308" i="720"/>
  <c r="J308" i="720"/>
  <c r="R308" i="720"/>
  <c r="P308" i="720"/>
  <c r="N308" i="720"/>
  <c r="T308" i="720"/>
  <c r="AE77" i="721"/>
  <c r="J294" i="720"/>
  <c r="L294" i="720"/>
  <c r="L294" i="721"/>
  <c r="W42" i="720"/>
  <c r="V42" i="720"/>
  <c r="AE245" i="720"/>
  <c r="AE42" i="721"/>
  <c r="AE533" i="721"/>
  <c r="AE75" i="721"/>
  <c r="W42" i="721"/>
  <c r="F294" i="720"/>
  <c r="N577" i="721"/>
  <c r="T577" i="721"/>
  <c r="F577" i="721"/>
  <c r="L577" i="721"/>
  <c r="P577" i="721"/>
  <c r="R577" i="721"/>
  <c r="AE577" i="721"/>
  <c r="J577" i="721"/>
  <c r="N294" i="721"/>
  <c r="R294" i="721"/>
  <c r="R308" i="721"/>
  <c r="P308" i="721"/>
  <c r="J308" i="721"/>
  <c r="F308" i="721"/>
  <c r="N308" i="721"/>
  <c r="T308" i="721"/>
  <c r="L308" i="721"/>
  <c r="AE531" i="721"/>
  <c r="W481" i="721"/>
  <c r="Z481" i="720"/>
  <c r="X481" i="720"/>
  <c r="AB481" i="720"/>
  <c r="N294" i="720"/>
  <c r="T294" i="720"/>
  <c r="AE294" i="720"/>
  <c r="AE42" i="720"/>
  <c r="F294" i="721"/>
  <c r="T294" i="721"/>
  <c r="AE260" i="720"/>
  <c r="AE495" i="721"/>
  <c r="AE498" i="720"/>
  <c r="V233" i="721"/>
  <c r="I52" i="472"/>
  <c r="I54" i="472"/>
  <c r="F55" i="472"/>
  <c r="H56" i="472"/>
  <c r="V233" i="720"/>
  <c r="I52" i="585"/>
  <c r="I54" i="585"/>
  <c r="F55" i="585"/>
  <c r="H56" i="585"/>
  <c r="V203" i="720"/>
  <c r="V203" i="721"/>
  <c r="AE294" i="721"/>
  <c r="AE101" i="721"/>
  <c r="X580" i="720"/>
  <c r="AB580" i="720"/>
  <c r="Z580" i="720"/>
  <c r="V207" i="721"/>
  <c r="I52" i="243"/>
  <c r="I54" i="243"/>
  <c r="F55" i="243"/>
  <c r="H56" i="243"/>
  <c r="V207" i="720"/>
  <c r="V13" i="721"/>
  <c r="I55" i="197"/>
  <c r="I57" i="197"/>
  <c r="F58" i="197"/>
  <c r="H59" i="197"/>
  <c r="V13" i="720"/>
  <c r="AE495" i="720"/>
  <c r="AE824" i="720"/>
  <c r="AE498" i="721"/>
  <c r="AE279" i="720"/>
  <c r="R257" i="720"/>
  <c r="AE76" i="720"/>
  <c r="AE365" i="720"/>
  <c r="V580" i="720"/>
  <c r="V221" i="720"/>
  <c r="I52" i="649"/>
  <c r="I54" i="649"/>
  <c r="F55" i="649"/>
  <c r="H56" i="649"/>
  <c r="V221" i="721"/>
  <c r="V208" i="721"/>
  <c r="V208" i="720"/>
  <c r="I52" i="244"/>
  <c r="I54" i="244"/>
  <c r="I52" i="586"/>
  <c r="I54" i="586"/>
  <c r="F55" i="586"/>
  <c r="H56" i="586"/>
  <c r="V209" i="721"/>
  <c r="V209" i="720"/>
  <c r="AB481" i="721"/>
  <c r="X481" i="721"/>
  <c r="Z481" i="721"/>
  <c r="AE358" i="721"/>
  <c r="AE358" i="720"/>
  <c r="Z42" i="721"/>
  <c r="AB42" i="721"/>
  <c r="V328" i="721"/>
  <c r="X42" i="721"/>
  <c r="AE308" i="721"/>
  <c r="V226" i="721"/>
  <c r="I52" i="587"/>
  <c r="I54" i="587"/>
  <c r="V226" i="720"/>
  <c r="V127" i="721"/>
  <c r="I52" i="442"/>
  <c r="I54" i="442"/>
  <c r="F55" i="442"/>
  <c r="H56" i="442"/>
  <c r="V127" i="720"/>
  <c r="V804" i="721"/>
  <c r="V804" i="720"/>
  <c r="I52" i="636"/>
  <c r="I54" i="636"/>
  <c r="V803" i="720"/>
  <c r="I52" i="635"/>
  <c r="I54" i="635"/>
  <c r="V803" i="721"/>
  <c r="V139" i="721"/>
  <c r="I52" i="241"/>
  <c r="I54" i="241"/>
  <c r="F55" i="241"/>
  <c r="H56" i="241"/>
  <c r="V139" i="720"/>
  <c r="V214" i="721"/>
  <c r="V214" i="720"/>
  <c r="I52" i="446"/>
  <c r="I54" i="446"/>
  <c r="F55" i="446"/>
  <c r="H56" i="446"/>
  <c r="V70" i="720"/>
  <c r="V70" i="721"/>
  <c r="I52" i="228"/>
  <c r="I54" i="228"/>
  <c r="I50" i="444"/>
  <c r="I52" i="444"/>
  <c r="F53" i="444"/>
  <c r="H54" i="444"/>
  <c r="V135" i="721"/>
  <c r="V135" i="720"/>
  <c r="I52" i="345"/>
  <c r="I54" i="345"/>
  <c r="V105" i="721"/>
  <c r="V105" i="720"/>
  <c r="V107" i="720"/>
  <c r="V107" i="721"/>
  <c r="I52" i="613"/>
  <c r="I54" i="613"/>
  <c r="V802" i="720"/>
  <c r="V802" i="721"/>
  <c r="I52" i="634"/>
  <c r="I54" i="634"/>
  <c r="F55" i="634"/>
  <c r="H56" i="634"/>
  <c r="AE362" i="720"/>
  <c r="AE577" i="720"/>
  <c r="V102" i="720"/>
  <c r="I52" i="708"/>
  <c r="H54" i="708"/>
  <c r="F55" i="708"/>
  <c r="H56" i="708"/>
  <c r="V102" i="721"/>
  <c r="V144" i="720"/>
  <c r="I52" i="364"/>
  <c r="I54" i="364"/>
  <c r="F55" i="364"/>
  <c r="H56" i="364"/>
  <c r="V144" i="721"/>
  <c r="V141" i="720"/>
  <c r="V141" i="721"/>
  <c r="I52" i="641"/>
  <c r="I54" i="641"/>
  <c r="V68" i="720"/>
  <c r="V68" i="721"/>
  <c r="I52" i="227"/>
  <c r="I54" i="227"/>
  <c r="V57" i="720"/>
  <c r="I52" i="547"/>
  <c r="I54" i="547"/>
  <c r="V57" i="721"/>
  <c r="V126" i="720"/>
  <c r="I52" i="575"/>
  <c r="I54" i="575"/>
  <c r="V126" i="721"/>
  <c r="I51" i="236"/>
  <c r="I53" i="236"/>
  <c r="V150" i="720"/>
  <c r="V150" i="721"/>
  <c r="V69" i="721"/>
  <c r="V69" i="720"/>
  <c r="I52" i="548"/>
  <c r="I54" i="548"/>
  <c r="F55" i="548"/>
  <c r="H56" i="548"/>
  <c r="AE493" i="721"/>
  <c r="V104" i="721"/>
  <c r="V104" i="720"/>
  <c r="I52" i="231"/>
  <c r="I54" i="231"/>
  <c r="F55" i="231"/>
  <c r="H56" i="231"/>
  <c r="P75" i="720"/>
  <c r="V481" i="721"/>
  <c r="V42" i="721"/>
  <c r="AE308" i="720"/>
  <c r="V217" i="720"/>
  <c r="I52" i="503"/>
  <c r="I54" i="503"/>
  <c r="V217" i="721"/>
  <c r="V230" i="721"/>
  <c r="I52" i="505"/>
  <c r="I54" i="505"/>
  <c r="F55" i="505"/>
  <c r="H56" i="505"/>
  <c r="V230" i="720"/>
  <c r="V795" i="721"/>
  <c r="V795" i="720"/>
  <c r="I52" i="530"/>
  <c r="I54" i="530"/>
  <c r="V131" i="721"/>
  <c r="I51" i="577"/>
  <c r="I53" i="577"/>
  <c r="F54" i="577"/>
  <c r="H55" i="577"/>
  <c r="V131" i="720"/>
  <c r="V606" i="721"/>
  <c r="V606" i="720"/>
  <c r="I52" i="333"/>
  <c r="I54" i="333"/>
  <c r="V216" i="721"/>
  <c r="I52" i="494"/>
  <c r="I54" i="494"/>
  <c r="V216" i="720"/>
  <c r="F55" i="277"/>
  <c r="H56" i="277"/>
  <c r="AE306" i="720"/>
  <c r="AE490" i="721"/>
  <c r="I52" i="346"/>
  <c r="I54" i="346"/>
  <c r="F55" i="346"/>
  <c r="H56" i="346"/>
  <c r="V106" i="721"/>
  <c r="V106" i="720"/>
  <c r="V110" i="720"/>
  <c r="I53" i="570"/>
  <c r="I55" i="570"/>
  <c r="F56" i="570"/>
  <c r="H57" i="570"/>
  <c r="V110" i="721"/>
  <c r="I19" i="646"/>
  <c r="V136" i="720"/>
  <c r="V136" i="721"/>
  <c r="I49" i="445"/>
  <c r="I51" i="445"/>
  <c r="V138" i="721"/>
  <c r="V138" i="720"/>
  <c r="I52" i="427"/>
  <c r="I54" i="427"/>
  <c r="I52" i="356"/>
  <c r="I54" i="356"/>
  <c r="V140" i="721"/>
  <c r="V140" i="720"/>
  <c r="V196" i="720"/>
  <c r="V196" i="721"/>
  <c r="I52" i="481"/>
  <c r="I54" i="481"/>
  <c r="V67" i="720"/>
  <c r="I49" i="549"/>
  <c r="I51" i="549"/>
  <c r="F52" i="549"/>
  <c r="H53" i="549"/>
  <c r="V67" i="721"/>
  <c r="V228" i="721"/>
  <c r="I52" i="504"/>
  <c r="I54" i="504"/>
  <c r="V228" i="720"/>
  <c r="V66" i="721"/>
  <c r="I52" i="224"/>
  <c r="I54" i="224"/>
  <c r="V66" i="720"/>
  <c r="V134" i="720"/>
  <c r="V134" i="721"/>
  <c r="I50" i="355"/>
  <c r="I52" i="355"/>
  <c r="F53" i="355"/>
  <c r="H54" i="355"/>
  <c r="V724" i="721"/>
  <c r="I52" i="303"/>
  <c r="I54" i="303"/>
  <c r="V724" i="720"/>
  <c r="V111" i="720"/>
  <c r="V111" i="721"/>
  <c r="I53" i="571"/>
  <c r="I55" i="571"/>
  <c r="F56" i="571"/>
  <c r="H57" i="571"/>
  <c r="I19" i="470"/>
  <c r="I19" i="347"/>
  <c r="V343" i="720"/>
  <c r="I53" i="620"/>
  <c r="I55" i="620"/>
  <c r="V343" i="721"/>
  <c r="V706" i="720"/>
  <c r="I52" i="538"/>
  <c r="I54" i="538"/>
  <c r="V706" i="721"/>
  <c r="E221" i="721"/>
  <c r="W221" i="721"/>
  <c r="E13" i="721"/>
  <c r="W13" i="721"/>
  <c r="W207" i="720"/>
  <c r="E207" i="720"/>
  <c r="W203" i="721"/>
  <c r="E203" i="721"/>
  <c r="F55" i="244"/>
  <c r="H56" i="244"/>
  <c r="W203" i="720"/>
  <c r="W202" i="720"/>
  <c r="E203" i="720"/>
  <c r="W233" i="721"/>
  <c r="E233" i="721"/>
  <c r="W209" i="720"/>
  <c r="E209" i="720"/>
  <c r="W208" i="720"/>
  <c r="E208" i="720"/>
  <c r="W221" i="720"/>
  <c r="E221" i="720"/>
  <c r="W13" i="720"/>
  <c r="E13" i="720"/>
  <c r="W207" i="721"/>
  <c r="E207" i="721"/>
  <c r="W209" i="721"/>
  <c r="E209" i="721"/>
  <c r="E208" i="721"/>
  <c r="W208" i="721"/>
  <c r="E233" i="720"/>
  <c r="W233" i="720"/>
  <c r="I52" i="347"/>
  <c r="H54" i="347"/>
  <c r="V146" i="721"/>
  <c r="V146" i="720"/>
  <c r="W111" i="720"/>
  <c r="E111" i="720"/>
  <c r="F55" i="224"/>
  <c r="H56" i="224"/>
  <c r="W228" i="721"/>
  <c r="E228" i="721"/>
  <c r="F55" i="481"/>
  <c r="H56" i="481"/>
  <c r="F55" i="356"/>
  <c r="H56" i="356"/>
  <c r="F52" i="445"/>
  <c r="H53" i="445"/>
  <c r="F55" i="494"/>
  <c r="H56" i="494"/>
  <c r="W606" i="721"/>
  <c r="E606" i="721"/>
  <c r="F55" i="530"/>
  <c r="H56" i="530"/>
  <c r="W217" i="720"/>
  <c r="E217" i="720"/>
  <c r="P42" i="720"/>
  <c r="AE75" i="720"/>
  <c r="W104" i="720"/>
  <c r="E104" i="720"/>
  <c r="W69" i="720"/>
  <c r="E69" i="720"/>
  <c r="F54" i="236"/>
  <c r="H55" i="236"/>
  <c r="E57" i="721"/>
  <c r="W57" i="721"/>
  <c r="E68" i="721"/>
  <c r="W68" i="721"/>
  <c r="E141" i="720"/>
  <c r="W141" i="720"/>
  <c r="E102" i="721"/>
  <c r="W102" i="721"/>
  <c r="W802" i="720"/>
  <c r="E802" i="720"/>
  <c r="W105" i="720"/>
  <c r="E105" i="720"/>
  <c r="E135" i="721"/>
  <c r="W135" i="721"/>
  <c r="W70" i="720"/>
  <c r="E70" i="720"/>
  <c r="E803" i="720"/>
  <c r="W803" i="720"/>
  <c r="E127" i="720"/>
  <c r="W127" i="720"/>
  <c r="F55" i="587"/>
  <c r="H56" i="587"/>
  <c r="V112" i="720"/>
  <c r="I52" i="470"/>
  <c r="I54" i="470"/>
  <c r="V112" i="721"/>
  <c r="E724" i="720"/>
  <c r="W724" i="720"/>
  <c r="W134" i="721"/>
  <c r="E134" i="721"/>
  <c r="E66" i="721"/>
  <c r="W66" i="721"/>
  <c r="E67" i="721"/>
  <c r="W67" i="721"/>
  <c r="W196" i="721"/>
  <c r="E196" i="721"/>
  <c r="F55" i="427"/>
  <c r="H56" i="427"/>
  <c r="E136" i="721"/>
  <c r="W136" i="721"/>
  <c r="W110" i="720"/>
  <c r="E110" i="720"/>
  <c r="W216" i="721"/>
  <c r="E216" i="721"/>
  <c r="E131" i="720"/>
  <c r="W131" i="720"/>
  <c r="E795" i="720"/>
  <c r="W795" i="720"/>
  <c r="W230" i="721"/>
  <c r="E230" i="721"/>
  <c r="E104" i="721"/>
  <c r="W104" i="721"/>
  <c r="W69" i="721"/>
  <c r="E69" i="721"/>
  <c r="W126" i="721"/>
  <c r="E126" i="721"/>
  <c r="F55" i="547"/>
  <c r="H56" i="547"/>
  <c r="E68" i="720"/>
  <c r="W68" i="720"/>
  <c r="W144" i="721"/>
  <c r="E144" i="721"/>
  <c r="F55" i="613"/>
  <c r="H56" i="613"/>
  <c r="W105" i="721"/>
  <c r="E105" i="721"/>
  <c r="E139" i="721"/>
  <c r="W139" i="721"/>
  <c r="F55" i="636"/>
  <c r="H56" i="636"/>
  <c r="E226" i="721"/>
  <c r="W226" i="721"/>
  <c r="F55" i="303"/>
  <c r="H56" i="303"/>
  <c r="W134" i="720"/>
  <c r="E134" i="720"/>
  <c r="W228" i="720"/>
  <c r="E228" i="720"/>
  <c r="E196" i="720"/>
  <c r="W196" i="720"/>
  <c r="W140" i="720"/>
  <c r="E140" i="720"/>
  <c r="E138" i="720"/>
  <c r="W138" i="720"/>
  <c r="E136" i="720"/>
  <c r="W136" i="720"/>
  <c r="I52" i="646"/>
  <c r="H54" i="646"/>
  <c r="V145" i="720"/>
  <c r="V145" i="721"/>
  <c r="E106" i="720"/>
  <c r="W106" i="720"/>
  <c r="F55" i="333"/>
  <c r="H56" i="333"/>
  <c r="E795" i="721"/>
  <c r="W795" i="721"/>
  <c r="E217" i="721"/>
  <c r="W217" i="721"/>
  <c r="W150" i="721"/>
  <c r="E150" i="721"/>
  <c r="F55" i="575"/>
  <c r="H56" i="575"/>
  <c r="E57" i="720"/>
  <c r="W57" i="720"/>
  <c r="F55" i="641"/>
  <c r="H56" i="641"/>
  <c r="W102" i="720"/>
  <c r="E102" i="720"/>
  <c r="W107" i="721"/>
  <c r="E107" i="721"/>
  <c r="F55" i="345"/>
  <c r="H56" i="345"/>
  <c r="F55" i="228"/>
  <c r="H56" i="228"/>
  <c r="E214" i="720"/>
  <c r="W214" i="720"/>
  <c r="E803" i="721"/>
  <c r="W803" i="721"/>
  <c r="W804" i="720"/>
  <c r="E804" i="720"/>
  <c r="W127" i="721"/>
  <c r="E127" i="721"/>
  <c r="W111" i="721"/>
  <c r="E111" i="721"/>
  <c r="E724" i="721"/>
  <c r="W724" i="721"/>
  <c r="E66" i="720"/>
  <c r="W66" i="720"/>
  <c r="F55" i="504"/>
  <c r="H56" i="504"/>
  <c r="W67" i="720"/>
  <c r="E67" i="720"/>
  <c r="E140" i="721"/>
  <c r="W140" i="721"/>
  <c r="W138" i="721"/>
  <c r="E138" i="721"/>
  <c r="E110" i="721"/>
  <c r="W110" i="721"/>
  <c r="E106" i="721"/>
  <c r="W106" i="721"/>
  <c r="E216" i="720"/>
  <c r="W216" i="720"/>
  <c r="W606" i="720"/>
  <c r="E606" i="720"/>
  <c r="E131" i="721"/>
  <c r="W131" i="721"/>
  <c r="W230" i="720"/>
  <c r="E230" i="720"/>
  <c r="F55" i="503"/>
  <c r="H56" i="503"/>
  <c r="W150" i="720"/>
  <c r="E150" i="720"/>
  <c r="E126" i="720"/>
  <c r="W126" i="720"/>
  <c r="F55" i="227"/>
  <c r="H56" i="227"/>
  <c r="E141" i="721"/>
  <c r="W141" i="721"/>
  <c r="E144" i="720"/>
  <c r="W144" i="720"/>
  <c r="W802" i="721"/>
  <c r="E802" i="721"/>
  <c r="W107" i="720"/>
  <c r="E107" i="720"/>
  <c r="E135" i="720"/>
  <c r="W135" i="720"/>
  <c r="E70" i="721"/>
  <c r="W70" i="721"/>
  <c r="E214" i="721"/>
  <c r="W214" i="721"/>
  <c r="W139" i="720"/>
  <c r="E139" i="720"/>
  <c r="F55" i="635"/>
  <c r="H56" i="635"/>
  <c r="W804" i="721"/>
  <c r="E804" i="721"/>
  <c r="E226" i="720"/>
  <c r="W226" i="720"/>
  <c r="E706" i="720"/>
  <c r="W706" i="720"/>
  <c r="W343" i="721"/>
  <c r="E343" i="721"/>
  <c r="F56" i="620"/>
  <c r="H57" i="620"/>
  <c r="F55" i="538"/>
  <c r="H56" i="538"/>
  <c r="E706" i="721"/>
  <c r="W706" i="721"/>
  <c r="W343" i="720"/>
  <c r="E343" i="720"/>
  <c r="R207" i="721"/>
  <c r="R206" i="721"/>
  <c r="T207" i="721"/>
  <c r="F207" i="721"/>
  <c r="F206" i="721"/>
  <c r="L207" i="721"/>
  <c r="L206" i="721"/>
  <c r="P207" i="721"/>
  <c r="P206" i="721"/>
  <c r="J207" i="721"/>
  <c r="J206" i="721"/>
  <c r="N207" i="721"/>
  <c r="N206" i="721"/>
  <c r="L221" i="720"/>
  <c r="N221" i="720"/>
  <c r="T221" i="720"/>
  <c r="P221" i="720"/>
  <c r="F221" i="720"/>
  <c r="R221" i="720"/>
  <c r="J221" i="720"/>
  <c r="R209" i="720"/>
  <c r="P209" i="720"/>
  <c r="J209" i="720"/>
  <c r="L209" i="720"/>
  <c r="T209" i="720"/>
  <c r="F209" i="720"/>
  <c r="N209" i="720"/>
  <c r="R203" i="720"/>
  <c r="R202" i="720"/>
  <c r="L203" i="720"/>
  <c r="L202" i="720"/>
  <c r="F203" i="720"/>
  <c r="F202" i="720"/>
  <c r="P203" i="720"/>
  <c r="P202" i="720"/>
  <c r="J203" i="720"/>
  <c r="J202" i="720"/>
  <c r="N203" i="720"/>
  <c r="N202" i="720"/>
  <c r="T203" i="720"/>
  <c r="T203" i="721"/>
  <c r="T202" i="721"/>
  <c r="P203" i="721"/>
  <c r="P202" i="721"/>
  <c r="N203" i="721"/>
  <c r="N202" i="721"/>
  <c r="J203" i="721"/>
  <c r="J202" i="721"/>
  <c r="R203" i="721"/>
  <c r="R202" i="721"/>
  <c r="F203" i="721"/>
  <c r="F202" i="721"/>
  <c r="L203" i="721"/>
  <c r="L202" i="721"/>
  <c r="W12" i="721"/>
  <c r="W11" i="721"/>
  <c r="P208" i="721"/>
  <c r="F208" i="721"/>
  <c r="L208" i="721"/>
  <c r="R208" i="721"/>
  <c r="T208" i="721"/>
  <c r="N208" i="721"/>
  <c r="J208" i="721"/>
  <c r="L13" i="720"/>
  <c r="L12" i="720"/>
  <c r="L11" i="720"/>
  <c r="P13" i="720"/>
  <c r="P12" i="720"/>
  <c r="P11" i="720"/>
  <c r="F13" i="720"/>
  <c r="F12" i="720"/>
  <c r="G11" i="720"/>
  <c r="R13" i="720"/>
  <c r="R12" i="720"/>
  <c r="R11" i="720"/>
  <c r="J13" i="720"/>
  <c r="J12" i="720"/>
  <c r="J11" i="720"/>
  <c r="T13" i="720"/>
  <c r="T12" i="720"/>
  <c r="N13" i="720"/>
  <c r="N12" i="720"/>
  <c r="N11" i="720"/>
  <c r="W202" i="721"/>
  <c r="AE203" i="721"/>
  <c r="P13" i="721"/>
  <c r="P12" i="721"/>
  <c r="P11" i="721"/>
  <c r="T13" i="721"/>
  <c r="T12" i="721"/>
  <c r="L13" i="721"/>
  <c r="L12" i="721"/>
  <c r="L11" i="721"/>
  <c r="F13" i="721"/>
  <c r="F12" i="721"/>
  <c r="G11" i="721"/>
  <c r="N13" i="721"/>
  <c r="N12" i="721"/>
  <c r="N11" i="721"/>
  <c r="R13" i="721"/>
  <c r="R12" i="721"/>
  <c r="R11" i="721"/>
  <c r="J13" i="721"/>
  <c r="J12" i="721"/>
  <c r="J11" i="721"/>
  <c r="N209" i="721"/>
  <c r="T209" i="721"/>
  <c r="L209" i="721"/>
  <c r="F209" i="721"/>
  <c r="R209" i="721"/>
  <c r="J209" i="721"/>
  <c r="P209" i="721"/>
  <c r="W12" i="720"/>
  <c r="W11" i="720"/>
  <c r="V11" i="720"/>
  <c r="N208" i="720"/>
  <c r="T208" i="720"/>
  <c r="L208" i="720"/>
  <c r="R208" i="720"/>
  <c r="P208" i="720"/>
  <c r="F208" i="720"/>
  <c r="J208" i="720"/>
  <c r="L233" i="721"/>
  <c r="R233" i="721"/>
  <c r="F233" i="721"/>
  <c r="T233" i="721"/>
  <c r="P233" i="721"/>
  <c r="N233" i="721"/>
  <c r="AE233" i="721"/>
  <c r="F207" i="720"/>
  <c r="F206" i="720"/>
  <c r="J207" i="720"/>
  <c r="J206" i="720"/>
  <c r="R207" i="720"/>
  <c r="R206" i="720"/>
  <c r="P207" i="720"/>
  <c r="P206" i="720"/>
  <c r="L207" i="720"/>
  <c r="L206" i="720"/>
  <c r="T207" i="720"/>
  <c r="N207" i="720"/>
  <c r="N206" i="720"/>
  <c r="R233" i="720"/>
  <c r="T233" i="720"/>
  <c r="P233" i="720"/>
  <c r="N233" i="720"/>
  <c r="L233" i="720"/>
  <c r="AE233" i="720"/>
  <c r="F233" i="720"/>
  <c r="AE209" i="721"/>
  <c r="R221" i="721"/>
  <c r="L221" i="721"/>
  <c r="T221" i="721"/>
  <c r="P221" i="721"/>
  <c r="N221" i="721"/>
  <c r="AE221" i="721"/>
  <c r="J221" i="721"/>
  <c r="F221" i="721"/>
  <c r="W225" i="720"/>
  <c r="W206" i="721"/>
  <c r="J802" i="721"/>
  <c r="P802" i="721"/>
  <c r="L802" i="721"/>
  <c r="F802" i="721"/>
  <c r="N802" i="721"/>
  <c r="T802" i="721"/>
  <c r="R802" i="721"/>
  <c r="W721" i="721"/>
  <c r="N127" i="721"/>
  <c r="L127" i="721"/>
  <c r="T127" i="721"/>
  <c r="R127" i="721"/>
  <c r="F127" i="721"/>
  <c r="J127" i="721"/>
  <c r="P127" i="721"/>
  <c r="J107" i="721"/>
  <c r="L107" i="721"/>
  <c r="F107" i="721"/>
  <c r="N107" i="721"/>
  <c r="P107" i="721"/>
  <c r="T107" i="721"/>
  <c r="AE107" i="721"/>
  <c r="R107" i="721"/>
  <c r="W145" i="721"/>
  <c r="E145" i="721"/>
  <c r="P136" i="720"/>
  <c r="R136" i="720"/>
  <c r="T136" i="720"/>
  <c r="L136" i="720"/>
  <c r="N136" i="720"/>
  <c r="F136" i="720"/>
  <c r="J136" i="720"/>
  <c r="J105" i="721"/>
  <c r="F105" i="721"/>
  <c r="R105" i="721"/>
  <c r="N105" i="721"/>
  <c r="P105" i="721"/>
  <c r="L105" i="721"/>
  <c r="T105" i="721"/>
  <c r="AE105" i="721"/>
  <c r="F144" i="721"/>
  <c r="R144" i="721"/>
  <c r="P144" i="721"/>
  <c r="T144" i="721"/>
  <c r="J144" i="721"/>
  <c r="L144" i="721"/>
  <c r="N144" i="721"/>
  <c r="L69" i="721"/>
  <c r="T69" i="721"/>
  <c r="J69" i="721"/>
  <c r="P69" i="721"/>
  <c r="F69" i="721"/>
  <c r="R69" i="721"/>
  <c r="N69" i="721"/>
  <c r="J230" i="721"/>
  <c r="T230" i="721"/>
  <c r="R230" i="721"/>
  <c r="P230" i="721"/>
  <c r="N230" i="721"/>
  <c r="L230" i="721"/>
  <c r="F230" i="721"/>
  <c r="P110" i="720"/>
  <c r="N110" i="720"/>
  <c r="T110" i="720"/>
  <c r="J110" i="720"/>
  <c r="F110" i="720"/>
  <c r="L110" i="720"/>
  <c r="R110" i="720"/>
  <c r="L67" i="721"/>
  <c r="N67" i="721"/>
  <c r="R67" i="721"/>
  <c r="F67" i="721"/>
  <c r="J67" i="721"/>
  <c r="T67" i="721"/>
  <c r="P67" i="721"/>
  <c r="T135" i="721"/>
  <c r="N135" i="721"/>
  <c r="F135" i="721"/>
  <c r="P135" i="721"/>
  <c r="L135" i="721"/>
  <c r="R135" i="721"/>
  <c r="J135" i="721"/>
  <c r="W801" i="720"/>
  <c r="W775" i="720"/>
  <c r="F141" i="720"/>
  <c r="J141" i="720"/>
  <c r="R141" i="720"/>
  <c r="P141" i="720"/>
  <c r="N141" i="720"/>
  <c r="T141" i="720"/>
  <c r="L141" i="720"/>
  <c r="N57" i="721"/>
  <c r="P57" i="721"/>
  <c r="L57" i="721"/>
  <c r="J57" i="721"/>
  <c r="F57" i="721"/>
  <c r="R57" i="721"/>
  <c r="T57" i="721"/>
  <c r="J226" i="720"/>
  <c r="J225" i="720"/>
  <c r="J205" i="720"/>
  <c r="R226" i="720"/>
  <c r="R225" i="720"/>
  <c r="R205" i="720"/>
  <c r="F226" i="720"/>
  <c r="F225" i="720"/>
  <c r="G205" i="720"/>
  <c r="L226" i="720"/>
  <c r="L225" i="720"/>
  <c r="P226" i="720"/>
  <c r="P225" i="720"/>
  <c r="P205" i="720"/>
  <c r="T226" i="720"/>
  <c r="T225" i="720"/>
  <c r="N226" i="720"/>
  <c r="N225" i="720"/>
  <c r="N205" i="720"/>
  <c r="N214" i="721"/>
  <c r="F214" i="721"/>
  <c r="P214" i="721"/>
  <c r="J214" i="721"/>
  <c r="T214" i="721"/>
  <c r="L214" i="721"/>
  <c r="R214" i="721"/>
  <c r="P135" i="720"/>
  <c r="L135" i="720"/>
  <c r="F135" i="720"/>
  <c r="N135" i="720"/>
  <c r="R135" i="720"/>
  <c r="J135" i="720"/>
  <c r="T135" i="720"/>
  <c r="W801" i="721"/>
  <c r="W775" i="721"/>
  <c r="P141" i="721"/>
  <c r="T141" i="721"/>
  <c r="L141" i="721"/>
  <c r="R141" i="721"/>
  <c r="J141" i="721"/>
  <c r="N141" i="721"/>
  <c r="F141" i="721"/>
  <c r="P126" i="720"/>
  <c r="T126" i="720"/>
  <c r="N126" i="720"/>
  <c r="J126" i="720"/>
  <c r="F126" i="720"/>
  <c r="R126" i="720"/>
  <c r="L126" i="720"/>
  <c r="J131" i="721"/>
  <c r="F131" i="721"/>
  <c r="R131" i="721"/>
  <c r="L131" i="721"/>
  <c r="P131" i="721"/>
  <c r="T131" i="721"/>
  <c r="N131" i="721"/>
  <c r="J216" i="720"/>
  <c r="L216" i="720"/>
  <c r="T216" i="720"/>
  <c r="P216" i="720"/>
  <c r="N216" i="720"/>
  <c r="F216" i="720"/>
  <c r="R216" i="720"/>
  <c r="F110" i="721"/>
  <c r="J110" i="721"/>
  <c r="R110" i="721"/>
  <c r="P110" i="721"/>
  <c r="L110" i="721"/>
  <c r="T110" i="721"/>
  <c r="AE110" i="721"/>
  <c r="N110" i="721"/>
  <c r="F140" i="721"/>
  <c r="R140" i="721"/>
  <c r="N140" i="721"/>
  <c r="P140" i="721"/>
  <c r="T140" i="721"/>
  <c r="L140" i="721"/>
  <c r="J140" i="721"/>
  <c r="J724" i="721"/>
  <c r="J721" i="721"/>
  <c r="J715" i="721"/>
  <c r="T724" i="721"/>
  <c r="T721" i="721"/>
  <c r="T715" i="721"/>
  <c r="L724" i="721"/>
  <c r="L721" i="721"/>
  <c r="L715" i="721"/>
  <c r="F724" i="721"/>
  <c r="F721" i="721"/>
  <c r="G715" i="721"/>
  <c r="R724" i="721"/>
  <c r="R721" i="721"/>
  <c r="R715" i="721"/>
  <c r="P724" i="721"/>
  <c r="P721" i="721"/>
  <c r="P715" i="721"/>
  <c r="N724" i="721"/>
  <c r="N721" i="721"/>
  <c r="N715" i="721"/>
  <c r="AE127" i="721"/>
  <c r="N803" i="721"/>
  <c r="T803" i="721"/>
  <c r="P803" i="721"/>
  <c r="R803" i="721"/>
  <c r="L803" i="721"/>
  <c r="J803" i="721"/>
  <c r="F803" i="721"/>
  <c r="L217" i="721"/>
  <c r="P217" i="721"/>
  <c r="J217" i="721"/>
  <c r="N217" i="721"/>
  <c r="F217" i="721"/>
  <c r="T217" i="721"/>
  <c r="R217" i="721"/>
  <c r="W145" i="720"/>
  <c r="E145" i="720"/>
  <c r="W194" i="720"/>
  <c r="F134" i="720"/>
  <c r="N134" i="720"/>
  <c r="P134" i="720"/>
  <c r="J134" i="720"/>
  <c r="R134" i="720"/>
  <c r="L134" i="720"/>
  <c r="T134" i="720"/>
  <c r="W225" i="721"/>
  <c r="AE144" i="721"/>
  <c r="AE69" i="721"/>
  <c r="AE230" i="721"/>
  <c r="R131" i="720"/>
  <c r="N131" i="720"/>
  <c r="F131" i="720"/>
  <c r="J131" i="720"/>
  <c r="P131" i="720"/>
  <c r="T131" i="720"/>
  <c r="L131" i="720"/>
  <c r="AE110" i="720"/>
  <c r="T196" i="721"/>
  <c r="T194" i="721"/>
  <c r="T172" i="721"/>
  <c r="AE172" i="721"/>
  <c r="N196" i="721"/>
  <c r="N194" i="721"/>
  <c r="N172" i="721"/>
  <c r="J196" i="721"/>
  <c r="J194" i="721"/>
  <c r="J172" i="721"/>
  <c r="P196" i="721"/>
  <c r="P194" i="721"/>
  <c r="P172" i="721"/>
  <c r="L196" i="721"/>
  <c r="L194" i="721"/>
  <c r="L172" i="721"/>
  <c r="R196" i="721"/>
  <c r="R194" i="721"/>
  <c r="R172" i="721"/>
  <c r="F196" i="721"/>
  <c r="F194" i="721"/>
  <c r="G172" i="721"/>
  <c r="W721" i="720"/>
  <c r="E112" i="720"/>
  <c r="W112" i="720"/>
  <c r="P127" i="720"/>
  <c r="N127" i="720"/>
  <c r="L127" i="720"/>
  <c r="T127" i="720"/>
  <c r="R127" i="720"/>
  <c r="J127" i="720"/>
  <c r="F127" i="720"/>
  <c r="T70" i="720"/>
  <c r="F70" i="720"/>
  <c r="R70" i="720"/>
  <c r="J70" i="720"/>
  <c r="P70" i="720"/>
  <c r="L70" i="720"/>
  <c r="N70" i="720"/>
  <c r="T105" i="720"/>
  <c r="N105" i="720"/>
  <c r="F105" i="720"/>
  <c r="P105" i="720"/>
  <c r="R105" i="720"/>
  <c r="L105" i="720"/>
  <c r="J105" i="720"/>
  <c r="J104" i="720"/>
  <c r="J103" i="720"/>
  <c r="J81" i="720"/>
  <c r="T104" i="720"/>
  <c r="T103" i="720"/>
  <c r="R104" i="720"/>
  <c r="R103" i="720"/>
  <c r="R81" i="720"/>
  <c r="N104" i="720"/>
  <c r="N103" i="720"/>
  <c r="N81" i="720"/>
  <c r="F104" i="720"/>
  <c r="F103" i="720"/>
  <c r="G81" i="720"/>
  <c r="P104" i="720"/>
  <c r="P103" i="720"/>
  <c r="P81" i="720"/>
  <c r="L104" i="720"/>
  <c r="L103" i="720"/>
  <c r="L81" i="720"/>
  <c r="P217" i="720"/>
  <c r="R217" i="720"/>
  <c r="L217" i="720"/>
  <c r="T217" i="720"/>
  <c r="N217" i="720"/>
  <c r="J217" i="720"/>
  <c r="F217" i="720"/>
  <c r="P606" i="721"/>
  <c r="N606" i="721"/>
  <c r="T606" i="721"/>
  <c r="L606" i="721"/>
  <c r="J606" i="721"/>
  <c r="F606" i="721"/>
  <c r="R606" i="721"/>
  <c r="W146" i="720"/>
  <c r="E146" i="720"/>
  <c r="T804" i="721"/>
  <c r="L804" i="721"/>
  <c r="N804" i="721"/>
  <c r="R804" i="721"/>
  <c r="P804" i="721"/>
  <c r="F804" i="721"/>
  <c r="J804" i="721"/>
  <c r="L139" i="720"/>
  <c r="P139" i="720"/>
  <c r="N139" i="720"/>
  <c r="R139" i="720"/>
  <c r="F139" i="720"/>
  <c r="J139" i="720"/>
  <c r="T139" i="720"/>
  <c r="N107" i="720"/>
  <c r="J107" i="720"/>
  <c r="L107" i="720"/>
  <c r="F107" i="720"/>
  <c r="T107" i="720"/>
  <c r="AE107" i="720"/>
  <c r="P107" i="720"/>
  <c r="R107" i="720"/>
  <c r="P150" i="720"/>
  <c r="P147" i="720"/>
  <c r="P123" i="720"/>
  <c r="J150" i="720"/>
  <c r="J147" i="720"/>
  <c r="J123" i="720"/>
  <c r="N150" i="720"/>
  <c r="N147" i="720"/>
  <c r="N123" i="720"/>
  <c r="T150" i="720"/>
  <c r="T147" i="720"/>
  <c r="T123" i="720"/>
  <c r="AE123" i="720"/>
  <c r="R150" i="720"/>
  <c r="R147" i="720"/>
  <c r="R123" i="720"/>
  <c r="F150" i="720"/>
  <c r="F147" i="720"/>
  <c r="G123" i="720"/>
  <c r="L150" i="720"/>
  <c r="L147" i="720"/>
  <c r="L123" i="720"/>
  <c r="N230" i="720"/>
  <c r="T230" i="720"/>
  <c r="F230" i="720"/>
  <c r="P230" i="720"/>
  <c r="J230" i="720"/>
  <c r="L230" i="720"/>
  <c r="R230" i="720"/>
  <c r="P606" i="720"/>
  <c r="J606" i="720"/>
  <c r="T606" i="720"/>
  <c r="L606" i="720"/>
  <c r="F606" i="720"/>
  <c r="N606" i="720"/>
  <c r="R606" i="720"/>
  <c r="F138" i="721"/>
  <c r="T138" i="721"/>
  <c r="R138" i="721"/>
  <c r="L138" i="721"/>
  <c r="J138" i="721"/>
  <c r="P138" i="721"/>
  <c r="N138" i="721"/>
  <c r="J67" i="720"/>
  <c r="F67" i="720"/>
  <c r="T67" i="720"/>
  <c r="R67" i="720"/>
  <c r="P67" i="720"/>
  <c r="N67" i="720"/>
  <c r="L67" i="720"/>
  <c r="AE67" i="720"/>
  <c r="T111" i="721"/>
  <c r="P111" i="721"/>
  <c r="R111" i="721"/>
  <c r="L111" i="721"/>
  <c r="N111" i="721"/>
  <c r="AE111" i="721"/>
  <c r="F111" i="721"/>
  <c r="J111" i="721"/>
  <c r="F804" i="720"/>
  <c r="L804" i="720"/>
  <c r="T804" i="720"/>
  <c r="N804" i="720"/>
  <c r="R804" i="720"/>
  <c r="P804" i="720"/>
  <c r="J804" i="720"/>
  <c r="W206" i="720"/>
  <c r="W205" i="720"/>
  <c r="V205" i="720"/>
  <c r="T102" i="720"/>
  <c r="AE102" i="720"/>
  <c r="L102" i="720"/>
  <c r="J102" i="720"/>
  <c r="P102" i="720"/>
  <c r="F102" i="720"/>
  <c r="N102" i="720"/>
  <c r="R102" i="720"/>
  <c r="N150" i="721"/>
  <c r="N147" i="721"/>
  <c r="N123" i="721"/>
  <c r="P150" i="721"/>
  <c r="P147" i="721"/>
  <c r="P123" i="721"/>
  <c r="J150" i="721"/>
  <c r="J147" i="721"/>
  <c r="J123" i="721"/>
  <c r="F150" i="721"/>
  <c r="F147" i="721"/>
  <c r="G123" i="721"/>
  <c r="T150" i="721"/>
  <c r="T147" i="721"/>
  <c r="T123" i="721"/>
  <c r="AE123" i="721"/>
  <c r="L150" i="721"/>
  <c r="L147" i="721"/>
  <c r="L123" i="721"/>
  <c r="R150" i="721"/>
  <c r="R147" i="721"/>
  <c r="R123" i="721"/>
  <c r="F55" i="646"/>
  <c r="H56" i="646"/>
  <c r="F138" i="720"/>
  <c r="J138" i="720"/>
  <c r="T138" i="720"/>
  <c r="R138" i="720"/>
  <c r="N138" i="720"/>
  <c r="L138" i="720"/>
  <c r="P138" i="720"/>
  <c r="P196" i="720"/>
  <c r="P194" i="720"/>
  <c r="P172" i="720"/>
  <c r="L196" i="720"/>
  <c r="L194" i="720"/>
  <c r="L172" i="720"/>
  <c r="F196" i="720"/>
  <c r="F194" i="720"/>
  <c r="G172" i="720"/>
  <c r="T196" i="720"/>
  <c r="T194" i="720"/>
  <c r="J196" i="720"/>
  <c r="J194" i="720"/>
  <c r="J172" i="720"/>
  <c r="N196" i="720"/>
  <c r="N194" i="720"/>
  <c r="N172" i="720"/>
  <c r="R196" i="720"/>
  <c r="R194" i="720"/>
  <c r="R172" i="720"/>
  <c r="AE134" i="720"/>
  <c r="N226" i="721"/>
  <c r="N225" i="721"/>
  <c r="N205" i="721"/>
  <c r="J226" i="721"/>
  <c r="J225" i="721"/>
  <c r="J205" i="721"/>
  <c r="P226" i="721"/>
  <c r="P225" i="721"/>
  <c r="P205" i="721"/>
  <c r="L226" i="721"/>
  <c r="L225" i="721"/>
  <c r="L205" i="721"/>
  <c r="T226" i="721"/>
  <c r="T225" i="721"/>
  <c r="F226" i="721"/>
  <c r="F225" i="721"/>
  <c r="G205" i="721"/>
  <c r="R226" i="721"/>
  <c r="R225" i="721"/>
  <c r="R205" i="721"/>
  <c r="L139" i="721"/>
  <c r="F139" i="721"/>
  <c r="J139" i="721"/>
  <c r="T139" i="721"/>
  <c r="N139" i="721"/>
  <c r="R139" i="721"/>
  <c r="P139" i="721"/>
  <c r="P126" i="721"/>
  <c r="T126" i="721"/>
  <c r="F126" i="721"/>
  <c r="N126" i="721"/>
  <c r="J126" i="721"/>
  <c r="L126" i="721"/>
  <c r="R126" i="721"/>
  <c r="W103" i="721"/>
  <c r="W81" i="721"/>
  <c r="R216" i="721"/>
  <c r="F216" i="721"/>
  <c r="T216" i="721"/>
  <c r="P216" i="721"/>
  <c r="N216" i="721"/>
  <c r="L216" i="721"/>
  <c r="AE216" i="721"/>
  <c r="J216" i="721"/>
  <c r="P136" i="721"/>
  <c r="T136" i="721"/>
  <c r="L136" i="721"/>
  <c r="F136" i="721"/>
  <c r="N136" i="721"/>
  <c r="R136" i="721"/>
  <c r="J136" i="721"/>
  <c r="AE196" i="721"/>
  <c r="W194" i="721"/>
  <c r="N66" i="721"/>
  <c r="R66" i="721"/>
  <c r="L66" i="721"/>
  <c r="J66" i="721"/>
  <c r="F66" i="721"/>
  <c r="T66" i="721"/>
  <c r="P66" i="721"/>
  <c r="T724" i="720"/>
  <c r="T721" i="720"/>
  <c r="T715" i="720"/>
  <c r="R724" i="720"/>
  <c r="R721" i="720"/>
  <c r="R715" i="720"/>
  <c r="P724" i="720"/>
  <c r="P721" i="720"/>
  <c r="P715" i="720"/>
  <c r="L724" i="720"/>
  <c r="L721" i="720"/>
  <c r="L715" i="720"/>
  <c r="F724" i="720"/>
  <c r="F721" i="720"/>
  <c r="G715" i="720"/>
  <c r="N724" i="720"/>
  <c r="N721" i="720"/>
  <c r="N715" i="720"/>
  <c r="J724" i="720"/>
  <c r="J721" i="720"/>
  <c r="J715" i="720"/>
  <c r="AE70" i="720"/>
  <c r="AE105" i="720"/>
  <c r="P102" i="721"/>
  <c r="N102" i="721"/>
  <c r="L102" i="721"/>
  <c r="T102" i="721"/>
  <c r="AE102" i="721"/>
  <c r="R102" i="721"/>
  <c r="J102" i="721"/>
  <c r="F102" i="721"/>
  <c r="J68" i="721"/>
  <c r="N68" i="721"/>
  <c r="T68" i="721"/>
  <c r="P68" i="721"/>
  <c r="R68" i="721"/>
  <c r="F68" i="721"/>
  <c r="L68" i="721"/>
  <c r="AE104" i="720"/>
  <c r="W103" i="720"/>
  <c r="W81" i="720"/>
  <c r="V81" i="720"/>
  <c r="AE217" i="720"/>
  <c r="AE606" i="721"/>
  <c r="W146" i="721"/>
  <c r="E146" i="721"/>
  <c r="AE804" i="721"/>
  <c r="AE139" i="720"/>
  <c r="T70" i="721"/>
  <c r="P70" i="721"/>
  <c r="R70" i="721"/>
  <c r="L70" i="721"/>
  <c r="J70" i="721"/>
  <c r="F70" i="721"/>
  <c r="N70" i="721"/>
  <c r="J144" i="720"/>
  <c r="R144" i="720"/>
  <c r="P144" i="720"/>
  <c r="L144" i="720"/>
  <c r="N144" i="720"/>
  <c r="F144" i="720"/>
  <c r="T144" i="720"/>
  <c r="W147" i="720"/>
  <c r="AE150" i="720"/>
  <c r="AE230" i="720"/>
  <c r="AE606" i="720"/>
  <c r="J106" i="721"/>
  <c r="P106" i="721"/>
  <c r="L106" i="721"/>
  <c r="N106" i="721"/>
  <c r="F106" i="721"/>
  <c r="T106" i="721"/>
  <c r="AE106" i="721"/>
  <c r="R106" i="721"/>
  <c r="L66" i="720"/>
  <c r="R66" i="720"/>
  <c r="P66" i="720"/>
  <c r="T66" i="720"/>
  <c r="F66" i="720"/>
  <c r="J66" i="720"/>
  <c r="N66" i="720"/>
  <c r="AE804" i="720"/>
  <c r="J214" i="720"/>
  <c r="R214" i="720"/>
  <c r="L214" i="720"/>
  <c r="T214" i="720"/>
  <c r="P214" i="720"/>
  <c r="N214" i="720"/>
  <c r="AE214" i="720"/>
  <c r="F214" i="720"/>
  <c r="F57" i="720"/>
  <c r="N57" i="720"/>
  <c r="T57" i="720"/>
  <c r="P57" i="720"/>
  <c r="J57" i="720"/>
  <c r="L57" i="720"/>
  <c r="R57" i="720"/>
  <c r="W147" i="721"/>
  <c r="AE150" i="721"/>
  <c r="P795" i="721"/>
  <c r="L795" i="721"/>
  <c r="F795" i="721"/>
  <c r="N795" i="721"/>
  <c r="J795" i="721"/>
  <c r="T795" i="721"/>
  <c r="R795" i="721"/>
  <c r="J106" i="720"/>
  <c r="N106" i="720"/>
  <c r="T106" i="720"/>
  <c r="AE106" i="720"/>
  <c r="P106" i="720"/>
  <c r="L106" i="720"/>
  <c r="R106" i="720"/>
  <c r="F106" i="720"/>
  <c r="AE136" i="720"/>
  <c r="J140" i="720"/>
  <c r="F140" i="720"/>
  <c r="N140" i="720"/>
  <c r="R140" i="720"/>
  <c r="P140" i="720"/>
  <c r="T140" i="720"/>
  <c r="L140" i="720"/>
  <c r="T228" i="720"/>
  <c r="N228" i="720"/>
  <c r="R228" i="720"/>
  <c r="J228" i="720"/>
  <c r="P228" i="720"/>
  <c r="L228" i="720"/>
  <c r="F228" i="720"/>
  <c r="L68" i="720"/>
  <c r="F68" i="720"/>
  <c r="P68" i="720"/>
  <c r="T68" i="720"/>
  <c r="R68" i="720"/>
  <c r="N68" i="720"/>
  <c r="AE68" i="720"/>
  <c r="J68" i="720"/>
  <c r="AE126" i="721"/>
  <c r="P104" i="721"/>
  <c r="P103" i="721"/>
  <c r="P81" i="721"/>
  <c r="T104" i="721"/>
  <c r="T103" i="721"/>
  <c r="L104" i="721"/>
  <c r="L103" i="721"/>
  <c r="L81" i="721"/>
  <c r="F104" i="721"/>
  <c r="F103" i="721"/>
  <c r="G81" i="721"/>
  <c r="N104" i="721"/>
  <c r="N103" i="721"/>
  <c r="N81" i="721"/>
  <c r="J104" i="721"/>
  <c r="J103" i="721"/>
  <c r="J81" i="721"/>
  <c r="R104" i="721"/>
  <c r="R103" i="721"/>
  <c r="R81" i="721"/>
  <c r="L795" i="720"/>
  <c r="F795" i="720"/>
  <c r="J795" i="720"/>
  <c r="R795" i="720"/>
  <c r="P795" i="720"/>
  <c r="N795" i="720"/>
  <c r="T795" i="720"/>
  <c r="AE67" i="721"/>
  <c r="L134" i="721"/>
  <c r="P134" i="721"/>
  <c r="J134" i="721"/>
  <c r="N134" i="721"/>
  <c r="R134" i="721"/>
  <c r="F134" i="721"/>
  <c r="T134" i="721"/>
  <c r="W112" i="721"/>
  <c r="E112" i="721"/>
  <c r="N803" i="720"/>
  <c r="F803" i="720"/>
  <c r="T803" i="720"/>
  <c r="R803" i="720"/>
  <c r="P803" i="720"/>
  <c r="J803" i="720"/>
  <c r="L803" i="720"/>
  <c r="AE135" i="721"/>
  <c r="L802" i="720"/>
  <c r="N802" i="720"/>
  <c r="T802" i="720"/>
  <c r="T801" i="720"/>
  <c r="R802" i="720"/>
  <c r="R801" i="720"/>
  <c r="R775" i="720"/>
  <c r="P802" i="720"/>
  <c r="P801" i="720"/>
  <c r="P775" i="720"/>
  <c r="J802" i="720"/>
  <c r="J801" i="720"/>
  <c r="J775" i="720"/>
  <c r="F802" i="720"/>
  <c r="T69" i="720"/>
  <c r="L69" i="720"/>
  <c r="N69" i="720"/>
  <c r="P69" i="720"/>
  <c r="F69" i="720"/>
  <c r="R69" i="720"/>
  <c r="J69" i="720"/>
  <c r="P228" i="721"/>
  <c r="R228" i="721"/>
  <c r="F228" i="721"/>
  <c r="N228" i="721"/>
  <c r="T228" i="721"/>
  <c r="L228" i="721"/>
  <c r="J228" i="721"/>
  <c r="L111" i="720"/>
  <c r="J111" i="720"/>
  <c r="F111" i="720"/>
  <c r="T111" i="720"/>
  <c r="N111" i="720"/>
  <c r="R111" i="720"/>
  <c r="P111" i="720"/>
  <c r="F55" i="347"/>
  <c r="H56" i="347"/>
  <c r="L706" i="721"/>
  <c r="L705" i="721"/>
  <c r="L692" i="721"/>
  <c r="F706" i="721"/>
  <c r="F705" i="721"/>
  <c r="G692" i="721"/>
  <c r="N706" i="721"/>
  <c r="N705" i="721"/>
  <c r="N692" i="721"/>
  <c r="T706" i="721"/>
  <c r="T705" i="721"/>
  <c r="J706" i="721"/>
  <c r="J705" i="721"/>
  <c r="J692" i="721"/>
  <c r="P706" i="721"/>
  <c r="P705" i="721"/>
  <c r="P692" i="721"/>
  <c r="R706" i="721"/>
  <c r="R705" i="721"/>
  <c r="R692" i="721"/>
  <c r="P343" i="720"/>
  <c r="P341" i="720"/>
  <c r="P243" i="720"/>
  <c r="L343" i="720"/>
  <c r="L341" i="720"/>
  <c r="L243" i="720"/>
  <c r="F343" i="720"/>
  <c r="F341" i="720"/>
  <c r="G243" i="720"/>
  <c r="N343" i="720"/>
  <c r="N341" i="720"/>
  <c r="N243" i="720"/>
  <c r="T343" i="720"/>
  <c r="T341" i="720"/>
  <c r="R343" i="720"/>
  <c r="R341" i="720"/>
  <c r="R243" i="720"/>
  <c r="J343" i="720"/>
  <c r="J341" i="720"/>
  <c r="J243" i="720"/>
  <c r="J706" i="720"/>
  <c r="J705" i="720"/>
  <c r="J692" i="720"/>
  <c r="J838" i="720"/>
  <c r="W705" i="720"/>
  <c r="W692" i="720"/>
  <c r="W341" i="721"/>
  <c r="W243" i="721"/>
  <c r="W341" i="720"/>
  <c r="W243" i="720"/>
  <c r="V243" i="720"/>
  <c r="AE343" i="720"/>
  <c r="P706" i="720"/>
  <c r="P705" i="720"/>
  <c r="P692" i="720"/>
  <c r="R706" i="720"/>
  <c r="R705" i="720"/>
  <c r="R692" i="720"/>
  <c r="L706" i="720"/>
  <c r="L705" i="720"/>
  <c r="L692" i="720"/>
  <c r="T706" i="720"/>
  <c r="T705" i="720"/>
  <c r="F706" i="720"/>
  <c r="F705" i="720"/>
  <c r="G692" i="720"/>
  <c r="N706" i="720"/>
  <c r="N705" i="720"/>
  <c r="N692" i="720"/>
  <c r="W705" i="721"/>
  <c r="W692" i="721"/>
  <c r="AE706" i="721"/>
  <c r="T343" i="721"/>
  <c r="T341" i="721"/>
  <c r="F343" i="721"/>
  <c r="F341" i="721"/>
  <c r="G243" i="721"/>
  <c r="P343" i="721"/>
  <c r="P341" i="721"/>
  <c r="P243" i="721"/>
  <c r="N343" i="721"/>
  <c r="N341" i="721"/>
  <c r="N243" i="721"/>
  <c r="J343" i="721"/>
  <c r="J341" i="721"/>
  <c r="J243" i="721"/>
  <c r="R343" i="721"/>
  <c r="R341" i="721"/>
  <c r="R243" i="721"/>
  <c r="L343" i="721"/>
  <c r="L341" i="721"/>
  <c r="L243" i="721"/>
  <c r="AE706" i="720"/>
  <c r="AE111" i="720"/>
  <c r="AE69" i="720"/>
  <c r="AE57" i="720"/>
  <c r="AE66" i="720"/>
  <c r="AE144" i="720"/>
  <c r="AE68" i="721"/>
  <c r="AE127" i="720"/>
  <c r="AE131" i="720"/>
  <c r="AE140" i="721"/>
  <c r="AE216" i="720"/>
  <c r="AE131" i="721"/>
  <c r="AE202" i="721"/>
  <c r="AE13" i="721"/>
  <c r="AE221" i="720"/>
  <c r="AE803" i="720"/>
  <c r="AE70" i="721"/>
  <c r="AE136" i="721"/>
  <c r="AE139" i="721"/>
  <c r="AE217" i="721"/>
  <c r="AE135" i="720"/>
  <c r="AE208" i="720"/>
  <c r="T11" i="721"/>
  <c r="AE11" i="721"/>
  <c r="AE12" i="721"/>
  <c r="Z11" i="720"/>
  <c r="AB11" i="720"/>
  <c r="X11" i="720"/>
  <c r="V11" i="721"/>
  <c r="AE203" i="720"/>
  <c r="T202" i="720"/>
  <c r="AE202" i="720"/>
  <c r="AE228" i="721"/>
  <c r="N801" i="720"/>
  <c r="N775" i="720"/>
  <c r="AE140" i="720"/>
  <c r="T172" i="720"/>
  <c r="AE172" i="720"/>
  <c r="AE214" i="721"/>
  <c r="L205" i="720"/>
  <c r="AE57" i="721"/>
  <c r="T206" i="720"/>
  <c r="AE206" i="720"/>
  <c r="AE207" i="720"/>
  <c r="AE13" i="720"/>
  <c r="T11" i="720"/>
  <c r="AE11" i="720"/>
  <c r="AE12" i="720"/>
  <c r="AE208" i="721"/>
  <c r="AE209" i="720"/>
  <c r="AE207" i="721"/>
  <c r="T206" i="721"/>
  <c r="AE206" i="721"/>
  <c r="AE126" i="720"/>
  <c r="Z11" i="721"/>
  <c r="AB11" i="721"/>
  <c r="X11" i="721"/>
  <c r="R112" i="721"/>
  <c r="J112" i="721"/>
  <c r="N112" i="721"/>
  <c r="L112" i="721"/>
  <c r="F112" i="721"/>
  <c r="P112" i="721"/>
  <c r="T112" i="721"/>
  <c r="AE112" i="721"/>
  <c r="AE228" i="720"/>
  <c r="W123" i="721"/>
  <c r="V123" i="721"/>
  <c r="AE147" i="721"/>
  <c r="J146" i="721"/>
  <c r="L146" i="721"/>
  <c r="N146" i="721"/>
  <c r="T146" i="721"/>
  <c r="P146" i="721"/>
  <c r="F146" i="721"/>
  <c r="R146" i="721"/>
  <c r="V81" i="721"/>
  <c r="AE138" i="721"/>
  <c r="AB123" i="720"/>
  <c r="Z123" i="720"/>
  <c r="X123" i="720"/>
  <c r="AE724" i="720"/>
  <c r="AE196" i="720"/>
  <c r="AE141" i="720"/>
  <c r="W715" i="721"/>
  <c r="V715" i="721"/>
  <c r="AE721" i="721"/>
  <c r="T801" i="721"/>
  <c r="AE802" i="721"/>
  <c r="P801" i="721"/>
  <c r="P775" i="721"/>
  <c r="P838" i="721"/>
  <c r="D844" i="721"/>
  <c r="F801" i="720"/>
  <c r="G775" i="720"/>
  <c r="AE801" i="720"/>
  <c r="T775" i="720"/>
  <c r="AE775" i="720"/>
  <c r="AB81" i="721"/>
  <c r="Z81" i="721"/>
  <c r="X81" i="721"/>
  <c r="AE146" i="721"/>
  <c r="AE66" i="721"/>
  <c r="Z205" i="721"/>
  <c r="AB205" i="721"/>
  <c r="X205" i="721"/>
  <c r="AE138" i="720"/>
  <c r="T146" i="720"/>
  <c r="AE146" i="720"/>
  <c r="R146" i="720"/>
  <c r="F146" i="720"/>
  <c r="L146" i="720"/>
  <c r="N146" i="720"/>
  <c r="P146" i="720"/>
  <c r="J146" i="720"/>
  <c r="W715" i="720"/>
  <c r="AE721" i="720"/>
  <c r="F145" i="720"/>
  <c r="P145" i="720"/>
  <c r="L145" i="720"/>
  <c r="T145" i="720"/>
  <c r="AE145" i="720"/>
  <c r="R145" i="720"/>
  <c r="AE803" i="721"/>
  <c r="AE715" i="721"/>
  <c r="AE141" i="721"/>
  <c r="AE724" i="721"/>
  <c r="N801" i="721"/>
  <c r="N775" i="721"/>
  <c r="J801" i="721"/>
  <c r="J775" i="721"/>
  <c r="AE226" i="720"/>
  <c r="AE134" i="721"/>
  <c r="AE795" i="721"/>
  <c r="AE225" i="721"/>
  <c r="T205" i="721"/>
  <c r="AE205" i="721"/>
  <c r="X172" i="720"/>
  <c r="Z172" i="720"/>
  <c r="AB172" i="720"/>
  <c r="Z123" i="721"/>
  <c r="X123" i="721"/>
  <c r="AB123" i="721"/>
  <c r="T81" i="720"/>
  <c r="AE81" i="720"/>
  <c r="AE103" i="720"/>
  <c r="X172" i="721"/>
  <c r="AB172" i="721"/>
  <c r="Z172" i="721"/>
  <c r="AE226" i="721"/>
  <c r="Z205" i="720"/>
  <c r="AB205" i="720"/>
  <c r="X205" i="720"/>
  <c r="AE802" i="720"/>
  <c r="F801" i="721"/>
  <c r="G775" i="721"/>
  <c r="N838" i="721"/>
  <c r="D843" i="721"/>
  <c r="J838" i="721"/>
  <c r="L801" i="720"/>
  <c r="L775" i="720"/>
  <c r="AE795" i="720"/>
  <c r="AE103" i="721"/>
  <c r="T81" i="721"/>
  <c r="AE81" i="721"/>
  <c r="AE147" i="720"/>
  <c r="W123" i="720"/>
  <c r="V123" i="720"/>
  <c r="X715" i="720"/>
  <c r="Z715" i="720"/>
  <c r="AB715" i="720"/>
  <c r="AE194" i="721"/>
  <c r="W172" i="721"/>
  <c r="V172" i="721"/>
  <c r="AE104" i="721"/>
  <c r="Z81" i="720"/>
  <c r="AB81" i="720"/>
  <c r="X81" i="720"/>
  <c r="N112" i="720"/>
  <c r="R112" i="720"/>
  <c r="J112" i="720"/>
  <c r="L112" i="720"/>
  <c r="F112" i="720"/>
  <c r="T112" i="720"/>
  <c r="AE112" i="720"/>
  <c r="P112" i="720"/>
  <c r="AE194" i="720"/>
  <c r="W172" i="720"/>
  <c r="V172" i="720"/>
  <c r="X715" i="721"/>
  <c r="Z715" i="721"/>
  <c r="AB715" i="721"/>
  <c r="V775" i="721"/>
  <c r="AE225" i="720"/>
  <c r="T205" i="720"/>
  <c r="AE205" i="720"/>
  <c r="V775" i="720"/>
  <c r="L145" i="721"/>
  <c r="T145" i="721"/>
  <c r="AE145" i="721"/>
  <c r="F145" i="721"/>
  <c r="P145" i="721"/>
  <c r="R145" i="721"/>
  <c r="R801" i="721"/>
  <c r="R775" i="721"/>
  <c r="R838" i="721"/>
  <c r="D845" i="721"/>
  <c r="L801" i="721"/>
  <c r="L775" i="721"/>
  <c r="L838" i="721"/>
  <c r="D842" i="721"/>
  <c r="W205" i="721"/>
  <c r="V205" i="721"/>
  <c r="E843" i="721"/>
  <c r="G843" i="721"/>
  <c r="F843" i="721"/>
  <c r="V692" i="720"/>
  <c r="W838" i="720"/>
  <c r="AE341" i="721"/>
  <c r="T243" i="721"/>
  <c r="V692" i="721"/>
  <c r="W838" i="721"/>
  <c r="AE343" i="721"/>
  <c r="N838" i="720"/>
  <c r="D843" i="720"/>
  <c r="Z243" i="720"/>
  <c r="AB243" i="720"/>
  <c r="X243" i="720"/>
  <c r="D848" i="720"/>
  <c r="T692" i="721"/>
  <c r="AE692" i="721"/>
  <c r="AE705" i="721"/>
  <c r="AB692" i="720"/>
  <c r="X692" i="720"/>
  <c r="Z692" i="720"/>
  <c r="G844" i="721"/>
  <c r="F844" i="721"/>
  <c r="E844" i="721"/>
  <c r="R838" i="720"/>
  <c r="D845" i="720"/>
  <c r="L838" i="720"/>
  <c r="D842" i="720"/>
  <c r="X243" i="721"/>
  <c r="Z243" i="721"/>
  <c r="AB243" i="721"/>
  <c r="D848" i="721"/>
  <c r="T692" i="720"/>
  <c r="AE692" i="720"/>
  <c r="AE705" i="720"/>
  <c r="V243" i="721"/>
  <c r="AE341" i="720"/>
  <c r="T243" i="720"/>
  <c r="P838" i="720"/>
  <c r="D844" i="720"/>
  <c r="AB692" i="721"/>
  <c r="X692" i="721"/>
  <c r="Z692" i="721"/>
  <c r="G845" i="721"/>
  <c r="F845" i="721"/>
  <c r="E845" i="721"/>
  <c r="E842" i="721"/>
  <c r="G842" i="721"/>
  <c r="F842" i="721"/>
  <c r="X775" i="721"/>
  <c r="X838" i="721"/>
  <c r="AB775" i="721"/>
  <c r="AB838" i="721"/>
  <c r="Z775" i="721"/>
  <c r="X775" i="720"/>
  <c r="X838" i="720"/>
  <c r="Z775" i="720"/>
  <c r="Z838" i="720"/>
  <c r="AB775" i="720"/>
  <c r="Z838" i="721"/>
  <c r="V715" i="720"/>
  <c r="V838" i="720"/>
  <c r="AE715" i="720"/>
  <c r="T775" i="721"/>
  <c r="AE775" i="721"/>
  <c r="AE801" i="721"/>
  <c r="G844" i="720"/>
  <c r="F844" i="720"/>
  <c r="E844" i="720"/>
  <c r="E842" i="720"/>
  <c r="G842" i="720"/>
  <c r="F842" i="720"/>
  <c r="AE243" i="720"/>
  <c r="T838" i="720"/>
  <c r="E845" i="720"/>
  <c r="G845" i="720"/>
  <c r="F845" i="720"/>
  <c r="V838" i="721"/>
  <c r="D849" i="721"/>
  <c r="D850" i="721"/>
  <c r="D849" i="720"/>
  <c r="D850" i="720"/>
  <c r="G843" i="720"/>
  <c r="F843" i="720"/>
  <c r="E843" i="720"/>
  <c r="AE243" i="721"/>
  <c r="T838" i="721"/>
  <c r="AB838" i="720"/>
  <c r="D846" i="721"/>
  <c r="AE838" i="721"/>
  <c r="D851" i="720"/>
  <c r="F861" i="720"/>
  <c r="D851" i="721"/>
  <c r="F861" i="721"/>
  <c r="D846" i="720"/>
  <c r="AE838" i="720"/>
  <c r="E879" i="721"/>
  <c r="F863" i="721"/>
  <c r="E879" i="720"/>
  <c r="F863" i="720"/>
  <c r="G846" i="720"/>
  <c r="F846" i="720"/>
  <c r="E846" i="720"/>
  <c r="E846" i="721"/>
  <c r="G846" i="721"/>
  <c r="F846" i="721"/>
  <c r="F879" i="720"/>
  <c r="F881" i="720"/>
  <c r="E881" i="720"/>
  <c r="E882" i="720"/>
  <c r="E883" i="720"/>
  <c r="F883" i="720"/>
  <c r="F879" i="721"/>
  <c r="F881" i="721"/>
  <c r="E881" i="721"/>
  <c r="E882" i="721"/>
  <c r="E883" i="721"/>
  <c r="F883" i="721"/>
</calcChain>
</file>

<file path=xl/comments1.xml><?xml version="1.0" encoding="utf-8"?>
<comments xmlns="http://schemas.openxmlformats.org/spreadsheetml/2006/main">
  <authors>
    <author>MiPc</author>
  </authors>
  <commentList>
    <comment ref="F8" authorId="0" shapeId="0">
      <text>
        <r>
          <rPr>
            <b/>
            <sz val="9"/>
            <color indexed="81"/>
            <rFont val="Tahoma"/>
            <family val="2"/>
          </rPr>
          <t xml:space="preserve">El costo de los materiales y accesorios ya esta asumido el transporte por lo cual el costo del material es puesto en obra 
 </t>
        </r>
      </text>
    </comment>
  </commentList>
</comments>
</file>

<file path=xl/comments2.xml><?xml version="1.0" encoding="utf-8"?>
<comments xmlns="http://schemas.openxmlformats.org/spreadsheetml/2006/main">
  <authors>
    <author>MiPc</author>
  </authors>
  <commentList>
    <comment ref="E18" authorId="0" shapeId="0">
      <text>
        <r>
          <rPr>
            <b/>
            <sz val="9"/>
            <color indexed="81"/>
            <rFont val="Tahoma"/>
            <family val="2"/>
          </rPr>
          <t>Dentro de este item el movimiento del material interno es asumido en la mano de obra ya que el material a desalojar se cobra en el item 2,01,04</t>
        </r>
      </text>
    </comment>
  </commentList>
</comments>
</file>

<file path=xl/sharedStrings.xml><?xml version="1.0" encoding="utf-8"?>
<sst xmlns="http://schemas.openxmlformats.org/spreadsheetml/2006/main" count="18517" uniqueCount="2422">
  <si>
    <t>ENTIDAD INTERESADA</t>
  </si>
  <si>
    <t>TITULO DEL CUADRO</t>
  </si>
  <si>
    <t>Análisis de Precios Unitarios</t>
  </si>
  <si>
    <t>NOMBRE DEL PROYECTO</t>
  </si>
  <si>
    <t>OPTIMIZACIÓN Y AMPLIACIÓN DE LA RED ALCANTARILLADO DEL CORREGIMIENTO DE LAS MESAS, MUNICIPIO DE EL TABLON DE GOMEZ – DEPARTAMENTO DE NARIÑO.</t>
  </si>
  <si>
    <t>PRESENTACIÓN PRESUPUESTO</t>
  </si>
  <si>
    <t>RESPONSABLE</t>
  </si>
  <si>
    <t>INGENIERO CIVIL HEBER EDUARDO YEPES VILLOTA</t>
  </si>
  <si>
    <t>OBJETO DEL ANALISIS</t>
  </si>
  <si>
    <t>Presupuesto de Obra</t>
  </si>
  <si>
    <t>A.I.U.</t>
  </si>
  <si>
    <t xml:space="preserve">DATOS </t>
  </si>
  <si>
    <t>CORREGIMIENTO DE LAS MESAS-MUNICIPIO DETABLON DE GOMES (N)</t>
  </si>
  <si>
    <t>DEPARTAMENTO</t>
  </si>
  <si>
    <t>DEPARTAMENTO NARIÑO</t>
  </si>
  <si>
    <t xml:space="preserve">MUNICIPIO </t>
  </si>
  <si>
    <t>TABLON DE GOMEZ</t>
  </si>
  <si>
    <t>LUGAR</t>
  </si>
  <si>
    <t xml:space="preserve">OBRA Y NUMERO DE PROYECTO: </t>
  </si>
  <si>
    <t>PORCENTAJE DE ACTUALIZACIÓN CUADRILLAS</t>
  </si>
  <si>
    <t>PORCENTAJE DE ACTUALIZACIÓN TRANSPORTES</t>
  </si>
  <si>
    <t>PORCENTAJE DE ACTUALIZACIÓN EQUIPOS</t>
  </si>
  <si>
    <t>PORCENTAJE DE ACTUALIZACIÓN  MATERIALES</t>
  </si>
  <si>
    <t>MUNICIPIO (DEPARTAMENTO)</t>
  </si>
  <si>
    <t xml:space="preserve"> CUADRILLAS</t>
  </si>
  <si>
    <t>SALARIO MINIMO LEGAL VIGENTE</t>
  </si>
  <si>
    <t>Descripción</t>
  </si>
  <si>
    <t>Jornal Oficial</t>
  </si>
  <si>
    <t>Jornal Ayudante</t>
  </si>
  <si>
    <t>P. ALBAÑILERIA</t>
  </si>
  <si>
    <t>P. INSTALACIONES BASICA</t>
  </si>
  <si>
    <t>P. PINTURA</t>
  </si>
  <si>
    <t>P. CARPINTERIA</t>
  </si>
  <si>
    <t>P. CABLEADO ESTRUCTURADO</t>
  </si>
  <si>
    <t>Vlr actualizado</t>
  </si>
  <si>
    <t>% Actualización</t>
  </si>
  <si>
    <t>Vlr Actual</t>
  </si>
  <si>
    <t>Excavaciones en material comun.</t>
  </si>
  <si>
    <t>Ayudante</t>
  </si>
  <si>
    <t>Excavaciones</t>
  </si>
  <si>
    <t>Demoliciones</t>
  </si>
  <si>
    <t>oficial</t>
  </si>
  <si>
    <t>Rellenos de excavación</t>
  </si>
  <si>
    <t>Enchapes y acabados</t>
  </si>
  <si>
    <t>+</t>
  </si>
  <si>
    <t>Cuadrilla Demoliciones</t>
  </si>
  <si>
    <t>Excavaciones en roca</t>
  </si>
  <si>
    <t>Oficial</t>
  </si>
  <si>
    <t>Albañilería</t>
  </si>
  <si>
    <t>Estructuras</t>
  </si>
  <si>
    <t>Topografía</t>
  </si>
  <si>
    <t>Instalaciones</t>
  </si>
  <si>
    <t>Cuadrilla 1 - 4</t>
  </si>
  <si>
    <t>Cuadrilla 1 - 1</t>
  </si>
  <si>
    <t>Cuadrilla 1 - 3</t>
  </si>
  <si>
    <t>Cuadrilla 1 - 6</t>
  </si>
  <si>
    <t>Cuadrilla Hidraúlico y Sanitario</t>
  </si>
  <si>
    <t>Cuadrilla Carpinteria metálica</t>
  </si>
  <si>
    <t>Cuadrilla  Eléctrico</t>
  </si>
  <si>
    <t xml:space="preserve">Oficial </t>
  </si>
  <si>
    <t>Carpintería</t>
  </si>
  <si>
    <t>Pintura</t>
  </si>
  <si>
    <t>Mampostería</t>
  </si>
  <si>
    <t>Vías</t>
  </si>
  <si>
    <t>Cuadrilla Carpinteria Aluminio</t>
  </si>
  <si>
    <t>Cuadrilla instalaciones a  gas</t>
  </si>
  <si>
    <t>Oficiales</t>
  </si>
  <si>
    <t>Ingeniero</t>
  </si>
  <si>
    <t>Tramitador</t>
  </si>
  <si>
    <t xml:space="preserve"> CALCULO DE JORNALES</t>
  </si>
  <si>
    <t>AA</t>
  </si>
  <si>
    <t>JORNAL AYUDANTE</t>
  </si>
  <si>
    <t>MINIMOS</t>
  </si>
  <si>
    <t>VALOR REAL DEL JORNAL</t>
  </si>
  <si>
    <t>VALOR TOTAL HORA AYUDANTE</t>
  </si>
  <si>
    <t>JORNAL OFICIAL</t>
  </si>
  <si>
    <t>VALOR TOTAL HORA OFICIAL</t>
  </si>
  <si>
    <t>VALOR DIA CUADRILLA</t>
  </si>
  <si>
    <t>VALOR HORA CUADRILLA</t>
  </si>
  <si>
    <t>SALARIO MINIMO MES</t>
  </si>
  <si>
    <t>AÑO</t>
  </si>
  <si>
    <t>DIA</t>
  </si>
  <si>
    <t>DISCRIMINACIÓN DEL PAGO POR PARTE DEL CONTRATISTA</t>
  </si>
  <si>
    <t>1 Minimo</t>
  </si>
  <si>
    <t>3 Minimos</t>
  </si>
  <si>
    <t>SALARIO</t>
  </si>
  <si>
    <t>SEGURIDAD SOCIAL</t>
  </si>
  <si>
    <t>EPS</t>
  </si>
  <si>
    <t>Valor Total 12,5%, el 8,5% está a cargo del empleador.</t>
  </si>
  <si>
    <t>Pensión</t>
  </si>
  <si>
    <t>ARP</t>
  </si>
  <si>
    <t>Porcentaje válido solo para construcción</t>
  </si>
  <si>
    <t>Subsidio de transporte</t>
  </si>
  <si>
    <t>Solo se paga hasta 2 salarios mínimos</t>
  </si>
  <si>
    <t>PARAFISCALIDAD</t>
  </si>
  <si>
    <t>Subsidio de transporte anual = Subsidio mensual / 30 x (365 días -16 fiestas - 3 permisos)</t>
  </si>
  <si>
    <t>Cesantias</t>
  </si>
  <si>
    <t>Intereses</t>
  </si>
  <si>
    <t>Prima</t>
  </si>
  <si>
    <t>30 Días</t>
  </si>
  <si>
    <t>Vacaciones</t>
  </si>
  <si>
    <t xml:space="preserve">I.C.B.F. </t>
  </si>
  <si>
    <t>Subsidio familiar</t>
  </si>
  <si>
    <t>SENA</t>
  </si>
  <si>
    <t>FIC</t>
  </si>
  <si>
    <t>Botas y Overol</t>
  </si>
  <si>
    <t>Seguro colectivo</t>
  </si>
  <si>
    <t>A.C.P.M.</t>
  </si>
  <si>
    <t>GL</t>
  </si>
  <si>
    <t>Abrazadera de 1"</t>
  </si>
  <si>
    <t>Un</t>
  </si>
  <si>
    <t>UN</t>
  </si>
  <si>
    <t xml:space="preserve">Accesorio novafort </t>
  </si>
  <si>
    <t>Accesorio PVCP-RDE 2" UZ</t>
  </si>
  <si>
    <t>ML</t>
  </si>
  <si>
    <t>Accesorio PVCP-RDE 3" UZ</t>
  </si>
  <si>
    <t>Accesorios - H.G. 1/2"</t>
  </si>
  <si>
    <t>Accesorios PVC</t>
  </si>
  <si>
    <t>Acero 37,000 p.s.i. 1/4"</t>
  </si>
  <si>
    <t>KG</t>
  </si>
  <si>
    <t>construdata</t>
  </si>
  <si>
    <t xml:space="preserve">Acero 60,000 p.s.i. </t>
  </si>
  <si>
    <t>Acero de refuerzo 60000 PSI</t>
  </si>
  <si>
    <t xml:space="preserve">Acero figurado 37,000 </t>
  </si>
  <si>
    <t>Acero figurado 60,000 p.s.i. 1/2"</t>
  </si>
  <si>
    <t>Acido muriatico</t>
  </si>
  <si>
    <t>Gl</t>
  </si>
  <si>
    <t xml:space="preserve">Acoflex plastico de 1/2" x  50 cms Lavamanos </t>
  </si>
  <si>
    <t>constructor</t>
  </si>
  <si>
    <t>Acrilico transparente 2 mm, protección UV</t>
  </si>
  <si>
    <t>M2</t>
  </si>
  <si>
    <t>Adaptador bajante rectangular PVC - Aguas Lluvias</t>
  </si>
  <si>
    <t>Adaptador bajante rectangular PVC - alcantarillado</t>
  </si>
  <si>
    <t>Adaptador hembra PE AL PE 1216 - 1/2"</t>
  </si>
  <si>
    <t>Adaptador macho PE AL PE 1216 - 1/2"</t>
  </si>
  <si>
    <t>Adaptador macho PVC de 1 1/2"</t>
  </si>
  <si>
    <t>Construdata</t>
  </si>
  <si>
    <t>Adaptador macho PVC de 1"</t>
  </si>
  <si>
    <t>Adaptador macho PVC de 1/2"</t>
  </si>
  <si>
    <t>Agua</t>
  </si>
  <si>
    <t>Aislador para percha BT</t>
  </si>
  <si>
    <t>Aislador tipo pin</t>
  </si>
  <si>
    <t>Alambre cobre THW 8 AWG</t>
  </si>
  <si>
    <t>Alambre de cobre No 10</t>
  </si>
  <si>
    <t>Ml</t>
  </si>
  <si>
    <t>Alambre negro Cal. 18</t>
  </si>
  <si>
    <t>MES</t>
  </si>
  <si>
    <t>Kg</t>
  </si>
  <si>
    <t>Angulo 2 1/2" x 2 1/2" x 3/16"</t>
  </si>
  <si>
    <t>Angulo 3/4 x 1/8</t>
  </si>
  <si>
    <t>Angulo de cercha de 2" x 1"</t>
  </si>
  <si>
    <t>Angulo de unión A-29</t>
  </si>
  <si>
    <t xml:space="preserve">Antihumedad fachada </t>
  </si>
  <si>
    <t>Arbol especie local de 1,80 a 2,00 mts</t>
  </si>
  <si>
    <t>Arena Amarilla Lavada</t>
  </si>
  <si>
    <t>M3</t>
  </si>
  <si>
    <t>Arena Blanca</t>
  </si>
  <si>
    <t>Arena de peña</t>
  </si>
  <si>
    <t>Arena de rio</t>
  </si>
  <si>
    <t xml:space="preserve">Arena lavada blanca </t>
  </si>
  <si>
    <t>Arena lavada de pozo</t>
  </si>
  <si>
    <t>Automático 3x100 Amp.</t>
  </si>
  <si>
    <t>Automático 3x30, 3x40, 3x50 o 3x60 Amp.</t>
  </si>
  <si>
    <t>Bajante PVC Rectangular</t>
  </si>
  <si>
    <t xml:space="preserve">Baldosin cerámico blanco 20 x 20  Trafico 4 </t>
  </si>
  <si>
    <t>Bentonita</t>
  </si>
  <si>
    <t>Bisagra alum.Ext 2"</t>
  </si>
  <si>
    <t>Bisagra alum.Ext 3"</t>
  </si>
  <si>
    <t>Bisagra Metalisteria triple</t>
  </si>
  <si>
    <t>Bloque en concreto par muros estructurales de 0,09 x 19 x 39</t>
  </si>
  <si>
    <t>Bloque en concreto para muros  tipo piedra de 12 x 20 X 40 cm.</t>
  </si>
  <si>
    <t>Bloque en concreto para muros estructurales de 12  X 20 X 40</t>
  </si>
  <si>
    <t>Bloque No.4</t>
  </si>
  <si>
    <t>Boquilla terminal EMT de 1"</t>
  </si>
  <si>
    <t>Boquilla terminal EMT de 3/4"</t>
  </si>
  <si>
    <t>Boquilla terminal PVC de 3/4"</t>
  </si>
  <si>
    <t>Broca para concreto 1/4"</t>
  </si>
  <si>
    <t>Buje roscado  1" x 1 1/4"  PVC - Presión</t>
  </si>
  <si>
    <t>Buje roscado  1" x 3/4"  PVC - Presión</t>
  </si>
  <si>
    <t>Buje roscado  3/4" x 1/2" PVC - Presión</t>
  </si>
  <si>
    <t>Cable ACSR 1/0</t>
  </si>
  <si>
    <t>Cable ACSR 2/0</t>
  </si>
  <si>
    <t>Cable antifraude 1x8+8</t>
  </si>
  <si>
    <t>Cable antifraude 2x4+4</t>
  </si>
  <si>
    <t>Cable antifraude 2x6+6</t>
  </si>
  <si>
    <t>Cable antifraude 2x8+8</t>
  </si>
  <si>
    <t>Cable antifraude 3x4+6</t>
  </si>
  <si>
    <t>Cable antifraude 3x6+8</t>
  </si>
  <si>
    <t>Cable antifraude 3x8+10</t>
  </si>
  <si>
    <t>Cable de cobre No 2</t>
  </si>
  <si>
    <t>Cable de cobre No 4</t>
  </si>
  <si>
    <t>Cable de cobre No 6</t>
  </si>
  <si>
    <t>Cable de cobre No 8</t>
  </si>
  <si>
    <t xml:space="preserve">Cadena galvanizada 3/8" </t>
  </si>
  <si>
    <t>Caja 5800</t>
  </si>
  <si>
    <t>Caja de un medidor Agua</t>
  </si>
  <si>
    <t>Caja en mampostería doble</t>
  </si>
  <si>
    <t>Caja en mampostería sencilla</t>
  </si>
  <si>
    <t>Caja octagonal</t>
  </si>
  <si>
    <t>Caja para 3 circuitos monofásica</t>
  </si>
  <si>
    <t>Caja para 4 circuitos monofásica</t>
  </si>
  <si>
    <t>Caja para 6 circuitos monofásica</t>
  </si>
  <si>
    <t>Caja para 9 circuitos bifásica</t>
  </si>
  <si>
    <t>Caja para contador energia</t>
  </si>
  <si>
    <t>Calado en concreto prefabricado de 0,40 x 0,40 x 0,20 mts (según diseño arquitectónico)</t>
  </si>
  <si>
    <t>Canal PVC  Tipo Amazonas</t>
  </si>
  <si>
    <t>Capacete 1"</t>
  </si>
  <si>
    <t>Capacete 3/4"</t>
  </si>
  <si>
    <t>Caseton de E = 0.45 m</t>
  </si>
  <si>
    <t xml:space="preserve">Cemento blanco </t>
  </si>
  <si>
    <t xml:space="preserve">Cemento gris </t>
  </si>
  <si>
    <t>Cesped - especie nativa</t>
  </si>
  <si>
    <t xml:space="preserve">Chazo p/tornillo </t>
  </si>
  <si>
    <t>Cheque red white roscado de 1"; incluye accesorios</t>
  </si>
  <si>
    <t>Cinta peligro</t>
  </si>
  <si>
    <t xml:space="preserve">Cinta Teflón </t>
  </si>
  <si>
    <t>Clavija de caucho 3 polos aérea</t>
  </si>
  <si>
    <t>Codo 90º  CxC Sanitario 2"</t>
  </si>
  <si>
    <t>Codo 90º  CxC Sanitario 3"</t>
  </si>
  <si>
    <t>Codo 90º  CxC Sanitario 4"</t>
  </si>
  <si>
    <t>Codo 90º Pres.PVC 1 1/2"</t>
  </si>
  <si>
    <t>Codo 90º Pres.PVC 1/2"</t>
  </si>
  <si>
    <t>Codo bajante 90º PVC rectangular</t>
  </si>
  <si>
    <t>Codo H.G: 1"</t>
  </si>
  <si>
    <t>Codo H.G: 1. 1/2"</t>
  </si>
  <si>
    <t>Codo H.G: 1/2"</t>
  </si>
  <si>
    <t>Codo PVC-P 1/2"</t>
  </si>
  <si>
    <t>Codo PVC-P 3/4"</t>
  </si>
  <si>
    <t>Concreto de 2,000 p.s.i.</t>
  </si>
  <si>
    <t>Concreto de 2,500 p.s.i.</t>
  </si>
  <si>
    <t>Concreto de 3,000 p.s.i.</t>
  </si>
  <si>
    <t>Concreto de 3,000 p.s.i., premezclado y  bombeado</t>
  </si>
  <si>
    <t>Contador electrónico Trifásico</t>
  </si>
  <si>
    <t>Coraza PVC de 1/2"</t>
  </si>
  <si>
    <t>Cruceta de 1.50</t>
  </si>
  <si>
    <t>Detergentes, ácidos</t>
  </si>
  <si>
    <t>Diagonal</t>
  </si>
  <si>
    <t>Disolvente Thinner</t>
  </si>
  <si>
    <t>Domo acrílico</t>
  </si>
  <si>
    <t xml:space="preserve">Ducha  sencilla incluye accesorios </t>
  </si>
  <si>
    <t>Durmiente ordinario 3 m</t>
  </si>
  <si>
    <t>Encauchetado 3x14</t>
  </si>
  <si>
    <t>Encofroil MET- Desmoldante Cast Off</t>
  </si>
  <si>
    <t>Esmalte epoxico Epoxibler 2 componentes</t>
  </si>
  <si>
    <t>Esmalte mate supersintético</t>
  </si>
  <si>
    <t>Esmalte sintético para señalización</t>
  </si>
  <si>
    <t>Esmalte sintético Pintulux</t>
  </si>
  <si>
    <t>Espárrago para anclaje</t>
  </si>
  <si>
    <t>Estaca madera para replanteo</t>
  </si>
  <si>
    <t xml:space="preserve">Falleba </t>
  </si>
  <si>
    <t>Falleba con portacandado</t>
  </si>
  <si>
    <t>Fluorescente 2x32 bajo consumo</t>
  </si>
  <si>
    <t xml:space="preserve">Gancho galvanizado con platina </t>
  </si>
  <si>
    <t>Gancho teja eternit 55mm</t>
  </si>
  <si>
    <t>Gancho Tensor GalvanizadoTipo comercial 5/16 x 4 1/4"</t>
  </si>
  <si>
    <t>Geotextil NT 1600</t>
  </si>
  <si>
    <t>Geotextil Tejido 1700</t>
  </si>
  <si>
    <t xml:space="preserve">construdata </t>
  </si>
  <si>
    <t>Grafil 6 mm</t>
  </si>
  <si>
    <t>Granito No.2</t>
  </si>
  <si>
    <t>Granito Pulido para mesones</t>
  </si>
  <si>
    <t>Gravilla de rio (viaje 5 m3)</t>
  </si>
  <si>
    <t>Gravilla mona Nº 2</t>
  </si>
  <si>
    <t>Griferia Lavaplatos sencilla metal cromo</t>
  </si>
  <si>
    <t>Hebilla bandit 3/8"</t>
  </si>
  <si>
    <t>Hidrosello Canal Amazonas</t>
  </si>
  <si>
    <t>Icopor</t>
  </si>
  <si>
    <t>Ladrillo prensado Santa Fe</t>
  </si>
  <si>
    <t>Ladrillo tolete común</t>
  </si>
  <si>
    <t>Ladrillo tolete recocido</t>
  </si>
  <si>
    <t>Lamina Cold-Rolled Cal. 20</t>
  </si>
  <si>
    <t>Lamina Cold-Rolled Cal.18  1,2 x 2,4 m</t>
  </si>
  <si>
    <t>Lamina galvanizada cal.20</t>
  </si>
  <si>
    <t xml:space="preserve">Lámpara Fluorescente 2 x 48" </t>
  </si>
  <si>
    <t>Limpiador PVC 1/8</t>
  </si>
  <si>
    <t>Liston</t>
  </si>
  <si>
    <t>Llave terminal 1/2" - cromada , incluye adaptadores</t>
  </si>
  <si>
    <t>Lubricante de silicona Canal y Bajante Amazonas</t>
  </si>
  <si>
    <t>Malla electrosoldada D 4 x 4 mm y Separación 15 x 25 cm</t>
  </si>
  <si>
    <t>Malla Eslabonada galvanizada Cal 12 huecos de 1/12 x  1/2 plg</t>
  </si>
  <si>
    <t>Malla para gaviones</t>
  </si>
  <si>
    <t>Malla tipo gallinero</t>
  </si>
  <si>
    <t xml:space="preserve">Mallas electrosoldadas </t>
  </si>
  <si>
    <t>Maniobra de corte</t>
  </si>
  <si>
    <t>Marco para caja doble</t>
  </si>
  <si>
    <t>Marco para caja sencilla</t>
  </si>
  <si>
    <t>Marco puerta lámina Cold rolled Cal 18</t>
  </si>
  <si>
    <t>Marco ventana</t>
  </si>
  <si>
    <t>Marmolina</t>
  </si>
  <si>
    <t>Mortero 1:3</t>
  </si>
  <si>
    <t>Mortero 1:3 impermeabilizado</t>
  </si>
  <si>
    <t>Mortero 1:4</t>
  </si>
  <si>
    <t>Mortero 1:4 impermeabilizado</t>
  </si>
  <si>
    <t>Mortero 1:7</t>
  </si>
  <si>
    <t>Mortero de pega 1:4 e=1,5 cm</t>
  </si>
  <si>
    <t>Niple H.G. 1/2 " x 0,10 m</t>
  </si>
  <si>
    <t>Niple H.G. 1/2 " x 0,20 m</t>
  </si>
  <si>
    <t>Pabmeril pliego</t>
  </si>
  <si>
    <t>Pegacor blanco</t>
  </si>
  <si>
    <t xml:space="preserve">Peinazo </t>
  </si>
  <si>
    <t>Percha de 2 puestos BT</t>
  </si>
  <si>
    <t>Percha de 3 puestos BT</t>
  </si>
  <si>
    <t>Percha de 4 puestos BT</t>
  </si>
  <si>
    <t>Perfil ALN 876</t>
  </si>
  <si>
    <t>Perfil ALN 877</t>
  </si>
  <si>
    <t>Perfil ALN 879</t>
  </si>
  <si>
    <t>Perfil ALN 937</t>
  </si>
  <si>
    <t>Perfil aluminio T094 de 3 x 1" (72 X 21 mm)</t>
  </si>
  <si>
    <t>Perfil aluminio tubular 3 x 1" x 1/2"  T-095 - 1 aleta</t>
  </si>
  <si>
    <t>Perfil aluminio tubular con aletas cuad. 1" doble aleta divisor  T-078.</t>
  </si>
  <si>
    <t>Perfil ASTM A 500 grado C 60 x 40 x 2 MM</t>
  </si>
  <si>
    <t>Perfil PHR - PAG 160 X 60 - 1,5 MM</t>
  </si>
  <si>
    <t>Pernos</t>
  </si>
  <si>
    <t>Pernos 3x8"</t>
  </si>
  <si>
    <t>Pivote puerta metálica</t>
  </si>
  <si>
    <t>Planchón ordinario 4 metros</t>
  </si>
  <si>
    <t>Platina 1 1/2"x 3/16</t>
  </si>
  <si>
    <t>Platina 1"x 3/16"</t>
  </si>
  <si>
    <t>Platina 3/16" de 0,06 x 0,13 mts</t>
  </si>
  <si>
    <t>Platina anclaje muro de 0,12x0,12x1/16"</t>
  </si>
  <si>
    <t>Platina para soporte abrazadera en U</t>
  </si>
  <si>
    <t>Poceta para laboratorios en acero inoxidable de 0,50 x 0,35 mts. De empotrar con un hueco</t>
  </si>
  <si>
    <t>Polietileno Cal 6</t>
  </si>
  <si>
    <t>Poste en concreto de 10 metros 510 kl</t>
  </si>
  <si>
    <t>Poste en concreto de 10 metros 750 kl</t>
  </si>
  <si>
    <t>Poste en concreto de 12 metros 510 kl</t>
  </si>
  <si>
    <t>Protector escalera (pirlan en bronce angosto)</t>
  </si>
  <si>
    <t>Puentes de empalme</t>
  </si>
  <si>
    <t xml:space="preserve">Puerta  para ducha, en vidrio,  incoloro, templado, de e = 6 mm, incluye herrajes y accesorios de h = 1,80 mts  y 0,65 mts </t>
  </si>
  <si>
    <t>Puerta sistema constructivo PVC de 0,62 x 1,60 m</t>
  </si>
  <si>
    <t>Puntilla con cabeza 2"</t>
  </si>
  <si>
    <t>Punto Agua fría PVC</t>
  </si>
  <si>
    <t>Punto desagüe PVC 3" y  4"</t>
  </si>
  <si>
    <t>Rajón, 4" a 15"</t>
  </si>
  <si>
    <t xml:space="preserve">Recebo  </t>
  </si>
  <si>
    <t>Recebo comun</t>
  </si>
  <si>
    <t>Registro  de cortina R &amp; W 1 1/2" italiano; inlcuye accesorios</t>
  </si>
  <si>
    <t>Registro de corte de 1/2"</t>
  </si>
  <si>
    <t>Registro de cortina 1/2 R &amp; W italiano ; incluye accesorios</t>
  </si>
  <si>
    <t>Registro de cortina R &amp; w 1 1/4" italiano; incluye accesorios</t>
  </si>
  <si>
    <t>Registro de cortina R&amp;W italiano de   1"; incluye accesorios</t>
  </si>
  <si>
    <t>Registro de cortina Roscado liviano  Ref. 272 A Red &amp; White 2"; incluye accesorios</t>
  </si>
  <si>
    <t>Rejilla tragante  cupula aluminio 5x3"</t>
  </si>
  <si>
    <t>Rejilla Ventilación plastica de 0,20 x 0,20 mts.</t>
  </si>
  <si>
    <t>Remaches Pop</t>
  </si>
  <si>
    <t>Repisa ordinaria 3 metros</t>
  </si>
  <si>
    <t>Sanitario Acuacer</t>
  </si>
  <si>
    <t>Sellante de cobre de alta</t>
  </si>
  <si>
    <t>SIFóN 135º PVC-S 3" C x E</t>
  </si>
  <si>
    <t>Sika-1 Imp.Integral</t>
  </si>
  <si>
    <t>Silicona liquida 300 ML</t>
  </si>
  <si>
    <t>Silicona transparente</t>
  </si>
  <si>
    <t>Soldadura 95-5, plata</t>
  </si>
  <si>
    <t>Soldadura de estaño P/Cobre</t>
  </si>
  <si>
    <t>Soldadura elect.004-3/23"</t>
  </si>
  <si>
    <t>Soldadura PVC liquida 1/4</t>
  </si>
  <si>
    <t>Soporte  bajante PVC rectangular</t>
  </si>
  <si>
    <t>Soporte Canal Amazonas</t>
  </si>
  <si>
    <t>Soporte tipo U para tubo 1"</t>
  </si>
  <si>
    <t>%</t>
  </si>
  <si>
    <t>Suministro e instalación de Lavamanos de colgar blanco, primera calidad, incluye griferia y accesorios</t>
  </si>
  <si>
    <t>T ventana</t>
  </si>
  <si>
    <t>Tabla burra ordinario 0,30 - 3 mts</t>
  </si>
  <si>
    <t>Tabla chapa-ordinario 0,10 - 3 mts</t>
  </si>
  <si>
    <t>Tabla chapa-ordinario 0,30 - 3 mts</t>
  </si>
  <si>
    <t>Tablemac (super T) 9 mm; 4 usos</t>
  </si>
  <si>
    <t>Tablero de 12 circuitos con puerta</t>
  </si>
  <si>
    <t>Tablero de 36 circuitos con puerta</t>
  </si>
  <si>
    <t>Tablero de 42 circuitos con puerta</t>
  </si>
  <si>
    <t>Tablón  cuarto 26</t>
  </si>
  <si>
    <t>Tablón Gres de 0,30 x 0,30</t>
  </si>
  <si>
    <t>Tapa Int Izquierda Canal Amazonas</t>
  </si>
  <si>
    <t>Tapa para caja eléctrica</t>
  </si>
  <si>
    <t>Tapas 3x1"</t>
  </si>
  <si>
    <t>TAPóN H.G. 1/2"</t>
  </si>
  <si>
    <t>Tapon PVC 3" de prueba</t>
  </si>
  <si>
    <t>Tapon PVC-P 1/2"</t>
  </si>
  <si>
    <t>Tee 1 1/2" PVC - Presión</t>
  </si>
  <si>
    <t>Tee 1 1/4 PVC - Presión</t>
  </si>
  <si>
    <t>Tee 1" PVC - Presión</t>
  </si>
  <si>
    <t>Tee 1/2" PVC - Presión</t>
  </si>
  <si>
    <t>Tee 3/4"    PVC - Presión</t>
  </si>
  <si>
    <t>Tee PVC-P 3/4" x 1/2"</t>
  </si>
  <si>
    <t>Tee Sencilla 2" Sanitaria</t>
  </si>
  <si>
    <t>Tee Sencilla 4" Sanitaria</t>
  </si>
  <si>
    <t xml:space="preserve">Teflon </t>
  </si>
  <si>
    <t>Teja de asbesto cemento No.6</t>
  </si>
  <si>
    <t>Templete</t>
  </si>
  <si>
    <t>Tierra negra fertilizada</t>
  </si>
  <si>
    <t>Toma de caucho 3 polos aérea</t>
  </si>
  <si>
    <t xml:space="preserve">Toma eléctrica doble P.T. </t>
  </si>
  <si>
    <t>Tornillo expansivo AH - 1614 5/16 x 3 "</t>
  </si>
  <si>
    <t>Tornillo expansivo HLC 10x80/48</t>
  </si>
  <si>
    <t>Tornillo goloso</t>
  </si>
  <si>
    <t>Tornillo Inoxidable Canal y Bajante Amazonas</t>
  </si>
  <si>
    <t>Tornillo Inoxidable Canal y Bajante PVC</t>
  </si>
  <si>
    <t>Tornillo lámina D=3/8"</t>
  </si>
  <si>
    <t>Tornillos 2"</t>
  </si>
  <si>
    <t>Transformador en poste bifásico de 15 Kva</t>
  </si>
  <si>
    <t>Transformador en poste trifásico de 15 Kva</t>
  </si>
  <si>
    <t>Transformador en poste trifásico de 30 Kva</t>
  </si>
  <si>
    <t>Triturado de máquina</t>
  </si>
  <si>
    <t xml:space="preserve">Tuberia A.N. 2 plg </t>
  </si>
  <si>
    <t xml:space="preserve">Tuberia PE AL PE amarilla gas 1216 1/2" </t>
  </si>
  <si>
    <t>Tubo A.N. 1 1/2 plg, 2 mm</t>
  </si>
  <si>
    <t>Tubo conduit EMT 1"</t>
  </si>
  <si>
    <t>Tubo conduit EMT 3/4"</t>
  </si>
  <si>
    <t>Tubo conduit PVC 3/4"</t>
  </si>
  <si>
    <t>Tubo cuadrado de 1/2 x 1/2 x 0,9</t>
  </si>
  <si>
    <t>Tubo cuadrado de 1-1/2" x 1-1/2" cal. 20</t>
  </si>
  <si>
    <t>Tubo Cuadrado de 3/4" x 3/4" cal. 20</t>
  </si>
  <si>
    <t>Tubo de cobre de 1/2" tipo L</t>
  </si>
  <si>
    <t>Tubo de cobre de 1" tipo L</t>
  </si>
  <si>
    <t>Tubo Galvanizado de 1/2"</t>
  </si>
  <si>
    <t>Tubo Galvanizado de 3/4</t>
  </si>
  <si>
    <t>Tubo Galvanizado de 1"</t>
  </si>
  <si>
    <t>Tubo Galvanizado de 1 1/2"</t>
  </si>
  <si>
    <t>Tubo pres/11 PVC 3/4"</t>
  </si>
  <si>
    <t>Tubo pres/21 PVC 1 1/2"</t>
  </si>
  <si>
    <t>Tubo pres/21 PVC 1 1/4</t>
  </si>
  <si>
    <t>Tubo pres/21 PVC 2"</t>
  </si>
  <si>
    <t>Tubo pres/9 PVC 1/2"</t>
  </si>
  <si>
    <t>Tubo PVC de 3"       Lluvias</t>
  </si>
  <si>
    <t>Tubo PVC de 4"       lluvias</t>
  </si>
  <si>
    <t>Tubo PVCP- RDE 21 2 1/2" UZ</t>
  </si>
  <si>
    <t>Tubo PVCP- RDE 21 2" UZ</t>
  </si>
  <si>
    <t>Tubo PVCP- RDE 21 3" UZ</t>
  </si>
  <si>
    <t>Tubo PVC-S     3"    Sanitaria</t>
  </si>
  <si>
    <t>Tubo PVC-V     3"</t>
  </si>
  <si>
    <t>Tubo PVC-V     4"</t>
  </si>
  <si>
    <t>Unión bajante rectangular PVC</t>
  </si>
  <si>
    <t>Unión canal a bajante Amazonas</t>
  </si>
  <si>
    <t>Unión Canal amazonas</t>
  </si>
  <si>
    <t>Unión EMT 1"</t>
  </si>
  <si>
    <t>Unión EMT 3/4"</t>
  </si>
  <si>
    <t>Unión PVC-P 1 1/2"</t>
  </si>
  <si>
    <t>Unión PVC-P 1 1/4"</t>
  </si>
  <si>
    <t>Unión PVC-P 2 plg</t>
  </si>
  <si>
    <t>Unión PVC-S 3 plg</t>
  </si>
  <si>
    <t>Unión PVC-S 4 plg</t>
  </si>
  <si>
    <t>Unión PVC-V    3"</t>
  </si>
  <si>
    <t>Universal en PVC 1 1/2"</t>
  </si>
  <si>
    <t>Valvula - Cheque cortina HICC Helbert  1 1/2" ; incluye accesorios</t>
  </si>
  <si>
    <t>Valvula de bola de 1" con bola de bronce y asiento en teflon</t>
  </si>
  <si>
    <t>Valvula de bola de 1/2" con bola de bronce y asiento en teflon</t>
  </si>
  <si>
    <t>Valvula pozuelo 1-1/2"  cobre</t>
  </si>
  <si>
    <t>Vara de clavo</t>
  </si>
  <si>
    <t>Varilla cuadrada de 1/2"</t>
  </si>
  <si>
    <t>Varilla de 5/8"</t>
  </si>
  <si>
    <t>Ventana corrediza proyec.alum.Cal.18. Negra</t>
  </si>
  <si>
    <t>Vinilo Color Tipo I</t>
  </si>
  <si>
    <t>Wing Aluminio</t>
  </si>
  <si>
    <t>Zuncho metálico 3/8"</t>
  </si>
  <si>
    <t>acero de refuerzo 60000</t>
  </si>
  <si>
    <t>EQUIPOS</t>
  </si>
  <si>
    <t>COSTOS DE MAQUINARIA Y EQUIPOS</t>
  </si>
  <si>
    <t>JORNADA DIARIA</t>
  </si>
  <si>
    <t>Tarifa hora/Unidad</t>
  </si>
  <si>
    <t>Tarifa -día</t>
  </si>
  <si>
    <t>Valor Actualizado</t>
  </si>
  <si>
    <t>Cargador tipo Cat - 904</t>
  </si>
  <si>
    <t>Compresor</t>
  </si>
  <si>
    <t>Compresor 2 martillos 185 PCM</t>
  </si>
  <si>
    <t>Compresor 2 martillos hora</t>
  </si>
  <si>
    <t>Cortadora para metal</t>
  </si>
  <si>
    <t>Cortadora para de concreto</t>
  </si>
  <si>
    <t>Equipo de topografía</t>
  </si>
  <si>
    <t>Equipo de Soldadura</t>
  </si>
  <si>
    <t>Equipo de soldadura electrica día</t>
  </si>
  <si>
    <t>Figuradora</t>
  </si>
  <si>
    <t>Pulidora</t>
  </si>
  <si>
    <t>Pulidora para trabajo pesado barranquilla día</t>
  </si>
  <si>
    <t>Pulidora pisos incluye piedras y ceras</t>
  </si>
  <si>
    <t>Formaleta</t>
  </si>
  <si>
    <t>Formaleta entrepiso por 4 semanas M2</t>
  </si>
  <si>
    <t>Formaleta entrepiso M2</t>
  </si>
  <si>
    <t>Herramienta Eléctrica</t>
  </si>
  <si>
    <t>Herramienta menor</t>
  </si>
  <si>
    <t>Mezcladora a gasolina</t>
  </si>
  <si>
    <t>Mezcladora a gasolina día</t>
  </si>
  <si>
    <t>Motosierra profesional</t>
  </si>
  <si>
    <t>Motosierra grande día</t>
  </si>
  <si>
    <t>Andamio metálico</t>
  </si>
  <si>
    <t>Andamio tubular</t>
  </si>
  <si>
    <t xml:space="preserve">Paral metálico </t>
  </si>
  <si>
    <t>Paral telescopico 2-4 mes</t>
  </si>
  <si>
    <t>Paral telescopico</t>
  </si>
  <si>
    <t>Poleas y Cuerdas</t>
  </si>
  <si>
    <t>Rana</t>
  </si>
  <si>
    <t>rana a gasolina día bogota</t>
  </si>
  <si>
    <t>Retroexcavadora orugas tipo 320 pala 1,2 m3</t>
  </si>
  <si>
    <t>retroexcavadora 420E CAB AA</t>
  </si>
  <si>
    <t>Retroexcavadora llantas Tipo Cat 428</t>
  </si>
  <si>
    <t>Retroexcavadora J.D510 $46 400Hora</t>
  </si>
  <si>
    <t>Tanque de agua</t>
  </si>
  <si>
    <t>Taladro Industrial</t>
  </si>
  <si>
    <t>Vibrocompactador a gasolina</t>
  </si>
  <si>
    <t>Vibrador electrico concreto 110</t>
  </si>
  <si>
    <t>Vibrador a gasolina</t>
  </si>
  <si>
    <t>vibrador a gasolina cali día</t>
  </si>
  <si>
    <t>Volqueta (6m3/Operario y combustible)</t>
  </si>
  <si>
    <t>Pluma (incluye operario, andamio y equipo de seguridad)</t>
  </si>
  <si>
    <t>Pluma electrica dos valdes día bogotá + jornal</t>
  </si>
  <si>
    <t>Carretilla tipo bogue</t>
  </si>
  <si>
    <t>carretilla</t>
  </si>
  <si>
    <t>Equipo entrepiso (incluye, formaleta, parales y cercha metálica)</t>
  </si>
  <si>
    <t>Cortadora ladrillo, incluye disco</t>
  </si>
  <si>
    <t>Cortadora de ladrillo</t>
  </si>
  <si>
    <t>Kit pintura (rodillo, brocha, lija, espatula)</t>
  </si>
  <si>
    <t>Equipo perforador de pilotes d = 0,30 mts</t>
  </si>
  <si>
    <t xml:space="preserve">Equipo perforador de pilotes d = 0,40 mts </t>
  </si>
  <si>
    <t xml:space="preserve">Equipo perforador de pilotes d = 0,60 mts </t>
  </si>
  <si>
    <t>Equipo perforador de pilotes d = 0,80 mts</t>
  </si>
  <si>
    <t xml:space="preserve">Equipo perforador de pilotes d = 0,90 mts </t>
  </si>
  <si>
    <t>Soplete (incluye cilindro gas)</t>
  </si>
  <si>
    <t>Motobomba</t>
  </si>
  <si>
    <t>Motobomba 2" día</t>
  </si>
  <si>
    <t>Canguro</t>
  </si>
  <si>
    <t>Canguro día</t>
  </si>
  <si>
    <t>Pulidora incluye piedras para pulido</t>
  </si>
  <si>
    <t>pulidora trabajo pesado baranquilla</t>
  </si>
  <si>
    <t>Cortadora de ladrillo incluye disco</t>
  </si>
  <si>
    <t>Broca tusteno de 1/4"</t>
  </si>
  <si>
    <t>Broca tusteno de 3/8"</t>
  </si>
  <si>
    <t>Broca tusteno de 1/2"</t>
  </si>
  <si>
    <t>Broca tusteno de 5/8"</t>
  </si>
  <si>
    <t xml:space="preserve">Grua </t>
  </si>
  <si>
    <t>Grua o cargador</t>
  </si>
  <si>
    <t xml:space="preserve">motoniveladora </t>
  </si>
  <si>
    <t>vibrocompactador tipo dinapac ca-15</t>
  </si>
  <si>
    <t>REPUBLICA DE COLOMBIA
MINISTERIO DE EDUCACIÓN NACIONAL</t>
  </si>
  <si>
    <t>CONSORCIO INTEGRAL DE OBRAS</t>
  </si>
  <si>
    <t>PRESUPUESTO  POR COMPONENTES</t>
  </si>
  <si>
    <t>ITEM</t>
  </si>
  <si>
    <t>DESCRIPCIÓN</t>
  </si>
  <si>
    <t xml:space="preserve">UNIDAD           DE                MEDIDA </t>
  </si>
  <si>
    <t>CANTIDAD</t>
  </si>
  <si>
    <t>VALOR                  UNITARIO</t>
  </si>
  <si>
    <t>VALOR                                  PARCIAL</t>
  </si>
  <si>
    <t>VALOR TOTAL                   POR CAPITULO</t>
  </si>
  <si>
    <t>ITEMS GENERALES</t>
  </si>
  <si>
    <t>VALOR UNITARIO GENERALES</t>
  </si>
  <si>
    <t>AULAS</t>
  </si>
  <si>
    <t>LABORATORIOS</t>
  </si>
  <si>
    <t>BATERIAS SANITARIAS</t>
  </si>
  <si>
    <t>CIRCULACIONES</t>
  </si>
  <si>
    <t>ESCALERAS Y/O OTRAS CIRCULACIONES</t>
  </si>
  <si>
    <t>TIPOS DE INSUMOS</t>
  </si>
  <si>
    <t>VALOR UNITARIO AULAS</t>
  </si>
  <si>
    <t>VALOR UNITARIO LABORATORIOS</t>
  </si>
  <si>
    <t>VALOR UNITARIO BATERIAS SANITARIAS</t>
  </si>
  <si>
    <t>VALOR UNITARIO CIRCULACIONES</t>
  </si>
  <si>
    <t>VALOR UNITARIO ESCALERAS Y/O OTRAS CIRC.</t>
  </si>
  <si>
    <t>MATERIALES</t>
  </si>
  <si>
    <t>MANO DE OBRA</t>
  </si>
  <si>
    <t>TRANSPORTES</t>
  </si>
  <si>
    <t>VLR UNITARIO</t>
  </si>
  <si>
    <t>VLR TOTAL</t>
  </si>
  <si>
    <t>PRELIMINARES</t>
  </si>
  <si>
    <t>1.1</t>
  </si>
  <si>
    <t>OBRAS PRELIMINARES</t>
  </si>
  <si>
    <t>1,1,1</t>
  </si>
  <si>
    <t>CAMPAMENTO Y BAÑOS (50M2)</t>
  </si>
  <si>
    <t>1.1.2</t>
  </si>
  <si>
    <t>ALQUILER CAMPAMENTO</t>
  </si>
  <si>
    <t>1.1.3</t>
  </si>
  <si>
    <t>LIMPIEZA, DESCAPOTE Y RETIRO DE SOBRANTES</t>
  </si>
  <si>
    <t>1.1.4</t>
  </si>
  <si>
    <t>LOCALIZACIÓN Y REPLANTEO</t>
  </si>
  <si>
    <t>1.1.6</t>
  </si>
  <si>
    <t>CERRAMIENTO PROVISIONAL EN LONA VERDE H=2,00 M</t>
  </si>
  <si>
    <t>1,1,7</t>
  </si>
  <si>
    <t xml:space="preserve">LOCALIZACIÓN Y REPLANTEO MANUAL </t>
  </si>
  <si>
    <t>1.2</t>
  </si>
  <si>
    <t>INSTALACION SERVICIOS PROVISIONALES</t>
  </si>
  <si>
    <t>1.2.1</t>
  </si>
  <si>
    <t>INSTALACIÓN PROVISIONAL DE AGUA</t>
  </si>
  <si>
    <t>1.2.2</t>
  </si>
  <si>
    <t>INSTALACIÓN PROVISIONAL DE ENERGÍA</t>
  </si>
  <si>
    <t>1.2.3</t>
  </si>
  <si>
    <t>INSTALACIÓN PROVISIONAL DE TELÉFONOS</t>
  </si>
  <si>
    <t>1.3</t>
  </si>
  <si>
    <t>DEMOLICIONES</t>
  </si>
  <si>
    <t>1.3.1</t>
  </si>
  <si>
    <t>DESMONTE DE CUBIERTA</t>
  </si>
  <si>
    <t>1.3.2</t>
  </si>
  <si>
    <t>DEMOLICION DE MUROS DE 0,10 A 0,30 MTS</t>
  </si>
  <si>
    <t>1.3.3</t>
  </si>
  <si>
    <t>DEMOLICION DE ENCHAPE MUROS</t>
  </si>
  <si>
    <t>1.3.4</t>
  </si>
  <si>
    <t>DEMOLICION DE CIMIENTOS</t>
  </si>
  <si>
    <t>1.3.5</t>
  </si>
  <si>
    <t>DEMOLICION DE VIGAS Y COLUMNAS</t>
  </si>
  <si>
    <t>1.3.6</t>
  </si>
  <si>
    <t>DEMOLICIÓN DE PLACA MACIZA</t>
  </si>
  <si>
    <t>1.3.7</t>
  </si>
  <si>
    <t>DESMONTE DE APARATOS SANITARIOS</t>
  </si>
  <si>
    <t>1.4</t>
  </si>
  <si>
    <t>VARIOS</t>
  </si>
  <si>
    <t>1.4.1</t>
  </si>
  <si>
    <t>TALA DE ÁRBOLES</t>
  </si>
  <si>
    <t>1.4.2</t>
  </si>
  <si>
    <t>TRASLADO DE POSTES</t>
  </si>
  <si>
    <t>1.4.3</t>
  </si>
  <si>
    <t>TALA DE ÁRBOLES DE 1 A  5 MTS</t>
  </si>
  <si>
    <t>1.4.4</t>
  </si>
  <si>
    <t>TALA DE ÁRBOLES DE 5,01 A 10 MTS</t>
  </si>
  <si>
    <t>1.4.5</t>
  </si>
  <si>
    <t>TALA DE ÁRBOLES DE 10,01 MTS A 15 MTS</t>
  </si>
  <si>
    <t>1.4.6</t>
  </si>
  <si>
    <t>TALA DE ÁRBOLES DE 15,01 MTS A 20 MTS</t>
  </si>
  <si>
    <t>1.4.7</t>
  </si>
  <si>
    <t>TALA DE ÁRBOLES DE 20 MTS EN ADELANTE</t>
  </si>
  <si>
    <t>1,4,8</t>
  </si>
  <si>
    <t>TRASLADO DE ARBOLES DE 5 A 10 MTS</t>
  </si>
  <si>
    <t>CIMENTACION</t>
  </si>
  <si>
    <t>2.1</t>
  </si>
  <si>
    <t>EXCAVACIONES, RELLENOS Y REEMPLAZOS</t>
  </si>
  <si>
    <t>2.1.1</t>
  </si>
  <si>
    <t>EXCAVACIÓN MECÁNICA EN MATERIAL COMÚN</t>
  </si>
  <si>
    <t>2.1.2</t>
  </si>
  <si>
    <t>EXCAVACIÓN MANUAL EN MATERIAL COMÚN</t>
  </si>
  <si>
    <t>2.1.3</t>
  </si>
  <si>
    <t>EXCAVACIÓN MANUAL EN SUBBASE DE RECEBO</t>
  </si>
  <si>
    <t>2.1.4</t>
  </si>
  <si>
    <t>EXCAVACIÓN MANUAL CAISSONS</t>
  </si>
  <si>
    <t>2.1.5</t>
  </si>
  <si>
    <t>2.1.6</t>
  </si>
  <si>
    <t>RELLENOS SELECCIONADO EN OBRA</t>
  </si>
  <si>
    <t>2.1.7</t>
  </si>
  <si>
    <t>SUBBASE EN RECEBO COMPACTADO</t>
  </si>
  <si>
    <t>2.1.8</t>
  </si>
  <si>
    <t>GEOTEXTIL NT</t>
  </si>
  <si>
    <t>2.1.9</t>
  </si>
  <si>
    <t xml:space="preserve">GEOTEXTIL TEJIDO </t>
  </si>
  <si>
    <t>2,1,10</t>
  </si>
  <si>
    <t xml:space="preserve">RELLENOS EN RECEBO COMPACTADO AL 90% </t>
  </si>
  <si>
    <t>2.2</t>
  </si>
  <si>
    <t>CONCRETOS DE CIMENTACIÓN</t>
  </si>
  <si>
    <t>2.2.1</t>
  </si>
  <si>
    <t xml:space="preserve">CONCRETO POBRE DE LIMPIEZA </t>
  </si>
  <si>
    <t>2.2.2</t>
  </si>
  <si>
    <t>CONCRETO CICLÓPEO (60% concreto y 40% rajón)</t>
  </si>
  <si>
    <t>2.2.3</t>
  </si>
  <si>
    <t>MUROS DE CONTENCIÓN</t>
  </si>
  <si>
    <t>2.2.4</t>
  </si>
  <si>
    <t>CONCRETO PARA ZAPATAS</t>
  </si>
  <si>
    <t>2.2.5</t>
  </si>
  <si>
    <t>VIGAS DE CIMENTACIÓN</t>
  </si>
  <si>
    <t>2.2.6</t>
  </si>
  <si>
    <t>PILOTES</t>
  </si>
  <si>
    <t>2.2.6.1</t>
  </si>
  <si>
    <t>PILOTES PREEXCAVADOS DE 0,30 mts</t>
  </si>
  <si>
    <t>2.2.6.2</t>
  </si>
  <si>
    <t>PILOTES PREEXCAVADOS DE 0,40 mts</t>
  </si>
  <si>
    <t>2.2.6.3</t>
  </si>
  <si>
    <t>PILOTES PREEXCAVADOS DE 0,60 mts</t>
  </si>
  <si>
    <t>2.2.6.4</t>
  </si>
  <si>
    <t>PILOTES PREEXCAVADOS DE 0,80 mts</t>
  </si>
  <si>
    <t>2.2.6.5</t>
  </si>
  <si>
    <t>PILOTES PREEXCAVADOS DE 0,90 MTS</t>
  </si>
  <si>
    <t>2.2.7</t>
  </si>
  <si>
    <t>DADOS EN CONCRETO</t>
  </si>
  <si>
    <t>2.2.8</t>
  </si>
  <si>
    <t>LOSA DE CIMENTACIÓN ALIGERADA h= 0,60</t>
  </si>
  <si>
    <t>2.2.9</t>
  </si>
  <si>
    <t>PLACAS DE CONTRAPISO E = 0,10 M</t>
  </si>
  <si>
    <t>2.2.10</t>
  </si>
  <si>
    <t>PLACAS DE CONTRAPISO E = 0,125 M</t>
  </si>
  <si>
    <t>2.2.11</t>
  </si>
  <si>
    <t>PLACAS DE CONTRAPISO E = 0,15 M</t>
  </si>
  <si>
    <t>2.3</t>
  </si>
  <si>
    <t>REFUERZOS DE CIMENTACIÓN</t>
  </si>
  <si>
    <t>2.3.1</t>
  </si>
  <si>
    <t xml:space="preserve">ACERO DE REFUERZO 37000 </t>
  </si>
  <si>
    <t>2.3.2</t>
  </si>
  <si>
    <t xml:space="preserve">ACERO DE REFUERZO 60000 </t>
  </si>
  <si>
    <t>2.3.3</t>
  </si>
  <si>
    <t>MALLAS ELECTROSOLDADAS</t>
  </si>
  <si>
    <t>2.4</t>
  </si>
  <si>
    <t>2.4.1</t>
  </si>
  <si>
    <t>GAVIONES EN PIEDRA</t>
  </si>
  <si>
    <t>2.4.2</t>
  </si>
  <si>
    <t>CAJÓN AISLAMIENTO VIGAS</t>
  </si>
  <si>
    <t>2.4.3</t>
  </si>
  <si>
    <t>ICOPOR AISLAMIENTO CIMENTACIÓN</t>
  </si>
  <si>
    <t>2.4.4</t>
  </si>
  <si>
    <t>PAÑETES TALUDES EXCAVACIÓN</t>
  </si>
  <si>
    <t>DESAGÜES E INSTALACIONES SUBTERRÁNEAS</t>
  </si>
  <si>
    <t>3.1</t>
  </si>
  <si>
    <t>DESAGÜES PARA AGUAS LLUVIAS</t>
  </si>
  <si>
    <t>3.1.1</t>
  </si>
  <si>
    <t>TUBERIAS NOVAFORT A.LL 4"  110 mm</t>
  </si>
  <si>
    <t>3.1.2</t>
  </si>
  <si>
    <t>TUBERIA PVC NOVAFORT  A.LL. 6" 160 mm</t>
  </si>
  <si>
    <t>3.1.3</t>
  </si>
  <si>
    <t>TUBERIAS NOVAFORT A.LL. 8"  200 mm</t>
  </si>
  <si>
    <t>3.1.4</t>
  </si>
  <si>
    <t>TUBERIAS NOVAFORT A.LL. 10"  255 mm</t>
  </si>
  <si>
    <t>3.1.5</t>
  </si>
  <si>
    <t>TUBERIAS NOVAFORT A.LL. 12"  315 mm</t>
  </si>
  <si>
    <t>3,1,6</t>
  </si>
  <si>
    <t>ACCESORIOS NOVAFORT  A.LL.</t>
  </si>
  <si>
    <t>3.2.</t>
  </si>
  <si>
    <t>DESAGÜES PARA AGUAS NEGRAS</t>
  </si>
  <si>
    <t>3.2.1</t>
  </si>
  <si>
    <t>TUBERIAS NOVAFORT  A.N. 4"  110 mm</t>
  </si>
  <si>
    <t>3.2.2</t>
  </si>
  <si>
    <t>TUBERIA PVC NOVAFORT A.N.  6"  160 mm</t>
  </si>
  <si>
    <t>3.2.3</t>
  </si>
  <si>
    <t>TUBERIAS NOVAFORT A.N. 8"  200 mm</t>
  </si>
  <si>
    <t>3.2.4</t>
  </si>
  <si>
    <t>TUBERIAS NOVAFORT A.N. 10"  255 mm</t>
  </si>
  <si>
    <t>3.2.5</t>
  </si>
  <si>
    <t>TUBERIAS NOVAFORT A.N. 12"  315 mm</t>
  </si>
  <si>
    <t>3.2.6</t>
  </si>
  <si>
    <t>ACCESORIOS A.N. NOVAFORT</t>
  </si>
  <si>
    <t>3.3</t>
  </si>
  <si>
    <t>DRENAJES</t>
  </si>
  <si>
    <t>3.3.1</t>
  </si>
  <si>
    <t>TUBERIAS PVC PARA DRENAJES 3"</t>
  </si>
  <si>
    <t>3.3.2</t>
  </si>
  <si>
    <t>TUBERIAS PVC PARA DRENAJES 4"</t>
  </si>
  <si>
    <t>3.3.3</t>
  </si>
  <si>
    <t>ACCESORIOS PVC PARA DRENAJES 3"</t>
  </si>
  <si>
    <t>3.3.4</t>
  </si>
  <si>
    <t>ZANJA INFILTRACIóN PVC-S  4"</t>
  </si>
  <si>
    <t>3.3.5</t>
  </si>
  <si>
    <t>FILTROS SUBTERRANEOS EN GRAVILLA</t>
  </si>
  <si>
    <t>3,3,6</t>
  </si>
  <si>
    <t>POZO DE INFILTRACIÓN Diam. =2,5 H=4.00m</t>
  </si>
  <si>
    <t>3.4</t>
  </si>
  <si>
    <t>CONSTRUCCIONES EN MAMPOSTERÍA</t>
  </si>
  <si>
    <t>3.4.1</t>
  </si>
  <si>
    <t>CAJAS DE INSPECCIÓN 0,60 X 0,60 mts</t>
  </si>
  <si>
    <t>3.4.2</t>
  </si>
  <si>
    <t>CAJAS DE INSPECCIÓN 0,80 X 0,80 mts</t>
  </si>
  <si>
    <t>3.4.3</t>
  </si>
  <si>
    <t>CAJAS DE INSPECCIÓN 1,00 X 1,00 mts</t>
  </si>
  <si>
    <t>3.4.4</t>
  </si>
  <si>
    <t>CAJAS DE DISTRIBUCIóN 0,40 X 0,40 mts</t>
  </si>
  <si>
    <t>SUMIDEROS  AGUAS LLUVIAS</t>
  </si>
  <si>
    <t>3.4.5</t>
  </si>
  <si>
    <t>CANALETAS  AGUAS LLUVIAS</t>
  </si>
  <si>
    <t>3.4.6</t>
  </si>
  <si>
    <t>CARCAMO PARA AGUAS LLUVIAS</t>
  </si>
  <si>
    <t>3.4.7</t>
  </si>
  <si>
    <t>TRAMPA DE GRASAS</t>
  </si>
  <si>
    <t>3,4,8</t>
  </si>
  <si>
    <t>POZOS SÉPTICOS 5,00 x 3,00  h= 2,00</t>
  </si>
  <si>
    <t>3.5</t>
  </si>
  <si>
    <t>MOVIMIENTO DE TIERRAS</t>
  </si>
  <si>
    <t>3.5.1</t>
  </si>
  <si>
    <t>3.5.2</t>
  </si>
  <si>
    <t>EXCAVACIÓN MANUAL EN RECEBO COMPACTADO</t>
  </si>
  <si>
    <t>3.5.3</t>
  </si>
  <si>
    <t xml:space="preserve">RELLENOS CON MATERIAL SELECCIONADO </t>
  </si>
  <si>
    <t>3.5.4</t>
  </si>
  <si>
    <t>RELLENOS CON MATERIAL COMÚN</t>
  </si>
  <si>
    <t>3.5.5</t>
  </si>
  <si>
    <t>RETIRO DE SOBRANTES</t>
  </si>
  <si>
    <t>3.6.1</t>
  </si>
  <si>
    <t>EMPATE A CÁMARAS EXISTENTES</t>
  </si>
  <si>
    <t>ESTRUCTURAS EN CONCRETO Y METALICAS</t>
  </si>
  <si>
    <t>4.1</t>
  </si>
  <si>
    <t>ELEMENTOS VERTICALES</t>
  </si>
  <si>
    <t>4.1.1</t>
  </si>
  <si>
    <t xml:space="preserve">COLUMNAS EN CONCRETO </t>
  </si>
  <si>
    <t>4.1.2</t>
  </si>
  <si>
    <t xml:space="preserve">PANTALLAS EN CONCRETO </t>
  </si>
  <si>
    <t>4.1.3</t>
  </si>
  <si>
    <t>MUROS EN CONCRETO</t>
  </si>
  <si>
    <t>4.2</t>
  </si>
  <si>
    <t>ELEMENTOS HORIZONTALES</t>
  </si>
  <si>
    <t>4.2.1</t>
  </si>
  <si>
    <t xml:space="preserve">VIGAS AÉREAS EN CONCRETO </t>
  </si>
  <si>
    <t>4.2.2</t>
  </si>
  <si>
    <t xml:space="preserve">VIGAS CANALES EN CONCRETO </t>
  </si>
  <si>
    <t>4.2.3</t>
  </si>
  <si>
    <t xml:space="preserve">VIGAS PREFABRICADAS EN CONCRETO </t>
  </si>
  <si>
    <t>4.3</t>
  </si>
  <si>
    <t>PLACAS Y LOSAS DE ENTREPISO</t>
  </si>
  <si>
    <t>4.3.1</t>
  </si>
  <si>
    <t>LOSAS ALIGERADAS CON CASETON; DE  E = 0.60 M</t>
  </si>
  <si>
    <t>4.3.2</t>
  </si>
  <si>
    <t>LOSAS ALIGERADAS CON CASETON; DE  E = 0.50 M</t>
  </si>
  <si>
    <t>4.3.3</t>
  </si>
  <si>
    <t>LOSAS ALIGERADAS CON CASETON DE  E = 0.45 M</t>
  </si>
  <si>
    <t>4.3.4</t>
  </si>
  <si>
    <t>LOSAS ALIGERADAS CON CASETON DE  E = 0.40 M</t>
  </si>
  <si>
    <t>4.3.5</t>
  </si>
  <si>
    <t>LOSAS CON PLAQUETAS Y VIGUETAS PREFABRICADAS</t>
  </si>
  <si>
    <t>4.3.6</t>
  </si>
  <si>
    <t>PLACA MACIZA E = 0,20 M</t>
  </si>
  <si>
    <t>4.3.7</t>
  </si>
  <si>
    <t>PLACA MACIZA E=0,125</t>
  </si>
  <si>
    <t>4.3.8</t>
  </si>
  <si>
    <t>PLACA MACIZA E=0,10</t>
  </si>
  <si>
    <t>4.3.9</t>
  </si>
  <si>
    <t>PLACA MACIZA E=0,15</t>
  </si>
  <si>
    <t>4.4</t>
  </si>
  <si>
    <t>CONSTRUCCIONES VARIAS EN CONCRETO</t>
  </si>
  <si>
    <t>4.4.1</t>
  </si>
  <si>
    <t>ESCALERAS EN CONCRETO</t>
  </si>
  <si>
    <t>4.4.2</t>
  </si>
  <si>
    <t>RAMPAS EN CONCRETO</t>
  </si>
  <si>
    <t>4.4.3</t>
  </si>
  <si>
    <t>POZO SEPTICO EN CONCRETO DE 20 M3</t>
  </si>
  <si>
    <t>4.4.4</t>
  </si>
  <si>
    <t xml:space="preserve">POZO SEPTICO EN CONCRETO </t>
  </si>
  <si>
    <t>4.5</t>
  </si>
  <si>
    <t>ACEROS DE REFUERZO</t>
  </si>
  <si>
    <t>4.5.1</t>
  </si>
  <si>
    <t>4.5.2</t>
  </si>
  <si>
    <t>ACERO DE REFUERZO 60000</t>
  </si>
  <si>
    <t>4.5.3</t>
  </si>
  <si>
    <t>4.6</t>
  </si>
  <si>
    <t>ESTRUCTURA METÁLICA</t>
  </si>
  <si>
    <t>4.6.1</t>
  </si>
  <si>
    <t>ELEMENTOS ESTRUCTURALES</t>
  </si>
  <si>
    <t>4.6.1.1</t>
  </si>
  <si>
    <t>VIGAS</t>
  </si>
  <si>
    <t>4.6.1.2</t>
  </si>
  <si>
    <t>VIGUETAS</t>
  </si>
  <si>
    <t>4.6.1.3</t>
  </si>
  <si>
    <t>COLUMNAS</t>
  </si>
  <si>
    <t>4.6.1.4</t>
  </si>
  <si>
    <t>PORTICOS</t>
  </si>
  <si>
    <t>4.6.1.5</t>
  </si>
  <si>
    <t>ENTREPISOS</t>
  </si>
  <si>
    <t>4.6.1.6</t>
  </si>
  <si>
    <t>ANCLAJES</t>
  </si>
  <si>
    <t>4.6.2</t>
  </si>
  <si>
    <t>ELEMENTOS PARA CUBIERTAS</t>
  </si>
  <si>
    <t>4.6.2.1</t>
  </si>
  <si>
    <t>4.6.2.2</t>
  </si>
  <si>
    <t>4.6.2.3</t>
  </si>
  <si>
    <t>CERCHAS METALICA</t>
  </si>
  <si>
    <t>4.6.2.4</t>
  </si>
  <si>
    <t>CORREAS EN PERFIL DE ACERO NEGRO TIPO C, GRADO 50, SEGúN DISEÑO ESTRUCTURAL (Remitirse a planos estructurales)</t>
  </si>
  <si>
    <t>4.6.2.5</t>
  </si>
  <si>
    <t>TEMPLETE</t>
  </si>
  <si>
    <t>4.6.2.6</t>
  </si>
  <si>
    <t>ESTRUCTURA EN MADERA</t>
  </si>
  <si>
    <t>4.7.1</t>
  </si>
  <si>
    <t>PARA CUBIERTAS</t>
  </si>
  <si>
    <t>4.7.1.1</t>
  </si>
  <si>
    <t>CERCHAS</t>
  </si>
  <si>
    <t>4.7.1.2</t>
  </si>
  <si>
    <t>CORREAS</t>
  </si>
  <si>
    <t>MAMPOSTERIA</t>
  </si>
  <si>
    <t>5.1</t>
  </si>
  <si>
    <t>MAMPOSTERIA EN BLOQUES DE CONCRETO</t>
  </si>
  <si>
    <t>5.1.1</t>
  </si>
  <si>
    <t>BLOQUE DE CONCRETO ESTRUCTURAL E= 0,12 m</t>
  </si>
  <si>
    <t>5.1.2</t>
  </si>
  <si>
    <t>MUROS EN BLOQUE DIVISORIO LISO</t>
  </si>
  <si>
    <t>5.1.3</t>
  </si>
  <si>
    <t>MUROS EN BLOQUE TIPO PIEDRA</t>
  </si>
  <si>
    <t>5.1.4</t>
  </si>
  <si>
    <t>MUROS EN BLOQUE DE CONCRETO ESTRIADO</t>
  </si>
  <si>
    <t>5.1.5</t>
  </si>
  <si>
    <t>CALADOS EN CONCRETO PREFABRICADO SEGÚN DETALLE ARQUITECTONICO</t>
  </si>
  <si>
    <t>5,1,6</t>
  </si>
  <si>
    <t>MUROS DE BLOQUE DE CONCRETO  CON CELDA VERTICAL, TIPO PIEDRA PARA FACHADA  E = 0,12 M</t>
  </si>
  <si>
    <t>5,1,7</t>
  </si>
  <si>
    <t>MUROS EN BLOQUE DE CONCRETO ESTRUCTURAL  E = 0,09 m</t>
  </si>
  <si>
    <t>5.2</t>
  </si>
  <si>
    <t>MAMPOSTERÍA EN LADRILLO DE ARCILLA</t>
  </si>
  <si>
    <t>5.2.1</t>
  </si>
  <si>
    <t>MUROS EN LADRILLO   (Tolete común)  e = 0,06 m</t>
  </si>
  <si>
    <t>5.2.2</t>
  </si>
  <si>
    <t>MUROS EN LADRILLO  TOLETE FINO PERFORADO E = 0,12 m</t>
  </si>
  <si>
    <t>5.2.3</t>
  </si>
  <si>
    <t>MUROS EN LADRILLO TOLETE COMÚN PARA SOBRECIMIENTO DE e = 0,12 m</t>
  </si>
  <si>
    <t>5.2.4</t>
  </si>
  <si>
    <t>MUROS EN LADRILLO PORTANTE PRENSADO</t>
  </si>
  <si>
    <t>5.2.5</t>
  </si>
  <si>
    <t>MUROS EN LADRILLO PORTANTE TREFILADO</t>
  </si>
  <si>
    <t>5.2.6</t>
  </si>
  <si>
    <t>MUROS DIVISORIOS EN BLOQUE Nº 4</t>
  </si>
  <si>
    <t>5.3</t>
  </si>
  <si>
    <t>ELEMENTOS EN MAMPOSTERIA</t>
  </si>
  <si>
    <t>5.3.1</t>
  </si>
  <si>
    <t>ENCHAPES EN LADRILLO DE ARCILLA</t>
  </si>
  <si>
    <t>5.3.2</t>
  </si>
  <si>
    <t>ENCHAPES EN BLOQUE DE CONCRETO</t>
  </si>
  <si>
    <t>5.3.3</t>
  </si>
  <si>
    <t>ALFAJÍAS EN LADRILLO DE ARCILLA</t>
  </si>
  <si>
    <t>5.3.4</t>
  </si>
  <si>
    <t>REMATES EN LADRILLO DE ARCILLA</t>
  </si>
  <si>
    <t>5.3.5</t>
  </si>
  <si>
    <t>REMATES EN BLOQUE DE CONCRETO</t>
  </si>
  <si>
    <t>5.4</t>
  </si>
  <si>
    <t>ELEMENTOS ESTRUCTURALES Y NO ESTRUCTURALES</t>
  </si>
  <si>
    <t>5.4.1</t>
  </si>
  <si>
    <t>GROUTING - CONCRETO FLUIDO</t>
  </si>
  <si>
    <t>5.4.2</t>
  </si>
  <si>
    <t xml:space="preserve">REMATES MUROS EN  CONCRETO REFORZADO </t>
  </si>
  <si>
    <t>5.5</t>
  </si>
  <si>
    <t>REFUERZOS DE MAMPOSTERÍA</t>
  </si>
  <si>
    <t>5.5.1</t>
  </si>
  <si>
    <t>ANCLAJE EPOXICO 3/8" DE 12 CM</t>
  </si>
  <si>
    <t>5.5.2</t>
  </si>
  <si>
    <t>ACERO DE REFUERZO 37000</t>
  </si>
  <si>
    <t>5.5.3</t>
  </si>
  <si>
    <t>5.5.4</t>
  </si>
  <si>
    <t>GRAFILES DE ACERO</t>
  </si>
  <si>
    <t>5.6</t>
  </si>
  <si>
    <t>VARIOS DE MAMPOSTERÍA</t>
  </si>
  <si>
    <t>5.6.1</t>
  </si>
  <si>
    <t>INSTALACIÓN CARPINTERÍA METÁLICA</t>
  </si>
  <si>
    <t>PREFABRICADOS</t>
  </si>
  <si>
    <t>6.1</t>
  </si>
  <si>
    <t>ELEMENTOS PREFABRICADOS EN CONCRETO</t>
  </si>
  <si>
    <t>6.1.1</t>
  </si>
  <si>
    <t xml:space="preserve">ALFAJÍAS EN CONCRETO </t>
  </si>
  <si>
    <t>6.1.2</t>
  </si>
  <si>
    <t>DINTELES EN CONCRETO</t>
  </si>
  <si>
    <t>6.1.3</t>
  </si>
  <si>
    <t>REMATES SOBRE MAMPOSTERIA</t>
  </si>
  <si>
    <t>6.1.4</t>
  </si>
  <si>
    <t>PASAMANOS EN CONCRETO</t>
  </si>
  <si>
    <t>6.1.5</t>
  </si>
  <si>
    <t>PANELES DIVISORIOS PARA CABINAS DE BAÑOS</t>
  </si>
  <si>
    <t>6.1.6</t>
  </si>
  <si>
    <t>PLAQUETAS  PROTECCION CUBIERTAS</t>
  </si>
  <si>
    <t>6.1.7</t>
  </si>
  <si>
    <t xml:space="preserve">PLAQUETAS PISO ESCENARIO </t>
  </si>
  <si>
    <t>6.1.8</t>
  </si>
  <si>
    <t>VIGUETAS PARA PERGOLAS</t>
  </si>
  <si>
    <t>6.1.9</t>
  </si>
  <si>
    <t>GARGOLAS PREFABRICADAS EN CONCRETO</t>
  </si>
  <si>
    <t>6.1.10</t>
  </si>
  <si>
    <t>GRADAS EN CONCRETO</t>
  </si>
  <si>
    <t>6.1.11</t>
  </si>
  <si>
    <t>PLAQUETAS PISOS EN CONCRETO</t>
  </si>
  <si>
    <t>6.1.12</t>
  </si>
  <si>
    <t>ZOCALOS CIRCULACIONES</t>
  </si>
  <si>
    <t>6.1.13</t>
  </si>
  <si>
    <t xml:space="preserve">ENTREPAÑOS MUEBLES </t>
  </si>
  <si>
    <t>6.1.14</t>
  </si>
  <si>
    <t>BANCAS EN CONCRETO</t>
  </si>
  <si>
    <t>6.1.15</t>
  </si>
  <si>
    <t>BORDILLO PARA DUCHAS Y ASEOS</t>
  </si>
  <si>
    <t>6.1.16</t>
  </si>
  <si>
    <t>CELOSIAS EN CONCRETO</t>
  </si>
  <si>
    <t>6.1.17</t>
  </si>
  <si>
    <t>CARCAMOS DE AGUAS LLUVIAS</t>
  </si>
  <si>
    <t>6.1.18</t>
  </si>
  <si>
    <t xml:space="preserve">CAÑUELAS PERIMETRALES AGUAS LLUVIAS </t>
  </si>
  <si>
    <t>6.2</t>
  </si>
  <si>
    <t>ELEMENTOS EN CONCRETO FUNDIDOS EN SITIO</t>
  </si>
  <si>
    <t>6.2.1</t>
  </si>
  <si>
    <t>MESONES EN CONCRETO</t>
  </si>
  <si>
    <t>6.2.2</t>
  </si>
  <si>
    <t>MESONES  PARA LAVAMANOS  INCLUYE GRANITO PULIDO</t>
  </si>
  <si>
    <t>6.2.3</t>
  </si>
  <si>
    <t>MESONES PARA LABORATORIO</t>
  </si>
  <si>
    <t>6.2.4</t>
  </si>
  <si>
    <t>6.2.5</t>
  </si>
  <si>
    <t>6.2.6</t>
  </si>
  <si>
    <t xml:space="preserve">TAPAS SOBRE MANPOSTERIA </t>
  </si>
  <si>
    <t>6.2.7</t>
  </si>
  <si>
    <t xml:space="preserve">ZOCALOS PARA BASES MUROS </t>
  </si>
  <si>
    <t>6.2.8</t>
  </si>
  <si>
    <t>ALFAJÍAS EN CONCRETO FUNDIDAS EN SITIO</t>
  </si>
  <si>
    <t>6.3</t>
  </si>
  <si>
    <t>ELEMENTOS EN LAMINAS DE FIBROCEMENTO</t>
  </si>
  <si>
    <t>6.3.1</t>
  </si>
  <si>
    <t>TABIQUES DIVISORIOS</t>
  </si>
  <si>
    <t>6.3.2</t>
  </si>
  <si>
    <t>TABIQUES DECORATIVOS</t>
  </si>
  <si>
    <t>6.3.3</t>
  </si>
  <si>
    <t>DUCTOS PARA INSTALACIONES</t>
  </si>
  <si>
    <t>6.3.4</t>
  </si>
  <si>
    <t>PROTECCION ESTRUCTURAS METALICAS</t>
  </si>
  <si>
    <t>6.3.5</t>
  </si>
  <si>
    <t>DESCOLGADOS</t>
  </si>
  <si>
    <t>6.3.6</t>
  </si>
  <si>
    <t>ALEROS</t>
  </si>
  <si>
    <t>6.3.7</t>
  </si>
  <si>
    <t>TAPASOLES</t>
  </si>
  <si>
    <t>INSTALACION HIDROSANITARIA Y DE GAS</t>
  </si>
  <si>
    <t>INSTALACION HIDROSANITARIA</t>
  </si>
  <si>
    <t>7.1.1</t>
  </si>
  <si>
    <t>ACOMETIDA</t>
  </si>
  <si>
    <t>7.1.1.1</t>
  </si>
  <si>
    <t>Acometida PVC-P 2" (Incluye excavación y Relleno)</t>
  </si>
  <si>
    <t>7.1.1.2</t>
  </si>
  <si>
    <t xml:space="preserve">Accesorios PVC-P  2" </t>
  </si>
  <si>
    <t>7.1.1.3</t>
  </si>
  <si>
    <t>Tuberias  HG</t>
  </si>
  <si>
    <t>7.1.1.4</t>
  </si>
  <si>
    <t>Accesorios HG</t>
  </si>
  <si>
    <t>7.1.1.5</t>
  </si>
  <si>
    <t xml:space="preserve">Bajantes Aguas  Negras PVC-S   3" </t>
  </si>
  <si>
    <t>7.1.1.6</t>
  </si>
  <si>
    <t xml:space="preserve">Bajantes Aguas  Negras PVC-S   4" </t>
  </si>
  <si>
    <t>7.1.2</t>
  </si>
  <si>
    <t>CONEXIÓN A TANQUES DE AGUA</t>
  </si>
  <si>
    <t>7.1.2.1</t>
  </si>
  <si>
    <t xml:space="preserve">Tuberias HG 1" </t>
  </si>
  <si>
    <t>7.1.2.2</t>
  </si>
  <si>
    <t>Accesorios HG 1"</t>
  </si>
  <si>
    <t>7.1.2.3</t>
  </si>
  <si>
    <t>Flotador Mecánico incluye accesorios</t>
  </si>
  <si>
    <t>7.1.2.4</t>
  </si>
  <si>
    <t xml:space="preserve">Suministro e intalación tanques de reseva de  2000 lts </t>
  </si>
  <si>
    <t>7.1.3</t>
  </si>
  <si>
    <t>CUARTO DE BOMBAS AGUA POTABLE</t>
  </si>
  <si>
    <t>7.1.3.1</t>
  </si>
  <si>
    <t>7.1.3.2</t>
  </si>
  <si>
    <t>Accesorios HG "  1"</t>
  </si>
  <si>
    <t>7.1.3.3</t>
  </si>
  <si>
    <t>Registros P/D Red White o Kitz  1"</t>
  </si>
  <si>
    <t>7.1.3.4</t>
  </si>
  <si>
    <t>Cheques tipo Helbert  1"</t>
  </si>
  <si>
    <t>7.1.3.5</t>
  </si>
  <si>
    <t>Bridas</t>
  </si>
  <si>
    <t>7.1.3.6</t>
  </si>
  <si>
    <t>Uniones flexibles</t>
  </si>
  <si>
    <t>7.1.3.7</t>
  </si>
  <si>
    <t>Tanque subterraneo de agua potable Inlcuye cuarto para bomba</t>
  </si>
  <si>
    <t>7.1.4</t>
  </si>
  <si>
    <t>CUARTO DE BOMBAS AGUAS LLUVIAS</t>
  </si>
  <si>
    <t>7.1.4.1</t>
  </si>
  <si>
    <t xml:space="preserve">Tuberias HG 1 1.2" </t>
  </si>
  <si>
    <t>7.1.4.2</t>
  </si>
  <si>
    <t>Accesorios HG "  1 1/2"</t>
  </si>
  <si>
    <t>7.1.4.3</t>
  </si>
  <si>
    <t>Registros P/D Red White o Kitz 1 1.2"</t>
  </si>
  <si>
    <t>7.1.4.4</t>
  </si>
  <si>
    <t>Cheques tipo Helbert  1 1.2"</t>
  </si>
  <si>
    <t>7.1.4.5</t>
  </si>
  <si>
    <t>7.1.4.6</t>
  </si>
  <si>
    <t>7.1.4.7</t>
  </si>
  <si>
    <t>Otros</t>
  </si>
  <si>
    <t>7.1.5</t>
  </si>
  <si>
    <t>REGISTROS P/D</t>
  </si>
  <si>
    <t>7.1.5.1</t>
  </si>
  <si>
    <t>Registro P/D Red White o Kitz 1/2 Plg</t>
  </si>
  <si>
    <t>7.1.5.2</t>
  </si>
  <si>
    <t>Registro P/D Red White o Kitz 3/4 Plg</t>
  </si>
  <si>
    <t>7.1.5.3</t>
  </si>
  <si>
    <t>Registro P/D Red White o Kitz 1 Plg</t>
  </si>
  <si>
    <t>7.1.5.4</t>
  </si>
  <si>
    <t>Registro P/D Red White o Kitz 1 1/4 Plg</t>
  </si>
  <si>
    <t>7.1.5.5</t>
  </si>
  <si>
    <t>Registro P/D Red White o Kitz 1 1/2 Plg</t>
  </si>
  <si>
    <t>7.1.5.6</t>
  </si>
  <si>
    <t>Registro P/D Red White o Kitz 2 Plg</t>
  </si>
  <si>
    <t>7.1.5.7</t>
  </si>
  <si>
    <t xml:space="preserve">REGISTROS P/D </t>
  </si>
  <si>
    <t>7.1.5.8</t>
  </si>
  <si>
    <t>Cajas plasticas para registro</t>
  </si>
  <si>
    <t>7.1.6</t>
  </si>
  <si>
    <t>RED GENERAL AGUA FRIA  - AGUA POTABLE</t>
  </si>
  <si>
    <t>7.1.6.1</t>
  </si>
  <si>
    <t>Tuberias en PVCP - 1/2 Plg</t>
  </si>
  <si>
    <t>7.1.6.2</t>
  </si>
  <si>
    <t>Tuberias en PVCP - 3/4 Plg</t>
  </si>
  <si>
    <t xml:space="preserve">7,1,6,3 </t>
  </si>
  <si>
    <t>Tuberias en PVCP - 1 Plg</t>
  </si>
  <si>
    <t>7.1.6.4</t>
  </si>
  <si>
    <t xml:space="preserve">Tuberias en PVCP- 1 1/4 Plg </t>
  </si>
  <si>
    <t>7,1,6,5</t>
  </si>
  <si>
    <t>Tuberias en PVCP - 1 1/2 Plg</t>
  </si>
  <si>
    <t>7,1,6,6</t>
  </si>
  <si>
    <t>Tubería  PVC-P  de 2"</t>
  </si>
  <si>
    <t>7,1,6,7</t>
  </si>
  <si>
    <t>Tuberia PVCP-RDE 21 UZ  2"</t>
  </si>
  <si>
    <t>7,1,6,8</t>
  </si>
  <si>
    <t>Tuberia PVCP-RDE21 UZ 2 1/2"</t>
  </si>
  <si>
    <t>7,1,6,9</t>
  </si>
  <si>
    <t>Tuberia PVCP-RD 21 UZ 3"</t>
  </si>
  <si>
    <t>7,1,6,10</t>
  </si>
  <si>
    <t>Accesorio PVCP-RDE 21 UZ 2"</t>
  </si>
  <si>
    <t>7,1,6,11</t>
  </si>
  <si>
    <t>Accesorio PVCP-RDE 21 UZ 3"</t>
  </si>
  <si>
    <t>7.1.7</t>
  </si>
  <si>
    <t>CAJILLA PARA MEDIDOR</t>
  </si>
  <si>
    <t>7.1.7.1</t>
  </si>
  <si>
    <t>Tuberias HG  1/2"</t>
  </si>
  <si>
    <t>7.1.7.2</t>
  </si>
  <si>
    <t>Accesorios HG 1/2"</t>
  </si>
  <si>
    <t>7.1.7.3</t>
  </si>
  <si>
    <t>Registros de corte 1/2"</t>
  </si>
  <si>
    <t>7.1.7.4</t>
  </si>
  <si>
    <t>Registro  P/D Red White  1/2"</t>
  </si>
  <si>
    <t>7.1.7.5</t>
  </si>
  <si>
    <t>Cajas para medidor</t>
  </si>
  <si>
    <t>7.1.7.6</t>
  </si>
  <si>
    <t>Plaqueta de identificacion</t>
  </si>
  <si>
    <t>7.1.7.7</t>
  </si>
  <si>
    <t>Instalacion medidor</t>
  </si>
  <si>
    <t>7.1.8</t>
  </si>
  <si>
    <t>PUNTOS HIDRAULICOS AGUA FRIA</t>
  </si>
  <si>
    <t>7.1.8.1</t>
  </si>
  <si>
    <t>Punto agua fría (Lavamanos, sanitarios, duchas, pocetas laboratorio, pocetas aseo, orinales)</t>
  </si>
  <si>
    <t>7.1.8.2</t>
  </si>
  <si>
    <t>Punto Sanitarios de fluxometro 1 1/2"</t>
  </si>
  <si>
    <t>7.1.8.3</t>
  </si>
  <si>
    <t>Punto agua fría Sanitarios de tanque</t>
  </si>
  <si>
    <t>7.1.8.4</t>
  </si>
  <si>
    <t>Punto agua fría orinales</t>
  </si>
  <si>
    <t>7.1.8.5</t>
  </si>
  <si>
    <t>Lavaplatos - pocetas laboratorios</t>
  </si>
  <si>
    <t>7.1.8.6</t>
  </si>
  <si>
    <t>Punto Agua Fria Duchas</t>
  </si>
  <si>
    <t>7.1.8.7</t>
  </si>
  <si>
    <t>Punto agua fria Pocetas de aseo</t>
  </si>
  <si>
    <t>7.1.8.8</t>
  </si>
  <si>
    <t>Llaves de manguera en 1/2"</t>
  </si>
  <si>
    <t>7.1.8.9</t>
  </si>
  <si>
    <t>Dispensadores de agua</t>
  </si>
  <si>
    <t>7.1.8.10</t>
  </si>
  <si>
    <t>Tapones HG 1/2"</t>
  </si>
  <si>
    <t>7.1.8.11</t>
  </si>
  <si>
    <t>Tapones PVCP 1/2"</t>
  </si>
  <si>
    <t>7.1.8.12</t>
  </si>
  <si>
    <t>Camaras de aire HG 1/2"</t>
  </si>
  <si>
    <t>7.1.8.13</t>
  </si>
  <si>
    <t>Camaras de aire PVC-P  1/2"</t>
  </si>
  <si>
    <t>7.1.9</t>
  </si>
  <si>
    <t>SALIDAS SANITARIAS</t>
  </si>
  <si>
    <t>7.1.9.1</t>
  </si>
  <si>
    <t>Salidas sanitarias - lavamanos - pocetas laboratorios PVC-S 2"</t>
  </si>
  <si>
    <t>7.1.9.3</t>
  </si>
  <si>
    <t>Salidas sanitarias - sanitarios PVC-S 4"</t>
  </si>
  <si>
    <t>7.1.9.4</t>
  </si>
  <si>
    <t>Salidas sanitarias - orinales PVC-S 3"</t>
  </si>
  <si>
    <t>7.1.9.5</t>
  </si>
  <si>
    <t>Salidas sanitarias - Sifones  PVC-S 3"</t>
  </si>
  <si>
    <t>7.1.9.6</t>
  </si>
  <si>
    <t>salidas sanitarias sifón Ducha PVC-S 2"</t>
  </si>
  <si>
    <t>7.1.9.7</t>
  </si>
  <si>
    <t>Salidas sanitarias - Pocetas y  sifones</t>
  </si>
  <si>
    <t>7.1.9.8</t>
  </si>
  <si>
    <t>7.1.9.9</t>
  </si>
  <si>
    <t>Punto de aguas lluvias</t>
  </si>
  <si>
    <t>7.1.9.10</t>
  </si>
  <si>
    <t>Tapon de limpieza de PVC-S 2"</t>
  </si>
  <si>
    <t>7.1.9.11</t>
  </si>
  <si>
    <t>Tapon de limpieza de PVC-S 3"</t>
  </si>
  <si>
    <t>7.1.9.12</t>
  </si>
  <si>
    <t>Tapon de limpieza de PVC-S 4"</t>
  </si>
  <si>
    <t>7.1.10</t>
  </si>
  <si>
    <t>TUBERIA SANITARIA, Y PUNTOS VENTILADOS AGUAS NEGRAS</t>
  </si>
  <si>
    <t>7.1.10.1</t>
  </si>
  <si>
    <t>Punto Ventilado (Orinal y lavamanos de 1 1/2")</t>
  </si>
  <si>
    <t>7.1.10.2</t>
  </si>
  <si>
    <t>Punto Ventilado (Sanitario de 3")</t>
  </si>
  <si>
    <t>7.1.10.3</t>
  </si>
  <si>
    <t>Tuberias en PVCS - 2"</t>
  </si>
  <si>
    <t>7.1.10.4</t>
  </si>
  <si>
    <t>Tuberias en PVCS - 3"</t>
  </si>
  <si>
    <t>7.1.10.5</t>
  </si>
  <si>
    <t>Tuberias en PVCS - 4"</t>
  </si>
  <si>
    <t>7.1.10.6</t>
  </si>
  <si>
    <t>Tuberias en PVCS - 6"</t>
  </si>
  <si>
    <t>7.1.11</t>
  </si>
  <si>
    <t>TUBERIA VENTILACIONES Y BAJANTES</t>
  </si>
  <si>
    <t>7.1.11.1</t>
  </si>
  <si>
    <t>Tubería PVCV 1 1/2"</t>
  </si>
  <si>
    <t>7.1.11.2</t>
  </si>
  <si>
    <t>Tubería PVCV 2"</t>
  </si>
  <si>
    <t>7.1.11.3</t>
  </si>
  <si>
    <t>Tubería PVCV 3"</t>
  </si>
  <si>
    <t>7.1.11.4</t>
  </si>
  <si>
    <t>Tubería PVCV 4"</t>
  </si>
  <si>
    <t>7.1.11.5</t>
  </si>
  <si>
    <t>Bajante PVC  Rectangular</t>
  </si>
  <si>
    <t>7.1.12</t>
  </si>
  <si>
    <t>MONTAJE DE APARATOS</t>
  </si>
  <si>
    <t>7.1.12.1</t>
  </si>
  <si>
    <t xml:space="preserve">Instalación  Lavamanos </t>
  </si>
  <si>
    <t>7.1.12.2</t>
  </si>
  <si>
    <t>Instalación  Sanitarios de fluxometro</t>
  </si>
  <si>
    <t>7.1.12.3</t>
  </si>
  <si>
    <t>Instalación Sanitarios de tanque</t>
  </si>
  <si>
    <t>7.1.12.4</t>
  </si>
  <si>
    <t>Instalacion  Orinales de pared</t>
  </si>
  <si>
    <t>7.1.12.5</t>
  </si>
  <si>
    <t>Instalación  Lavaplatos - pocetas laboratorios</t>
  </si>
  <si>
    <t>7.1.12.6</t>
  </si>
  <si>
    <t>Instalación Duchas</t>
  </si>
  <si>
    <t>7.1.12.7</t>
  </si>
  <si>
    <t>Instalación Pocetas de aseo</t>
  </si>
  <si>
    <t>7.1.12.8</t>
  </si>
  <si>
    <t>Llaves terminales para manguera en 1/2"</t>
  </si>
  <si>
    <t>7.1.12.9</t>
  </si>
  <si>
    <t>Acoflex lavamanos/Sanitario de 1/2"</t>
  </si>
  <si>
    <t>7.1.13</t>
  </si>
  <si>
    <t>ABRAZADERAS Y SOPORTES</t>
  </si>
  <si>
    <t>7.1.14</t>
  </si>
  <si>
    <t>LAVADO TANQUES DE AGUA POTABLE</t>
  </si>
  <si>
    <t>7.1.15</t>
  </si>
  <si>
    <t>DESINFECCION SISTEMA DE AGUA POTABLE</t>
  </si>
  <si>
    <t>7.1.16</t>
  </si>
  <si>
    <t>7.1.16.1</t>
  </si>
  <si>
    <t>Equipo de Bombeo aguas lluvias</t>
  </si>
  <si>
    <t>7.1.16.2</t>
  </si>
  <si>
    <t>Equipo de bombeo agua potable</t>
  </si>
  <si>
    <t>INSTALACIONES DE GAS</t>
  </si>
  <si>
    <t>7,2,1</t>
  </si>
  <si>
    <t>7,2,1,1</t>
  </si>
  <si>
    <t>Puntos de Gas</t>
  </si>
  <si>
    <t>7,2,1,2</t>
  </si>
  <si>
    <t>Preinstalación red principal de gas</t>
  </si>
  <si>
    <t>7.2.1.3</t>
  </si>
  <si>
    <t>Tubería de cobre tipo L 1/2"</t>
  </si>
  <si>
    <t>7.2.1.4</t>
  </si>
  <si>
    <t>Tubería de cobre tipo L 1"</t>
  </si>
  <si>
    <t>7.2.1.5</t>
  </si>
  <si>
    <t>Registros de bola 1" Asiento en teflón</t>
  </si>
  <si>
    <t>7.2.1.6</t>
  </si>
  <si>
    <t>Reguladores</t>
  </si>
  <si>
    <t>7.2.1.7</t>
  </si>
  <si>
    <t>Rejilla ventilación plastica de 0,20 x 0,20 mts.</t>
  </si>
  <si>
    <t>CAMPOS DE INFILTRACION</t>
  </si>
  <si>
    <t>7,3,1</t>
  </si>
  <si>
    <t>Prueba de redes</t>
  </si>
  <si>
    <t>7.2.1.9</t>
  </si>
  <si>
    <t>Pintura anticorrosiva para tubería</t>
  </si>
  <si>
    <t>7.2.1.10</t>
  </si>
  <si>
    <t>Pintura bituminosa para tubería</t>
  </si>
  <si>
    <t>7.2.2</t>
  </si>
  <si>
    <t>7.2.2.1</t>
  </si>
  <si>
    <t>Medidores</t>
  </si>
  <si>
    <t>7.2.2.2</t>
  </si>
  <si>
    <t>Quemadores</t>
  </si>
  <si>
    <t>8.</t>
  </si>
  <si>
    <t>INSTALACION ELECTRICA, TELEFÓNICA Y COMUNICACIONES</t>
  </si>
  <si>
    <t>Salida para lámpara fluorescente en tubo conduit PVC de 1/2", con conductores de cobre 2No12 + 1No12 desnudo. Incluye proporcional interruptor, soportes, cajas y accesorios necesarios para completar la salida.</t>
  </si>
  <si>
    <t>Salida para lámpara incandescente en tubo conduit PVC de 1/2", con conductores de cobre 2No12 + 1No12 desnudo. Incluye proporcional interruptor, roseta, bombilo de bajo consumo, soportes, cajas y accesorios necesarios para completar la salida.</t>
  </si>
  <si>
    <t>Salida para toma monofásica doble en tubo conduit PVC de 1/2", con conductores de cobre 2No12 + 1No12 desnudo. Incluye toma, soportes, cajas y accesorios necesarios para completar la salida.</t>
  </si>
  <si>
    <t>Salida para toma monofásica doble en tubo conduit PVC de 1/2", con conductores de cobre 2No12 + 1No12 desnudo. Incluye toma GFCI, soportes, cajas y accesorios necesarios para completar la salida.</t>
  </si>
  <si>
    <t>Salida para Ventilador en tubo conduit PVC de 3/4", vacío. Incluye soportes, cajas y accesorios necesarios para completar la salida.</t>
  </si>
  <si>
    <t>Salida para cableado estructurado en ducto vacío de 3/4". Incluye cajas, y accesorios necesarios para completar la salida.</t>
  </si>
  <si>
    <t>Suministro, montaje y conexión de automático enchufable de 1x20, 1x30 o 1x40 amperios.</t>
  </si>
  <si>
    <t>Suministro, montaje y conexión de automático enchufable de 2x20, 2x30, 2x40, 2x50 o 2x60 amperios.</t>
  </si>
  <si>
    <t>Suministro, montaje y conexión de automático enchufable de 2x70, 2x80 o 2x100 amperios.</t>
  </si>
  <si>
    <t>8,10</t>
  </si>
  <si>
    <t>Suministro, montaje y conexión de automático enchufable de 3x30, 3x40, 3x50 o 3x60 amperios.</t>
  </si>
  <si>
    <t>Suministro, montaje y conexión de automático enchufable de 3x70, 3x80 o 3x100 amperios.</t>
  </si>
  <si>
    <t>8,12</t>
  </si>
  <si>
    <t>Suministro, montaje y conexión de lámpara fluorescente de 2x32 W, bajo consumo, alto factor. Incluye accesorios para derivación de salida y soportes de fijación para descolgar luminaria.</t>
  </si>
  <si>
    <t>Suministro, montaje, armado y figurada de caja para 3 circuitos.</t>
  </si>
  <si>
    <t>8,14</t>
  </si>
  <si>
    <t>Suministro, montaje, armado y figurada de caja para 6 circuitos.</t>
  </si>
  <si>
    <t>Suministro, montaje, armado y figurada de caja para 9 circuitos.</t>
  </si>
  <si>
    <t>Suministro, montaje, armado y figurada de tablero de 12 circuitos con puerta.</t>
  </si>
  <si>
    <t>Suministro, montaje, armado y figurada de tablero de 18 circuitos con puerta.</t>
  </si>
  <si>
    <t>Suministro, montaje, armado y figurada de tablero de 24 circuitos con puerta.</t>
  </si>
  <si>
    <t>Suministro, montaje, armado y figurada de tablero de 36 circuitos con puerta.</t>
  </si>
  <si>
    <t>8,20</t>
  </si>
  <si>
    <t>Suministro, montaje, armado y figurada de tablero de 42 circuitos con puerta.</t>
  </si>
  <si>
    <t>Suministro y tendido de acometida aérea en cable antifraude 1No8+1No10. Incluye empalme en red existente y conexión en tablero o contador.</t>
  </si>
  <si>
    <t>Suministro y tendido de acometida aérea en cable antifraude 2No8+1No8. Incluye empalme en red existente y conexión en tablero o contador.</t>
  </si>
  <si>
    <t>Suministro y tendido de acometida aérea en cable antifraude 2No6+1No6. Incluye empalme en red existente y conexión en tablero o contador.</t>
  </si>
  <si>
    <t>Suministro y tendido de acometida aérea en cable antifraude 2No4+1No4. Incluye empalme en red existente y conexión en tablero o contador.</t>
  </si>
  <si>
    <t>Suministro y tendido de acometida aérea en cable antifraude 3No8+1No10. Incluye empalme en red existente y conexión en tablero o contador.</t>
  </si>
  <si>
    <t>Suministro y tendido de acometida aérea en cable antifraude 3No6+1No8. Incluye empalme en red existente y conexión en tablero o contador.</t>
  </si>
  <si>
    <t>Suministro y tendido de acometida aérea en cable antifraude 3No4+1No6. Incluye empalme en red existente y conexión en tablero o contador.</t>
  </si>
  <si>
    <t>Suministro y tendido de acometida aérea en conductores de cobre 2No10. Incluye empalme en red existente y conexión en tablero.</t>
  </si>
  <si>
    <t>Suministro y tendido de acometida aérea en conductores de cobre 2No8. Incluye empalme en red existente y conexión en tablero.</t>
  </si>
  <si>
    <t>8,30</t>
  </si>
  <si>
    <t>Suministro y tendido de acometida aérea en conductores de cobre 2No6. Incluye empalme en red existente y conexión en tablero.</t>
  </si>
  <si>
    <t>Suministro y tendido de acometida aérea en conductores de cobre 3No10. Incluye empalme en red existente y conexión en tablero.</t>
  </si>
  <si>
    <t>Suministro y tendido de acometida aérea en conductores de cobre 3No8. Incluye empalme en red existente y conexión en tablero.</t>
  </si>
  <si>
    <t>Suministro y tendido de acometida aérea en conductores de cobre 3No6. Incluye empalme en red existente y conexión en tablero.</t>
  </si>
  <si>
    <t>Suministro y tendido de acometida aérea en conductores de cobre 4No10. Incluye empalme en red existente y conexión en tablero.</t>
  </si>
  <si>
    <t>Suministro y tendido de acometida aérea en conductores de cobre 4No8. Incluye empalme en red existente y conexión en tablero.</t>
  </si>
  <si>
    <t>Suministro y tendido de acometida aérea en conductores de cobre 4No6. Incluye empalme en red existente y conexión en tablero.</t>
  </si>
  <si>
    <t>Suministro y tendido de acometida aérea en conductores de cobre 4No2. Incluye empalme en red existente y conexión en tablero.</t>
  </si>
  <si>
    <t>Suministro y tendido de acometida subterránea en conductores de cobre 2No10+1No10 T. Incluye conexión en tableros.</t>
  </si>
  <si>
    <t>Suministro y tendido de acometida subterránea en conductores de cobre 2No8+1No10T. Incluye conexión en tableros.</t>
  </si>
  <si>
    <t>8,40</t>
  </si>
  <si>
    <t>Suministro y tendido de acometida subterránea en conductores de cobre 2No6+1No10T. Incluye conexión en tableros.</t>
  </si>
  <si>
    <t>8,41</t>
  </si>
  <si>
    <t>Suministro y tendido de acometida subterránea en conductores de cobre 3No10+1No10T. Incluye conexión en tableros.</t>
  </si>
  <si>
    <t>8,42</t>
  </si>
  <si>
    <t>Suministro y tendido de acometida subterránea en conductores de cobre 3No8+1No10T. Incluye conexión en tableros.</t>
  </si>
  <si>
    <t>8,43</t>
  </si>
  <si>
    <t>Suministro y tendido de acometida subterránea en conductores de cobre 3No6+1No10T. Incluye conexión en tableros.</t>
  </si>
  <si>
    <t>8,44</t>
  </si>
  <si>
    <t>Suministro y tendido de acometida subterránea en conductores de cobre 4No10+1No10T. Incluye conexión en tableros.</t>
  </si>
  <si>
    <t>8,45</t>
  </si>
  <si>
    <t>Suministro y tendido de acometida subterránea en conductores de cobre 4No8+1No10T. Incluye conexión en tableros.</t>
  </si>
  <si>
    <t>8,46</t>
  </si>
  <si>
    <t>Suministro y tendido de acometida subterránea en conductores de cobre 4No6+1No10T. Incluye conexión en tableros.</t>
  </si>
  <si>
    <t>8,47</t>
  </si>
  <si>
    <t>Suministro y tendido de acometida subterránea en conductores de cobre 4No4+1No8T. Incluye conexión en tableros.</t>
  </si>
  <si>
    <t>8,48</t>
  </si>
  <si>
    <t>Suministro, excavación, compactación y tendido de ducto PVC de 3/4". Incluye accesorios.</t>
  </si>
  <si>
    <t>8,49</t>
  </si>
  <si>
    <t>Suministro, excavación, compactación y tendido de ducto PVC de 1". Incluye accesorios.</t>
  </si>
  <si>
    <t>8,50</t>
  </si>
  <si>
    <t>Suministro, excavación, compactación y tendido de ducto PVC de 1-1/2". Incluye accesorios.</t>
  </si>
  <si>
    <t>8,51</t>
  </si>
  <si>
    <t>Bajante para acometida eléctrica aérea en tubo conduit EMT de 3/4" de diámetro. Incluye capacete y accesorios.</t>
  </si>
  <si>
    <t>8,52</t>
  </si>
  <si>
    <t>Bajante para acometida eléctrica aérea en tubo conduit EMT de 1" de diámetro. Incluye capacete y accesorios.</t>
  </si>
  <si>
    <t>8,53</t>
  </si>
  <si>
    <t>Bajante para acometida eléctrica aérea en tubo conduit EMT de 1-1/2" de diámetro. Incluye capacete y accesorios.</t>
  </si>
  <si>
    <t>8,54</t>
  </si>
  <si>
    <t>Suministro, montaje y conexión de varilla cooperweld de 2.40mtsx5/8". Incluye conector en cobre.</t>
  </si>
  <si>
    <t>8,55</t>
  </si>
  <si>
    <t>Suministro y tendido de cable de cobre No 8 para polo a tierra. Incluye tubo PVC de 3/4".</t>
  </si>
  <si>
    <t>8,56</t>
  </si>
  <si>
    <t>Suministro y montaje de percha de 4 puestos para soporte de acometida general. Incluye elementos de soporte en cubierta o fachada de edificio existente.</t>
  </si>
  <si>
    <t>8,57</t>
  </si>
  <si>
    <t>Suministro y montaje de percha de 3 puestos para soporte de acometida general. Incluye elementos de soporte en cubierta o fachada de edificio existente.</t>
  </si>
  <si>
    <t>8,58</t>
  </si>
  <si>
    <t>Suministro y montaje de percha de 2 puestos para soporte de acometida general. Incluye elementos de soporte en cubierta o fachada de edificio existente.</t>
  </si>
  <si>
    <t>8,59</t>
  </si>
  <si>
    <t>Construcción de caja en mampostería de 30x30x30 para futuro cableado red estructurada. Incluye tapa en concreto.</t>
  </si>
  <si>
    <t>8,60</t>
  </si>
  <si>
    <t>Construcción de caja en mampostería tipo alumbrado público de 60x60. Incluye tapa en concreto, marco y contramarco.</t>
  </si>
  <si>
    <t>8,61</t>
  </si>
  <si>
    <t>Construcción de caja en mampostería sencilla. Incluye tapa en concreto, marco y contramarco.</t>
  </si>
  <si>
    <t>8,62</t>
  </si>
  <si>
    <t>Construcción de caja en mampostería doble. Incluye tapa en concreto, marco y contramarco.</t>
  </si>
  <si>
    <t>8,63</t>
  </si>
  <si>
    <t>Suministro, transporte, ahoyada, hincada y plomada de poste de concreto de 12 metros, 1050 kilos.</t>
  </si>
  <si>
    <t>8,64</t>
  </si>
  <si>
    <t>Suministro, transporte, ahoyada, hincada y plomada de poste de concreto de 12 metros, 510 kilos.</t>
  </si>
  <si>
    <t>8,65</t>
  </si>
  <si>
    <t>Suministro, transporte, ahoyada, hincada y plomada de poste de concreto de 10 metros, 750 kilos.</t>
  </si>
  <si>
    <t>8,66</t>
  </si>
  <si>
    <t>Suministro, transporte, ahoyada, hincada y plomada de poste de concreto de 10 metros, 510 kilos.</t>
  </si>
  <si>
    <t>8,67</t>
  </si>
  <si>
    <t>Suministro, transporte, conexión y montaje en poste de transformador bifásico de 15 Kva. El voltaje en media estará determinado por el operador de la zona.</t>
  </si>
  <si>
    <t>8,68</t>
  </si>
  <si>
    <t>Suministro, transporte, conexión y montaje en poste de transformador bifásico de 30 Kva. El voltaje en media estará determinado por el operador de la zona.</t>
  </si>
  <si>
    <t>8,69</t>
  </si>
  <si>
    <t>Suministro, transporte, conexión y montaje en poste de transformador trifásico de 15 Kva. El voltaje en media estará determinado por el operador de la zona.</t>
  </si>
  <si>
    <t>8,70</t>
  </si>
  <si>
    <t>Suministro, transporte, conexión y montaje en poste de transformador trifásico de 30 Kva. El voltaje en media estará determinado por el operador de la zona.</t>
  </si>
  <si>
    <t>8,71</t>
  </si>
  <si>
    <t>Suministro y montaje de herrajes para estructura de paso. Incluye aisladores, crucetas, diagonales, pernos y todos los accesorios para armar la estructura de acuerdo a normas del operador.</t>
  </si>
  <si>
    <t>8,72</t>
  </si>
  <si>
    <t>Suministro y montaje de herrajes para estructura terminal. Incluye aisladores, crucetas, diagonales, templete, pernos y todos los accesorios para armar la estructura de acuerdo a normas del operador.</t>
  </si>
  <si>
    <t>8,73</t>
  </si>
  <si>
    <t>Suministro y montaje de herrajes para estructura de inicio. Incluye maniobras, aisladores, crucetas, diagonales, templete, pernos y todos los accesorios para armar la estructura de acuerdo a normas del operador.</t>
  </si>
  <si>
    <t>8,74</t>
  </si>
  <si>
    <t>Suministro, transporte, conexión y montaje en poste de cortacircuito de cañuela de acuerdo a normas del operador de la zona. Incluye accesorios para conexión y montaje.</t>
  </si>
  <si>
    <t>8,75</t>
  </si>
  <si>
    <t>Suministro, transporte, conexión y montaje en poste de pararrayos de acuerdo a normas del operador de la zona. Incluye accesorios para conexión y montaje.</t>
  </si>
  <si>
    <t>8,76</t>
  </si>
  <si>
    <t>Suministro, montaje y conexión de polo a tierra en poste. Incluye varilla, tubo metálico 3/4", cable desnudo No 6, cinta bandit y accesorios.</t>
  </si>
  <si>
    <t>8,77</t>
  </si>
  <si>
    <t>Suministro y tendido de red para media tensión en tres hilos ACSR No 1/0. Incluye accesorios de amarre.</t>
  </si>
  <si>
    <t>8,78</t>
  </si>
  <si>
    <t>Suministro y tendido de red para media tensión en dos hilos ACSR No 1/0. Incluye accesorios de amarre.</t>
  </si>
  <si>
    <t>8,79</t>
  </si>
  <si>
    <t>Suministro y tendido de red para baja tensión en tres hilos ACSR No 2/0. Incluye accesorios de amarre.</t>
  </si>
  <si>
    <t>8,80</t>
  </si>
  <si>
    <t>Suministro y tendido de red para baja tensión en dos hilos ACSR No 2/0. Incluye accesorios de amarre.</t>
  </si>
  <si>
    <t>8,81</t>
  </si>
  <si>
    <t>Suministro, transporte, conexión y montaje de contador electrónico bifásico 100 amperios. Incluye caja homologada por el operador y accesorios.</t>
  </si>
  <si>
    <t>8,82</t>
  </si>
  <si>
    <t>Suministro, transporte, conexión y montaje de contador electrónico trifásico 100 amperios. Incluye caja homologada por el operador y accesorios.</t>
  </si>
  <si>
    <t>8,83</t>
  </si>
  <si>
    <t>Traslado de contador electrónico. Incluye caja homologada por el operador y accesorios.</t>
  </si>
  <si>
    <t>8,84</t>
  </si>
  <si>
    <t>Trámites ante el operador del sevicio para aprobar y conectar el nuevo servicio o la ampliación de carga. Incluye costos por documentos para trámite.</t>
  </si>
  <si>
    <t>8,85</t>
  </si>
  <si>
    <t>Traslado de poste en concreto. Incluye ahoyada, hincada y plomada.</t>
  </si>
  <si>
    <t>8,86</t>
  </si>
  <si>
    <t>Traslado de red de baja tensión existente. Incluye herrajes y accesorios de amarre.</t>
  </si>
  <si>
    <t>8,87</t>
  </si>
  <si>
    <t>Retiro de instalaciones para demolición.</t>
  </si>
  <si>
    <t>8,88</t>
  </si>
  <si>
    <t>Suministro y tendido de acometida subterránea en conductores de cobre 3No2+1No6T. Incluye conexión en tableros.</t>
  </si>
  <si>
    <t>8,89</t>
  </si>
  <si>
    <t>Suministro, transporte, ahoyada, hincada y plomada de poste de concreto de 8 metros para alumbrado público.</t>
  </si>
  <si>
    <t>8,90</t>
  </si>
  <si>
    <t>Suministro, montaje y conexión en poste de lámpara de sodio 70W 208V. Incluye accesorios para derivación - empalmes en resina y cable encauchetado 3x14 - de salida, brazo y fotocelda.</t>
  </si>
  <si>
    <t>8,91</t>
  </si>
  <si>
    <t>Salida para equipo de bombeo en tubo conduit de 3/4" y conductores de cobre 3No10+1No12 desnudo. Incluye caja de tres circuitos, automátio enchufable de 3x30 y accesorios para completar la salida.</t>
  </si>
  <si>
    <t>8,92</t>
  </si>
  <si>
    <t>Salida para flotador en tubo conduit PVC de 1/2" vacio.</t>
  </si>
  <si>
    <t>9.</t>
  </si>
  <si>
    <t>PAÑETES</t>
  </si>
  <si>
    <t>9.1</t>
  </si>
  <si>
    <t>SOBRE MUROS</t>
  </si>
  <si>
    <t>9.1.1</t>
  </si>
  <si>
    <t>PAÑETE IMPERMEABILIZADO INTEGRALMENTE</t>
  </si>
  <si>
    <t>9.1.2</t>
  </si>
  <si>
    <t>PAÑETES LISOS INTERIORES PARA MUROS</t>
  </si>
  <si>
    <t>9.1.3</t>
  </si>
  <si>
    <t>PAÑETES LISOS EXTERIORES</t>
  </si>
  <si>
    <t>9.1.4</t>
  </si>
  <si>
    <t>OTROS</t>
  </si>
  <si>
    <t>9.2</t>
  </si>
  <si>
    <t>BAJO PLACAS</t>
  </si>
  <si>
    <t>9.2.1</t>
  </si>
  <si>
    <t>PAÑETES LISOS BAJO PLACAS</t>
  </si>
  <si>
    <t>9.2.2</t>
  </si>
  <si>
    <t>PAÑETES LISOS BAJO MALLA</t>
  </si>
  <si>
    <t>9.2.3</t>
  </si>
  <si>
    <t>10.</t>
  </si>
  <si>
    <t>PISOS</t>
  </si>
  <si>
    <t>10.1</t>
  </si>
  <si>
    <t>BASES PISOS Y AFINADOS</t>
  </si>
  <si>
    <t>10.1.1</t>
  </si>
  <si>
    <t>CONCRETO BASE MUEBLES</t>
  </si>
  <si>
    <t>10.1.2</t>
  </si>
  <si>
    <t>ALISTADO PISOS PARA VINISOL Y ALFOMBRA</t>
  </si>
  <si>
    <t>10.1.3</t>
  </si>
  <si>
    <t>MORTERO DE PEGA PARA PISOS EN BALDOSÍN DE GRANITO</t>
  </si>
  <si>
    <t>10.1.4</t>
  </si>
  <si>
    <t>MORTERO AFINADO PARA PISOS</t>
  </si>
  <si>
    <t>10.1.5</t>
  </si>
  <si>
    <t>CEMENTO ENDURECIDO</t>
  </si>
  <si>
    <t>10.1.6</t>
  </si>
  <si>
    <t>CONCRETO ESTAMPADO (Acabado estampado para las placas de contrapiso).</t>
  </si>
  <si>
    <t>10.2</t>
  </si>
  <si>
    <t>ACABADOS PISOS</t>
  </si>
  <si>
    <t>10.2.1</t>
  </si>
  <si>
    <t>EN CERAMICA</t>
  </si>
  <si>
    <t>10.2.1.1</t>
  </si>
  <si>
    <t>Gres porcelanizado</t>
  </si>
  <si>
    <t>10.2.1.2</t>
  </si>
  <si>
    <t>Duropiso</t>
  </si>
  <si>
    <t>10.2.1.3</t>
  </si>
  <si>
    <t>Ceramica 20 x 20 trafico 4</t>
  </si>
  <si>
    <t>10.2.1.4</t>
  </si>
  <si>
    <t>Ceramica 30 x 30 Trafico 4</t>
  </si>
  <si>
    <t>10.2.2</t>
  </si>
  <si>
    <t>EN ARCILLA Y GRES</t>
  </si>
  <si>
    <t>10.2.2.1</t>
  </si>
  <si>
    <t>Tablón cuarto 26</t>
  </si>
  <si>
    <t>10.2.2.2</t>
  </si>
  <si>
    <t>Tablón de 20 x 20</t>
  </si>
  <si>
    <t>10.2.2.3</t>
  </si>
  <si>
    <t>Tablón de 30 x 30</t>
  </si>
  <si>
    <t>10.2.3</t>
  </si>
  <si>
    <t>ADOQUINES</t>
  </si>
  <si>
    <t>10.2.3.1</t>
  </si>
  <si>
    <t>De concreto</t>
  </si>
  <si>
    <t>10.2.3.2</t>
  </si>
  <si>
    <t>De arcilla</t>
  </si>
  <si>
    <t>10.2.4</t>
  </si>
  <si>
    <t>GRANITOS Y MARMOLES</t>
  </si>
  <si>
    <t>10.2.4.1</t>
  </si>
  <si>
    <t>Baldosín de granito vibroprensado 30 x 30, pulido (incluye alistado)</t>
  </si>
  <si>
    <t>10.2.4.2</t>
  </si>
  <si>
    <t>Granito pulido</t>
  </si>
  <si>
    <t>10.2.4.3</t>
  </si>
  <si>
    <t>Gravilla  lavada</t>
  </si>
  <si>
    <t>10.2.5</t>
  </si>
  <si>
    <t>SINTETICOS</t>
  </si>
  <si>
    <t>10.2.5.1</t>
  </si>
  <si>
    <t>Vinisol de alto tráfico de 3 mm</t>
  </si>
  <si>
    <t>10.2.5.2</t>
  </si>
  <si>
    <t>Emeflex alto tráfico</t>
  </si>
  <si>
    <t>10.2.6</t>
  </si>
  <si>
    <t>ALFOMBRAS</t>
  </si>
  <si>
    <t>10.2.6.1</t>
  </si>
  <si>
    <t>Alfombra argollada alto tráfico</t>
  </si>
  <si>
    <t>10.2.7</t>
  </si>
  <si>
    <t>EN MADERA</t>
  </si>
  <si>
    <t>10.2.7.1</t>
  </si>
  <si>
    <t>Triplex estructural para escenario</t>
  </si>
  <si>
    <t>10.2.8</t>
  </si>
  <si>
    <t>10.3</t>
  </si>
  <si>
    <t>GUARDAESCOBAS</t>
  </si>
  <si>
    <t>10.3.1</t>
  </si>
  <si>
    <t>10.3.1.1</t>
  </si>
  <si>
    <t>10.3.2</t>
  </si>
  <si>
    <t>10.3.2.1</t>
  </si>
  <si>
    <t>Zocalo de granito vibroprensado</t>
  </si>
  <si>
    <t>10.3.2.2</t>
  </si>
  <si>
    <t>10.3.2.3</t>
  </si>
  <si>
    <t>Media caña en mortero</t>
  </si>
  <si>
    <t>10.3.2.4</t>
  </si>
  <si>
    <t>10.3.2.5</t>
  </si>
  <si>
    <t>Media caña en gravilla lavada</t>
  </si>
  <si>
    <t>10.3.2.6</t>
  </si>
  <si>
    <t>Media caña en granito pulido</t>
  </si>
  <si>
    <t>10.3.3</t>
  </si>
  <si>
    <t>10.3.3.1</t>
  </si>
  <si>
    <t>10.3.3.2</t>
  </si>
  <si>
    <t>10.3.4</t>
  </si>
  <si>
    <t>10.3.4.1</t>
  </si>
  <si>
    <t>Cedro</t>
  </si>
  <si>
    <t>10.3.5</t>
  </si>
  <si>
    <t>10.3.5.1</t>
  </si>
  <si>
    <t>10.4</t>
  </si>
  <si>
    <t>GRADAS</t>
  </si>
  <si>
    <t>10.4.1</t>
  </si>
  <si>
    <t>EN GRANITO PULIDO</t>
  </si>
  <si>
    <t>10.4.2</t>
  </si>
  <si>
    <t>EN GRAVILLA LAVADA</t>
  </si>
  <si>
    <t>10.4.3</t>
  </si>
  <si>
    <t>EN LADRILLO TOLETE</t>
  </si>
  <si>
    <t>10.4.4</t>
  </si>
  <si>
    <t>EN TABLETA DE GRES</t>
  </si>
  <si>
    <t>10.4.5</t>
  </si>
  <si>
    <t>EN CONCRETO</t>
  </si>
  <si>
    <t>10.5</t>
  </si>
  <si>
    <t>CENEFAS, DILATACIONES, PERLANES Y OTROS</t>
  </si>
  <si>
    <t>10.5.1</t>
  </si>
  <si>
    <t>CENEFAS EN CONCRETO</t>
  </si>
  <si>
    <t>10.5.2</t>
  </si>
  <si>
    <t>CENEFAS EN GRANITO PULIDO</t>
  </si>
  <si>
    <t>10.5.3</t>
  </si>
  <si>
    <t>CENEFAS EN GRAVILLA LAVADA</t>
  </si>
  <si>
    <t>10.5.4</t>
  </si>
  <si>
    <t>DILATACIONES EN CONCRETO</t>
  </si>
  <si>
    <t>10.5.5</t>
  </si>
  <si>
    <t>DILATACIONES EN LADRILLO</t>
  </si>
  <si>
    <t>CUBIERTAS E IMPERMEABILIZACIONES</t>
  </si>
  <si>
    <t>11.1</t>
  </si>
  <si>
    <t>IMPERMEABILIZACIONES Y AISLAMIENTOS</t>
  </si>
  <si>
    <t>11.1.1</t>
  </si>
  <si>
    <t>AFINADO EN MORTERO DE PENDIENTE</t>
  </si>
  <si>
    <t>11.1.2</t>
  </si>
  <si>
    <t>MEDIA CAÑA EN MORTERO DE PENDIENTE</t>
  </si>
  <si>
    <t>11.1.3</t>
  </si>
  <si>
    <t>AFINADO VIGAS CANALES EN MORTERO (Incluye media caña)</t>
  </si>
  <si>
    <t>11.1.4</t>
  </si>
  <si>
    <t>MANTO ASFÁLTICO CON FOIL DE ALUMINIO</t>
  </si>
  <si>
    <t>11.1.5</t>
  </si>
  <si>
    <t>MANTO ASFÁLTICO DE POLIETILENO</t>
  </si>
  <si>
    <t>11.1.6</t>
  </si>
  <si>
    <t>IMPERMEABILIACIÓN CON ASPERSOR</t>
  </si>
  <si>
    <t>11.2</t>
  </si>
  <si>
    <t xml:space="preserve">CUBIERTAS  </t>
  </si>
  <si>
    <t>11.2.1</t>
  </si>
  <si>
    <t>CUBIERTAS METALICAS</t>
  </si>
  <si>
    <t>11.2.1.1</t>
  </si>
  <si>
    <t>Cubierta luxalon tipo sandwich</t>
  </si>
  <si>
    <t>11.2.1.2</t>
  </si>
  <si>
    <t>Teja aluminio doble grafada</t>
  </si>
  <si>
    <t>11.2.1.3</t>
  </si>
  <si>
    <t>Teja acesco tipo sandwich</t>
  </si>
  <si>
    <t>11.2.1.4</t>
  </si>
  <si>
    <t>otras</t>
  </si>
  <si>
    <t>11.2.2</t>
  </si>
  <si>
    <t>ACCESORIOS PARA CUBIERTAS METALICAS</t>
  </si>
  <si>
    <t>11.2.2.1</t>
  </si>
  <si>
    <t xml:space="preserve">Caballete para cubierta bioclimática, en acero, con foil de aluminio </t>
  </si>
  <si>
    <t>11.2.2.2</t>
  </si>
  <si>
    <t>Remates  para cubierta bioclimatica, en acero, con foil de aluminio</t>
  </si>
  <si>
    <t>11.2.2.3</t>
  </si>
  <si>
    <t>Remates laterales</t>
  </si>
  <si>
    <t>11.2.2.4</t>
  </si>
  <si>
    <t>Limatesas</t>
  </si>
  <si>
    <t>11.2.2.5</t>
  </si>
  <si>
    <t>Limahoyas</t>
  </si>
  <si>
    <t>11.2.2.6</t>
  </si>
  <si>
    <t>otros</t>
  </si>
  <si>
    <t>11.2.3</t>
  </si>
  <si>
    <t>CUBIERTAS ACRÍLICAS Y/O POLICARBONATO</t>
  </si>
  <si>
    <t>11.2.3.1</t>
  </si>
  <si>
    <t>Domos acrílicos</t>
  </si>
  <si>
    <t>11.2.3.2</t>
  </si>
  <si>
    <t>Acrílico transparente de 2 mm</t>
  </si>
  <si>
    <t>11.2.3.3</t>
  </si>
  <si>
    <t>Teja Trapezoidal Transparente en policarbonato</t>
  </si>
  <si>
    <t>11.2.4</t>
  </si>
  <si>
    <t>OTRAS CUBIERTAS</t>
  </si>
  <si>
    <t>11.2.4.1</t>
  </si>
  <si>
    <t>TEJA BIOCLIMATICA EN ACERO Y FOIL DE ALUMINIO</t>
  </si>
  <si>
    <t>11.3</t>
  </si>
  <si>
    <t>ACCESORIOS Y OTROS</t>
  </si>
  <si>
    <t>11.3.1</t>
  </si>
  <si>
    <t>CANALES EN LÁMINA GALVANIZADA CAL 20</t>
  </si>
  <si>
    <t>11.3.2</t>
  </si>
  <si>
    <t>FLASHING  EN LAMINA GALVANIZADA CAL 20</t>
  </si>
  <si>
    <t>11.3.3</t>
  </si>
  <si>
    <t>CÚPULAS TRAGANTES EN ALUMINIO 5 x 3"</t>
  </si>
  <si>
    <t>11.3.4</t>
  </si>
  <si>
    <t>CÚPULAS TRAGANTES EN ALUMINIO 6 x 4"</t>
  </si>
  <si>
    <t>11.3.5</t>
  </si>
  <si>
    <t>CANAL PVC  RECTANGULAR</t>
  </si>
  <si>
    <t>CARPINTERIA METALICA</t>
  </si>
  <si>
    <t>12.1</t>
  </si>
  <si>
    <t>CARPINTERIA EN ALUMINIO</t>
  </si>
  <si>
    <t>12.1.1</t>
  </si>
  <si>
    <t xml:space="preserve">VENTANAS EN ALUMINIO </t>
  </si>
  <si>
    <t>12.1.2</t>
  </si>
  <si>
    <t xml:space="preserve">VENTANAS EN ALUMINO CON REJA - SIN VIDRIO </t>
  </si>
  <si>
    <t>12.1.3</t>
  </si>
  <si>
    <t xml:space="preserve">PUERTAS EN ALUMINIO SENCILLAS  </t>
  </si>
  <si>
    <t>12.1.4</t>
  </si>
  <si>
    <t>PUERTA EN ALUMINIO DOBLE VENTANA CON REJA</t>
  </si>
  <si>
    <t>12.1.5</t>
  </si>
  <si>
    <t>PUERTAS EN ALUMINIO DOBLE VENTANA</t>
  </si>
  <si>
    <t>12.1.6</t>
  </si>
  <si>
    <t>PUERTAS PARA BAÑOS</t>
  </si>
  <si>
    <t>12.1.7</t>
  </si>
  <si>
    <t>PERGOLAS EN ALUMINIO</t>
  </si>
  <si>
    <t>12.1.8</t>
  </si>
  <si>
    <t>PUERTAS BAÑO PARA DISCAPACITADOS</t>
  </si>
  <si>
    <t>12.1.9</t>
  </si>
  <si>
    <t xml:space="preserve">BARANDA EN ALUMINIO </t>
  </si>
  <si>
    <t>12.2</t>
  </si>
  <si>
    <t>CARPINTERIA EN LÁMINA</t>
  </si>
  <si>
    <t>12.2.1</t>
  </si>
  <si>
    <t>MARCOS Y HOJAS PUERTA</t>
  </si>
  <si>
    <t>12.2.1.1</t>
  </si>
  <si>
    <t>Marcos puertas</t>
  </si>
  <si>
    <t>12.2.1.2</t>
  </si>
  <si>
    <t>Puerta ventana en lámina  cold rolled cal 18</t>
  </si>
  <si>
    <t>12.2.1.3</t>
  </si>
  <si>
    <t>Ventanas en  lámina cold rolled cal. 20</t>
  </si>
  <si>
    <t>12.2.1.4</t>
  </si>
  <si>
    <t>Hojas entamboradas con mirillas</t>
  </si>
  <si>
    <t>12.2.1.5</t>
  </si>
  <si>
    <t>Hojas entamboradas para baños; incluye marco</t>
  </si>
  <si>
    <t>12.2.1.6</t>
  </si>
  <si>
    <t>Hojas de corredera</t>
  </si>
  <si>
    <t>12.2.1.7</t>
  </si>
  <si>
    <t>Hojas con celosía</t>
  </si>
  <si>
    <t>12.2.1.8</t>
  </si>
  <si>
    <t>Hojas con celosía para muebles bajos</t>
  </si>
  <si>
    <t>12.2.1.9</t>
  </si>
  <si>
    <t>Hojas inspección ductos</t>
  </si>
  <si>
    <t>12.2.2</t>
  </si>
  <si>
    <t>BARANDAS Y PASAMANOS</t>
  </si>
  <si>
    <t>12.2.2.1</t>
  </si>
  <si>
    <t>Pasamanos en tubo de 1 1/2 "</t>
  </si>
  <si>
    <t>12.2.2.2</t>
  </si>
  <si>
    <t>Pasamanos en tubo</t>
  </si>
  <si>
    <t>12.2.2.3</t>
  </si>
  <si>
    <t>Barandas en tubo A.N. de 2 plg y malla galvanizada</t>
  </si>
  <si>
    <t>12.2.2.4</t>
  </si>
  <si>
    <t>Baranda metálica en  tubos cuadrados</t>
  </si>
  <si>
    <t>12.2.3</t>
  </si>
  <si>
    <t>REJAS Y REJILLAS</t>
  </si>
  <si>
    <t>12.2.3.1</t>
  </si>
  <si>
    <t>Rejas en varilla cuadrada</t>
  </si>
  <si>
    <t>12.2.3.2</t>
  </si>
  <si>
    <t xml:space="preserve">Puertas ventanas en rejas de varilla cuadrada para aulas </t>
  </si>
  <si>
    <t>12.2.3.3</t>
  </si>
  <si>
    <t xml:space="preserve">Puertas en reja de varilla cuadrada para ingreso baños </t>
  </si>
  <si>
    <t>12.2.3.4</t>
  </si>
  <si>
    <t>Rejillas de Ventilación</t>
  </si>
  <si>
    <t>12.2.3.5</t>
  </si>
  <si>
    <t>Rejillas metálica para cañuelas</t>
  </si>
  <si>
    <t>12.2.3.6</t>
  </si>
  <si>
    <t>Rejillas tratamiento radicular arboles</t>
  </si>
  <si>
    <t>12.2.4</t>
  </si>
  <si>
    <t>12.2.4.1</t>
  </si>
  <si>
    <t>Cortasol  pintado</t>
  </si>
  <si>
    <t>12.2.4.2</t>
  </si>
  <si>
    <t>Tapas tanques de agua</t>
  </si>
  <si>
    <t>12.2.4.3</t>
  </si>
  <si>
    <t>Puertas en tubo y malla eslabonada</t>
  </si>
  <si>
    <t>12.2.4.4</t>
  </si>
  <si>
    <t>Ventanas en malla eslabonada</t>
  </si>
  <si>
    <t>12.2.4.5</t>
  </si>
  <si>
    <t>Claraboyas en lámina</t>
  </si>
  <si>
    <t>12.2.4.6</t>
  </si>
  <si>
    <t>Tapas ductos basuras en acero inoxidable</t>
  </si>
  <si>
    <t>12.2.4.7</t>
  </si>
  <si>
    <t>Tolvas basuras en acero inoxidable</t>
  </si>
  <si>
    <t>12.2.4.8</t>
  </si>
  <si>
    <t>Juntas de construcción en lámina galvanizada</t>
  </si>
  <si>
    <t>12.2.4.9</t>
  </si>
  <si>
    <t>Juntas de construcción en lámina alfajor</t>
  </si>
  <si>
    <t>12.2.4.10</t>
  </si>
  <si>
    <t>CARPINTERIA DE MADERA</t>
  </si>
  <si>
    <t>13.1</t>
  </si>
  <si>
    <t>MARCOS Y PUERTAS</t>
  </si>
  <si>
    <t>13.1.1</t>
  </si>
  <si>
    <t>HOJAS ENTAMBORADAS LISAS</t>
  </si>
  <si>
    <t>13.1.2</t>
  </si>
  <si>
    <t>HOJAS ENTAMBORADAS CON REJILLA   DE   VENTILACIÓN</t>
  </si>
  <si>
    <t>13.1.3</t>
  </si>
  <si>
    <t>HOJAS ENTAMBORADAS CON ENCHAPE EN ACERO INOX</t>
  </si>
  <si>
    <t>13.1.4</t>
  </si>
  <si>
    <t>PANELES  REMOVIBLES    CON   AISLAMIENTOS  ACÚSTICO</t>
  </si>
  <si>
    <t>13.2</t>
  </si>
  <si>
    <t>MUEBLES</t>
  </si>
  <si>
    <t>13.2.1</t>
  </si>
  <si>
    <t>MUEBLE INTEGRAL PARA AULAS</t>
  </si>
  <si>
    <t>13.2.2</t>
  </si>
  <si>
    <t>MUEBLES PARA COMPUTADOR</t>
  </si>
  <si>
    <t>13.2.3</t>
  </si>
  <si>
    <t>MUEBLE BAJO TIPO ESTANTERIA</t>
  </si>
  <si>
    <t>13.2.4</t>
  </si>
  <si>
    <t>MUEBLE ALTO TIPO ESTANTERIA</t>
  </si>
  <si>
    <t>13.2.5</t>
  </si>
  <si>
    <t>MUEBLE TIPO CLOSET</t>
  </si>
  <si>
    <t>13.2.6</t>
  </si>
  <si>
    <t>MUEBLE BAJO LAVAMANOS</t>
  </si>
  <si>
    <t>13.2.7</t>
  </si>
  <si>
    <t>MUEBLE BAJO TIPO PORTERÍA</t>
  </si>
  <si>
    <t>13.2.8</t>
  </si>
  <si>
    <t>ENTREPAÑOS EN MADERA</t>
  </si>
  <si>
    <t>13.3</t>
  </si>
  <si>
    <t>13.3.1</t>
  </si>
  <si>
    <t>MUEBLE COCINA INTEGRAL</t>
  </si>
  <si>
    <t>13.3.2</t>
  </si>
  <si>
    <t>TARIMA PARA AUDITORIO</t>
  </si>
  <si>
    <t>ENCHAPES</t>
  </si>
  <si>
    <t>14.1</t>
  </si>
  <si>
    <t>14.1.1</t>
  </si>
  <si>
    <t>CERAMICA  20 x 20; INCLUYE WING PERIMETRAL</t>
  </si>
  <si>
    <t>14.1.2</t>
  </si>
  <si>
    <t>CERAMICA DE 30 X 30</t>
  </si>
  <si>
    <t>14.1.3</t>
  </si>
  <si>
    <t>CENEFAS EN CERÁMICA DE 0.20</t>
  </si>
  <si>
    <t>14.1.4</t>
  </si>
  <si>
    <t>CENEFAS EN CERÁMICA DE 0.30</t>
  </si>
  <si>
    <t>SOBRE MESONES</t>
  </si>
  <si>
    <t>14.2.1</t>
  </si>
  <si>
    <t>GRANITO PULIDO - LAVAMANOS</t>
  </si>
  <si>
    <t>14.2.2</t>
  </si>
  <si>
    <t>GRANITO PULIDO - LABORATORIOS</t>
  </si>
  <si>
    <t>14.2.3</t>
  </si>
  <si>
    <t>TABLETA CERÁMICA</t>
  </si>
  <si>
    <t>14.2.4</t>
  </si>
  <si>
    <t>BALDOSÍN VIBROPRENSADO GRANITO</t>
  </si>
  <si>
    <t>14.3</t>
  </si>
  <si>
    <t>14.3.1</t>
  </si>
  <si>
    <t>POCETAS DE ASEO EN GRANITO PULIDO</t>
  </si>
  <si>
    <t>14.3.2</t>
  </si>
  <si>
    <t>BORDILLOS DUCHAS EN CERAMICA 20 x 20</t>
  </si>
  <si>
    <t>14.3.3</t>
  </si>
  <si>
    <t>BORDILLOS DUCHAS EN CERÁMICA 30 x 30</t>
  </si>
  <si>
    <t>ILUMINACION</t>
  </si>
  <si>
    <t>15.1</t>
  </si>
  <si>
    <t>LAMPARAS FLUORESCENTES</t>
  </si>
  <si>
    <t>15.1.1</t>
  </si>
  <si>
    <t>LAMPARAS FLUORESCENTES T-8 DE 1 x 17 w</t>
  </si>
  <si>
    <t>15.1.2</t>
  </si>
  <si>
    <t>LAMPARAS FLUORESCENTES T-8 DE 1 x 32 w</t>
  </si>
  <si>
    <t>15.1.3</t>
  </si>
  <si>
    <t>LAMPARAS FLUORESCENTES DE 2 x 32 w (Incluye suministro, montaje y conexión de lampara fluorescente de bajo consumo, alto factor, accesorios para derivación de salida y soportes de fijación para descolgar luminaria)</t>
  </si>
  <si>
    <t>15.1.4</t>
  </si>
  <si>
    <t>LAMPARAS FLUORESCENTES T-8 DE 2 x 32 w TUBO CORRIDO</t>
  </si>
  <si>
    <t>15.1.5</t>
  </si>
  <si>
    <t>LAMPARAS FLUORESCENTES T-8 DE 4 x 32 w</t>
  </si>
  <si>
    <t>15.1.6</t>
  </si>
  <si>
    <t>LAMPARAS FLUORESCENTES T-8 DE 2 x 59 w</t>
  </si>
  <si>
    <t>15.2</t>
  </si>
  <si>
    <t>BALAS Y APLIQUES</t>
  </si>
  <si>
    <t>15.2.1</t>
  </si>
  <si>
    <t>BALAS Y BOMBILLO FLUORESCENTES 13 w</t>
  </si>
  <si>
    <t>15.2.2</t>
  </si>
  <si>
    <t>BALAS Y BOMBILLO FLUORESCENTES 26 w</t>
  </si>
  <si>
    <t>15.2.3</t>
  </si>
  <si>
    <t>BALAS Y BOMBILLO FLUORESCENTES 2 x 13 w</t>
  </si>
  <si>
    <t>15.2.4</t>
  </si>
  <si>
    <t>BALAS Y BOMBILLO FLUORESCENTES 2 x 26 w</t>
  </si>
  <si>
    <t>15.2.5</t>
  </si>
  <si>
    <t>BALAS BOMBILLO INCANDECENTES</t>
  </si>
  <si>
    <t>15.2.6</t>
  </si>
  <si>
    <t>BALAS BOMBILLO HALOGENO</t>
  </si>
  <si>
    <t>15.3</t>
  </si>
  <si>
    <t>LUMINARIAS DE DESCARGA</t>
  </si>
  <si>
    <t>15.3.1</t>
  </si>
  <si>
    <t>LUMINARIAS DE SODIO DE 70 w</t>
  </si>
  <si>
    <t>15.3.2</t>
  </si>
  <si>
    <t>LUMINARIAS DE SODIO DE 150 w</t>
  </si>
  <si>
    <t>15.3.3</t>
  </si>
  <si>
    <t>LUMINARIAS DE SODIO DE 250 w</t>
  </si>
  <si>
    <t>15.3.4</t>
  </si>
  <si>
    <t>LUMINARIAS DE METAL HALIDE DE 150 w</t>
  </si>
  <si>
    <t>15.3.5</t>
  </si>
  <si>
    <t>LUMINARIAS DE METAL HALIDE DE 250 w</t>
  </si>
  <si>
    <t>15.3.6</t>
  </si>
  <si>
    <t>LUMINARIAS DE METAL HALIDE DE 400 w</t>
  </si>
  <si>
    <t>15.3.7</t>
  </si>
  <si>
    <t>LUMINARIAS DE MERCURIO DE 250 w</t>
  </si>
  <si>
    <t>15.4</t>
  </si>
  <si>
    <t>15.4.1</t>
  </si>
  <si>
    <t>PROYECTOR HALOGENO DE 120 v 500 w</t>
  </si>
  <si>
    <t>15.4.2</t>
  </si>
  <si>
    <t>LAMPARAS TIPO WALL PACK</t>
  </si>
  <si>
    <t>APARATOS SANITARIOS Y ACCESORIOS</t>
  </si>
  <si>
    <t>16.1</t>
  </si>
  <si>
    <t xml:space="preserve">APARATOS SANITARIOS </t>
  </si>
  <si>
    <t>16.1.1</t>
  </si>
  <si>
    <t>SANITARIO DE FLUXOMETRO</t>
  </si>
  <si>
    <t>16.1.2</t>
  </si>
  <si>
    <t>SANITARIO INFANTIL</t>
  </si>
  <si>
    <t>16.1.3</t>
  </si>
  <si>
    <t>SUMINISTRO E INSTALACIÓN SANITARIOS DE TANQUE</t>
  </si>
  <si>
    <t>16.1.4</t>
  </si>
  <si>
    <t>SUMINISTRO E INSTALACIÓN ORINAL MEDIANO</t>
  </si>
  <si>
    <t>16.1.5</t>
  </si>
  <si>
    <t>LAVAMANOS DE SOBREPONER</t>
  </si>
  <si>
    <t>16.1.6</t>
  </si>
  <si>
    <t>LAVAMANOS OTROS</t>
  </si>
  <si>
    <t>16.1.7</t>
  </si>
  <si>
    <t>LAVAMANOS DE COLGAR</t>
  </si>
  <si>
    <t>16.1.8</t>
  </si>
  <si>
    <t>SANITARIO PARA DISCAPACITADOS</t>
  </si>
  <si>
    <t>16.1.9</t>
  </si>
  <si>
    <t xml:space="preserve">DUCHA </t>
  </si>
  <si>
    <t>16.1.10</t>
  </si>
  <si>
    <t>DUCHA DE EMERGENCIA</t>
  </si>
  <si>
    <t>16.1.11</t>
  </si>
  <si>
    <t>POCETA ACERO INOXIDABLE LABORATORIOS</t>
  </si>
  <si>
    <t>16.2</t>
  </si>
  <si>
    <t>ACCESORIOS</t>
  </si>
  <si>
    <t>16.2.1</t>
  </si>
  <si>
    <t>POCETAS DE ASEO (Incluye enchape, win y válvula de pozuelo en bronce)</t>
  </si>
  <si>
    <t>16.2.2</t>
  </si>
  <si>
    <t>16.2.3</t>
  </si>
  <si>
    <t>JABONERAS DE SOBREPONER EN ACERO SATINADO</t>
  </si>
  <si>
    <t>16.2.4</t>
  </si>
  <si>
    <t>TAPARREGISTRO ACERO INOXIDABLE CON CERRADURA</t>
  </si>
  <si>
    <t>16.2.5</t>
  </si>
  <si>
    <t>LLAVE TERMINAL DE 1/2 PLG</t>
  </si>
  <si>
    <t>16.2.6</t>
  </si>
  <si>
    <t>INCRUSTACIONES</t>
  </si>
  <si>
    <t>16.2.7</t>
  </si>
  <si>
    <t>BARRAS DE APOYO DISCAPACITADOS</t>
  </si>
  <si>
    <t>CIELOS RASOS Y DIVISIONES</t>
  </si>
  <si>
    <t>17.1</t>
  </si>
  <si>
    <t xml:space="preserve">CIELOS RASOS  </t>
  </si>
  <si>
    <t>17.1.1</t>
  </si>
  <si>
    <t>CIELOS RASOS EN SUPERCELL</t>
  </si>
  <si>
    <t>17.1.2</t>
  </si>
  <si>
    <t>CIELOS RASOS EN DURACUSTIC DE 5/8"</t>
  </si>
  <si>
    <t>17.1.3</t>
  </si>
  <si>
    <t>CIELOS RASOS EN DRY WALL</t>
  </si>
  <si>
    <t>17.1.4</t>
  </si>
  <si>
    <t>CIELOS RASOS EN PLYCEM</t>
  </si>
  <si>
    <t>17.2</t>
  </si>
  <si>
    <t>DIVISIONES Y OTROS</t>
  </si>
  <si>
    <t>17.2.1</t>
  </si>
  <si>
    <t>PUERTA PARA BAÑO EN VIDRIO TEMPLADO (Incluye, suministro, instalación y accesorios)</t>
  </si>
  <si>
    <t>17,2,2</t>
  </si>
  <si>
    <t xml:space="preserve">PUERTA SISTEMA CONSTRUCTIVO EN PVC DE 0,95 X 1,60 M; INCLUYE MARCO METÁLICO. </t>
  </si>
  <si>
    <t>17,2,4</t>
  </si>
  <si>
    <t>DIVISIONES EN MAMPOSTERÍA PARA SANITARIOS Y ORINALES DE E = 0,09 M</t>
  </si>
  <si>
    <t>PINTURA</t>
  </si>
  <si>
    <t>18.1</t>
  </si>
  <si>
    <t>SOBRE MAMPOSTERIA</t>
  </si>
  <si>
    <t>18.1.1</t>
  </si>
  <si>
    <t>PINTURA 100% ACRILICA  PARA EXTERIORES 3 MANOS</t>
  </si>
  <si>
    <t>18.1.2</t>
  </si>
  <si>
    <t>ESMALTE EPOXICO DE DOS COMPONENTES</t>
  </si>
  <si>
    <t>18.1.3</t>
  </si>
  <si>
    <t>ESTUCO Y VINILO TIPO I PARA MUROS Y CIELO RASOS 3 MANOS</t>
  </si>
  <si>
    <t>18.1.4</t>
  </si>
  <si>
    <t>VINILO TIPO I PARA MUROS Y CIELO RASOS SIN ESTUCO 3 MANOS</t>
  </si>
  <si>
    <t>18.1.5</t>
  </si>
  <si>
    <t>VINILO CIELOS SIN ESTUCO</t>
  </si>
  <si>
    <t>18.2</t>
  </si>
  <si>
    <t>SOBRE METAL</t>
  </si>
  <si>
    <t>18.2.1</t>
  </si>
  <si>
    <t>ESMALTE SOBRE MARCOS LAMINA</t>
  </si>
  <si>
    <t>18.2.2</t>
  </si>
  <si>
    <t>ESMALTE SOBRE HOJAS PUERTAS</t>
  </si>
  <si>
    <t>18.2.3</t>
  </si>
  <si>
    <t>ESMALTE SOBRE REJAS</t>
  </si>
  <si>
    <t>18.2.4</t>
  </si>
  <si>
    <t>ESMALTE SOBRE REJILLAS</t>
  </si>
  <si>
    <t>18.2.5</t>
  </si>
  <si>
    <t>ESMALTE SOBRE BARANDAS</t>
  </si>
  <si>
    <t>18.2.6</t>
  </si>
  <si>
    <t>ESMALTE SOBRE PASAMANOS</t>
  </si>
  <si>
    <t>18.2.7</t>
  </si>
  <si>
    <t>ESMALTE SOBRE TAPAS TANQUE</t>
  </si>
  <si>
    <t>18.2.8</t>
  </si>
  <si>
    <t>ESMALTE ESCALERAS DE GATO</t>
  </si>
  <si>
    <t>18.2.9</t>
  </si>
  <si>
    <t>18.3</t>
  </si>
  <si>
    <t>SOBRE MADERA</t>
  </si>
  <si>
    <t>18.3.1</t>
  </si>
  <si>
    <t>18.3.2</t>
  </si>
  <si>
    <t>ESMALTE SOBRE MUEBLES AULAS</t>
  </si>
  <si>
    <t>18.3.3</t>
  </si>
  <si>
    <t>ESMALTE SOBRE MUEBLES COMPUTADOR</t>
  </si>
  <si>
    <t>18.3.4</t>
  </si>
  <si>
    <t>ESMALTE SOBRE MUEBLES ESTANTERIA</t>
  </si>
  <si>
    <t>18.3.5</t>
  </si>
  <si>
    <t>ESMALTE SOBRE MUEBLES CLOSETS</t>
  </si>
  <si>
    <t>18.3.6</t>
  </si>
  <si>
    <t>ESMALTE MUEBLES BAJOS</t>
  </si>
  <si>
    <t>18.3.7</t>
  </si>
  <si>
    <t>18.4</t>
  </si>
  <si>
    <t>18.4.1</t>
  </si>
  <si>
    <t>DEMARCACIóN PARQUEADEROS</t>
  </si>
  <si>
    <t>18.4.2</t>
  </si>
  <si>
    <t>DEMARCACIóN CANCHAS DEPORTIVAS</t>
  </si>
  <si>
    <t>CERRADURAS Y VIDRIOS</t>
  </si>
  <si>
    <t>19.1</t>
  </si>
  <si>
    <t>CERRADURAS</t>
  </si>
  <si>
    <t>19.1.1</t>
  </si>
  <si>
    <t>CERRADURAS PARA BAÑOS Y AULAS.</t>
  </si>
  <si>
    <t>19.1.2</t>
  </si>
  <si>
    <t xml:space="preserve">PARA OFICINAS </t>
  </si>
  <si>
    <t>19.1.3</t>
  </si>
  <si>
    <t>PARA ACCESOS</t>
  </si>
  <si>
    <t>19.1.4</t>
  </si>
  <si>
    <t xml:space="preserve">DOBLE CILINDRO </t>
  </si>
  <si>
    <t>19.1.5</t>
  </si>
  <si>
    <t>OTRAS</t>
  </si>
  <si>
    <t>19.2</t>
  </si>
  <si>
    <t xml:space="preserve">HERRAJES  </t>
  </si>
  <si>
    <t>19.2.1</t>
  </si>
  <si>
    <t>BRAZOS HIDRAÚLICOS</t>
  </si>
  <si>
    <t>19.2.2</t>
  </si>
  <si>
    <t>MANIJAS HORIZONTALES</t>
  </si>
  <si>
    <t>19.2.3</t>
  </si>
  <si>
    <t>TOPES</t>
  </si>
  <si>
    <t>19.4</t>
  </si>
  <si>
    <t>VIDRIOS Y ESPEJOS</t>
  </si>
  <si>
    <t>19.4.1</t>
  </si>
  <si>
    <t>ESPEJOS BISELADOS DE 4 MM</t>
  </si>
  <si>
    <t>19.4.2</t>
  </si>
  <si>
    <t>VIDRIO CRUDO 5 mm (pulido extremos, todo costo)</t>
  </si>
  <si>
    <t>19.4.3</t>
  </si>
  <si>
    <t>VIDRIO TEMPLADO</t>
  </si>
  <si>
    <t>19.4.4</t>
  </si>
  <si>
    <t>OBRAS EXTERIORES</t>
  </si>
  <si>
    <t>20.1</t>
  </si>
  <si>
    <t>MOVIMIENTO DE TIERRAS Y REEMPLAZOS</t>
  </si>
  <si>
    <t>20.1.1</t>
  </si>
  <si>
    <t>EXCAVACIÓN A MAQUINA MATERIAL COMUN</t>
  </si>
  <si>
    <t>20.1.2</t>
  </si>
  <si>
    <t>EXCAVACIÓN A MANO MATERIAL COMUN</t>
  </si>
  <si>
    <t>20.1.3</t>
  </si>
  <si>
    <t>RELLENOS EN MATERIAL COMUN</t>
  </si>
  <si>
    <t>20.1.4</t>
  </si>
  <si>
    <t>RELLENOS EN MATERIAL SELECCIONADO</t>
  </si>
  <si>
    <t>20.1.5</t>
  </si>
  <si>
    <t>20.2</t>
  </si>
  <si>
    <t>ZONAS DURAS Y PLAZOLETAS</t>
  </si>
  <si>
    <t>20.2.1</t>
  </si>
  <si>
    <t>ANDENES EN CONCRETO 2500 PSI; INCLUYE MALLA (grafil 4 mm y separación 15x25) Y POLIETILENO</t>
  </si>
  <si>
    <t>20.2.2</t>
  </si>
  <si>
    <t>SARDINELES  EN CONCRETO  PREFABRICADO</t>
  </si>
  <si>
    <t>20.2.3</t>
  </si>
  <si>
    <t>20.2.4</t>
  </si>
  <si>
    <t>20.2.5</t>
  </si>
  <si>
    <t>ADOQUIN EN CONCRETO</t>
  </si>
  <si>
    <t>20.2.6</t>
  </si>
  <si>
    <t>ADOQUIN DE ARCILLA</t>
  </si>
  <si>
    <t>20.2.7</t>
  </si>
  <si>
    <t>TABLON CUARTO 26</t>
  </si>
  <si>
    <t>20.2.8</t>
  </si>
  <si>
    <t>TABLON DE GRES</t>
  </si>
  <si>
    <t>20.2.9</t>
  </si>
  <si>
    <t xml:space="preserve">DILATACIONES EN LADRILLO </t>
  </si>
  <si>
    <t>20.2.10</t>
  </si>
  <si>
    <t>20.2.11</t>
  </si>
  <si>
    <t>PAVIMENTO EN CONCRETO CANCHAS DEPORTIVAS</t>
  </si>
  <si>
    <t>20.2.12</t>
  </si>
  <si>
    <t xml:space="preserve">PAVIMENTO ASFÁLTICO </t>
  </si>
  <si>
    <t>20.2.13</t>
  </si>
  <si>
    <t>ESCALINATAS  EN CONCRETO</t>
  </si>
  <si>
    <t>20.2.14</t>
  </si>
  <si>
    <t>GRADAS EN LADRILLO TOLETE</t>
  </si>
  <si>
    <t>20.2.15</t>
  </si>
  <si>
    <t>PISOS EN BALDOSÍN VIBROPRENSADO DE GRANITO</t>
  </si>
  <si>
    <t>20.2.16</t>
  </si>
  <si>
    <t>GRADERÍAS EN CONCRETO</t>
  </si>
  <si>
    <t>20.2.17</t>
  </si>
  <si>
    <t>CAÑUELA PERIMETRAL CANCHAS</t>
  </si>
  <si>
    <t>20.2.18</t>
  </si>
  <si>
    <t>20.3</t>
  </si>
  <si>
    <t>CERRAMIENTOS</t>
  </si>
  <si>
    <t>20.3.1</t>
  </si>
  <si>
    <t>SOLADO Esp - 0,05mts.</t>
  </si>
  <si>
    <t>20.3.2</t>
  </si>
  <si>
    <t>CONCRETO CICLOPEO</t>
  </si>
  <si>
    <t>20.3.3</t>
  </si>
  <si>
    <t>VIGAS DE AMARRE EN CONCRETO</t>
  </si>
  <si>
    <t>20.3.4</t>
  </si>
  <si>
    <t>MUROS PARA CERRAMIENTO</t>
  </si>
  <si>
    <t>20.3.5</t>
  </si>
  <si>
    <t>CERRAMIENTO MALLA ESLABONADA Y TUBO</t>
  </si>
  <si>
    <t>20.3.6</t>
  </si>
  <si>
    <t>MUROS DE CONTENCIÓN EN CONCRETO</t>
  </si>
  <si>
    <t>20.3.7</t>
  </si>
  <si>
    <t>20.4</t>
  </si>
  <si>
    <t>ZONAS VERDES</t>
  </si>
  <si>
    <t>20.4.1</t>
  </si>
  <si>
    <t>MOVIMIENTO DE TIERRAS Y NIVELACION TERRENO</t>
  </si>
  <si>
    <t>20.4.2</t>
  </si>
  <si>
    <t>PRADIZACION</t>
  </si>
  <si>
    <t>20.4.3</t>
  </si>
  <si>
    <t>JARDINERAS</t>
  </si>
  <si>
    <t>20.4.4</t>
  </si>
  <si>
    <t>ARBORIZACIÓN</t>
  </si>
  <si>
    <t>20.4.5</t>
  </si>
  <si>
    <t>20.5</t>
  </si>
  <si>
    <t>20.5.1</t>
  </si>
  <si>
    <t>20.5.2</t>
  </si>
  <si>
    <t>PERGOLAS METALICAS</t>
  </si>
  <si>
    <t>20.5.3</t>
  </si>
  <si>
    <t>ACERO DE REFUERZO DE 37000 PSI</t>
  </si>
  <si>
    <t>20.5.4</t>
  </si>
  <si>
    <t>ACERO DE REFUERZO DE 60000 PSI</t>
  </si>
  <si>
    <t>20.5.5</t>
  </si>
  <si>
    <t>20.5.6</t>
  </si>
  <si>
    <t>ASEO Y VARIOS</t>
  </si>
  <si>
    <t>21.1</t>
  </si>
  <si>
    <t>ASEO Y LIMPIEZA</t>
  </si>
  <si>
    <t>21.1.1</t>
  </si>
  <si>
    <t>LAVADA LADRILLO A LA VISTA (Incluye antihumedad fachada)</t>
  </si>
  <si>
    <t>21.1.2</t>
  </si>
  <si>
    <t>LIMPIEZA MUROS INTERIORES</t>
  </si>
  <si>
    <t>21.1.3</t>
  </si>
  <si>
    <t>ASEO GENERAL</t>
  </si>
  <si>
    <t>21.1.4</t>
  </si>
  <si>
    <t>RETIRO DE ESCOMBROS</t>
  </si>
  <si>
    <t>21.2</t>
  </si>
  <si>
    <t>DOTACION</t>
  </si>
  <si>
    <t>21.2.1</t>
  </si>
  <si>
    <t>GABINETES DE INCENDIO</t>
  </si>
  <si>
    <t>21.2.2</t>
  </si>
  <si>
    <t>BICICLETEROS</t>
  </si>
  <si>
    <t>21.2.3</t>
  </si>
  <si>
    <t>CANECAS</t>
  </si>
  <si>
    <t>21.2.4</t>
  </si>
  <si>
    <t>ASTAS PARA BANDERAS</t>
  </si>
  <si>
    <t>21.2.5</t>
  </si>
  <si>
    <t>MODULO JUEGOS INFANTILES MADERA</t>
  </si>
  <si>
    <t>21.2.6</t>
  </si>
  <si>
    <t xml:space="preserve">TABLERO BASQUETBOL Y PORTERIA </t>
  </si>
  <si>
    <t>21.2.7</t>
  </si>
  <si>
    <t>DESCRIPCION</t>
  </si>
  <si>
    <t>CANT</t>
  </si>
  <si>
    <t>VR PARCIAL</t>
  </si>
  <si>
    <t>VR ITEM</t>
  </si>
  <si>
    <t xml:space="preserve">VR M2 INC AIU </t>
  </si>
  <si>
    <t>VR TOTAL</t>
  </si>
  <si>
    <t>AREA TOTAL CONSTRUCCION</t>
  </si>
  <si>
    <t>AREA AULAS</t>
  </si>
  <si>
    <t>AREA LABORATORIOS</t>
  </si>
  <si>
    <t>AREA BATERIAS SANITARIAS</t>
  </si>
  <si>
    <t>AREA CIRCULACIONES</t>
  </si>
  <si>
    <t>AREA ESCALERAS Y/O OTRAS CIRCULACIONES</t>
  </si>
  <si>
    <t>SUB TOTAL PROYECTO</t>
  </si>
  <si>
    <t>A.I.U.  20%</t>
  </si>
  <si>
    <t>IMPUESTO DE GUERRA 5%</t>
  </si>
  <si>
    <t>TOTAL</t>
  </si>
  <si>
    <t>DOTACION DE MOBILIARIO</t>
  </si>
  <si>
    <t>UNIDAD</t>
  </si>
  <si>
    <t>VLR  TOTAL</t>
  </si>
  <si>
    <t>DME-1</t>
  </si>
  <si>
    <t xml:space="preserve">Pupitre y silla para docente que cumpla con la Norma NTC 4641 </t>
  </si>
  <si>
    <t xml:space="preserve">UN </t>
  </si>
  <si>
    <t>DME-2</t>
  </si>
  <si>
    <t>Butaco para laboratorio que cumpla con la norma NTC 4730</t>
  </si>
  <si>
    <t>DME-3</t>
  </si>
  <si>
    <t>Tablero con dimensiones 2,40 M x 1,20 m, para escribir con marcado de tinta seca borrable, y que cumpla con la norma NTC 4726</t>
  </si>
  <si>
    <t>DME-4</t>
  </si>
  <si>
    <t>Mesa Trapezoidal y silla NTC 4731 Clase 1 Nivel de Preescolar.</t>
  </si>
  <si>
    <t>DME-5</t>
  </si>
  <si>
    <t>Silla Universitaria que cumpla la Norma NTC 4734,</t>
  </si>
  <si>
    <t>Sub Total Dotación mobiliario para  aulas</t>
  </si>
  <si>
    <t>VALOR TOTAL PROYECTO</t>
  </si>
  <si>
    <t>Asignado Proyecto</t>
  </si>
  <si>
    <t>Pendiente presup.</t>
  </si>
  <si>
    <t>AMBIENTES</t>
  </si>
  <si>
    <t>BATERIAS</t>
  </si>
  <si>
    <t>ESCALERAS Y OTRAS</t>
  </si>
  <si>
    <t>SUBTOTAL</t>
  </si>
  <si>
    <t>Asignado</t>
  </si>
  <si>
    <t>ARQ. EDGAR PANTOJA ROSAS</t>
  </si>
  <si>
    <t>PRESUPUESTO  POR INSUMOS</t>
  </si>
  <si>
    <t>COSTOS DE TRANSPORTE</t>
  </si>
  <si>
    <t>Horas</t>
  </si>
  <si>
    <t>Capacidad</t>
  </si>
  <si>
    <t>Tarifa hora</t>
  </si>
  <si>
    <t>Tarifa por viaje</t>
  </si>
  <si>
    <t>Cantidad</t>
  </si>
  <si>
    <t>Volqueta c/operario y combustible 6m3 max  30 Km</t>
  </si>
  <si>
    <t>Volqueta c/operario y combustible 5,5m3 max 30 Km</t>
  </si>
  <si>
    <t>Camión 4 Toneladas max 30 Km</t>
  </si>
  <si>
    <t>TN</t>
  </si>
  <si>
    <t>Camión 8 Toneladas max 30 Km</t>
  </si>
  <si>
    <t>Cama-baja max 30 Km</t>
  </si>
  <si>
    <t>Campero max 30 Km</t>
  </si>
  <si>
    <t>Chalupa max 30 Km</t>
  </si>
  <si>
    <t>Transporte elementos prefabricados max 30 Km</t>
  </si>
  <si>
    <t>Carretilla tipo bugue max 0,2 Km</t>
  </si>
  <si>
    <t xml:space="preserve">REPUBLICA DE COLOMBIA
</t>
  </si>
  <si>
    <t xml:space="preserve"> PRESUPUESTO  DE OBRA DETALLADO </t>
  </si>
  <si>
    <t>CAPITULO I - PRELIMINARES</t>
  </si>
  <si>
    <t>1,01,01</t>
  </si>
  <si>
    <t>LOCALIZACION TOPOGRAFICA, GEOREFERENCIACION, DIGITALIZACION DE PLANOS, CARTERAS DE NIVELACION, PRECISION Y CONTRANIVELACION.</t>
  </si>
  <si>
    <t>1,02,01</t>
  </si>
  <si>
    <t>DEMOLICION DE SARDINELES</t>
  </si>
  <si>
    <t>1,02,02</t>
  </si>
  <si>
    <t>DEMOLICION DE ANDENES</t>
  </si>
  <si>
    <t>1,02,03</t>
  </si>
  <si>
    <t>DEMOLICIÓN DE PLACA DE PAVIMENTO MACIZA - " HASTA UN ESPESOR DE e=0,18 mts"</t>
  </si>
  <si>
    <t xml:space="preserve">RETIRO DE ADOQUÌN </t>
  </si>
  <si>
    <t>1,03,01</t>
  </si>
  <si>
    <t>CAPITULO II - MOVIMIENTO DE TIERRAS</t>
  </si>
  <si>
    <t>2,01,01</t>
  </si>
  <si>
    <t>EXCAVACIÓN MANUAL EN MATERIAL COMÚN 1.00&lt;= h &lt; 2.0m</t>
  </si>
  <si>
    <t>2,01,02</t>
  </si>
  <si>
    <t>2,01,03</t>
  </si>
  <si>
    <t>2,01,04</t>
  </si>
  <si>
    <t>DESALOJO Y DISPOSICIÓN FINAL MATERIAL PROVENIENTES DE EXCAVACIONES COMO DEMOLICIONES.</t>
  </si>
  <si>
    <t>2,01,05</t>
  </si>
  <si>
    <t>MATERIAL DE MEJORAMIENTO DEL FONDO DE LAS ZANJAS PARA TUBERIA- RECEBO COMPACTADO AL 95% DEL PROCTOR MODIFICADO - e= 0,30 Ver. Estudio de Suelos.</t>
  </si>
  <si>
    <t>2,01,06</t>
  </si>
  <si>
    <t>MATERIAL DE COLCHON Y ATRAQUE - MATERIAL ARENA LIMOSA, PARA TUBERIA. e=0,20, Ver. Estudio de Suelos.</t>
  </si>
  <si>
    <t>2,01,07</t>
  </si>
  <si>
    <t xml:space="preserve">RELLENO DE ZANJAS CON MATERIAL SELECCIONADO  - RECEBO COMPACTADO AL 95% DEL PROCTOR MODIFICADO. </t>
  </si>
  <si>
    <t>2,01,08</t>
  </si>
  <si>
    <t>CAPITULO III - SUMINISTRO</t>
  </si>
  <si>
    <t>SUMINISTRO DE TUBERIA Y ACSESORIOS</t>
  </si>
  <si>
    <t>3,01,01</t>
  </si>
  <si>
    <t>SUMINISTRO DE TUBERIA PVC SANITARIA ESTRUCT.d=10"</t>
  </si>
  <si>
    <t>3,01,02</t>
  </si>
  <si>
    <t>SUMINISTRO DE TUBERIA PVC SANITARIA ESTRUCT.d=12"</t>
  </si>
  <si>
    <t>3,01,03</t>
  </si>
  <si>
    <t>SUMINISTRO DE TUBERIA PVC SANITARIA ESTRUCT.d=14"</t>
  </si>
  <si>
    <t>3,01,04</t>
  </si>
  <si>
    <t>SUMINISTRO DE TUBERIA PVC SANITARIA ESTRUCT.d=16"</t>
  </si>
  <si>
    <t>3,01,05</t>
  </si>
  <si>
    <t>SUMINISTRO DE TUBERIA PVC SANITARIA ESTRUCT.d=18"</t>
  </si>
  <si>
    <t>3,01,06</t>
  </si>
  <si>
    <t>SUMINISTRO DE TUBERIA PVC SANITARIA ESTRUCT.d=20"</t>
  </si>
  <si>
    <t>3,01,07</t>
  </si>
  <si>
    <t>SUMINISTRO DE TUBERIA PVC SANITARIA ESTRUCT.d=24"</t>
  </si>
  <si>
    <t>3,01,08</t>
  </si>
  <si>
    <t>SUMINISTRO "SILLAS YEE" ACOMETIDA DOMICILIARIA 6 x 10</t>
  </si>
  <si>
    <t>UND</t>
  </si>
  <si>
    <t>3,01,09</t>
  </si>
  <si>
    <t>SUMINISTRO "SILLAS YEE" ACOMETIDA DOMICILIARIA 6 x 12</t>
  </si>
  <si>
    <t>3,01,10</t>
  </si>
  <si>
    <t>SUMINISTRO "SILLAS YEE" ACOMETIDA DOMICILIARIA 6 x 14</t>
  </si>
  <si>
    <t>3,01,11</t>
  </si>
  <si>
    <t>SUMINISTRO "SILLAS YEE" ACOMETIDA DOMICILIARIA 6 x 16</t>
  </si>
  <si>
    <t>3,01,12</t>
  </si>
  <si>
    <t>SUMINISTRO "SILLAS YEE" ACOMETIDA DOMICILIARIA 6 x 18</t>
  </si>
  <si>
    <t>3,01,13</t>
  </si>
  <si>
    <t>SUMINISTRO "SILLAS YEE" ACOMETIDA DOMICILIARIA 6 x 20</t>
  </si>
  <si>
    <t>3,01,14</t>
  </si>
  <si>
    <t>SUMINISTRO "SILLAS YEE" ACOMETIDA DOMICILIARIA 6 x 24</t>
  </si>
  <si>
    <t>CAPITULO IV - LINEA DE CONDUCCION -  SANITARIA</t>
  </si>
  <si>
    <t>LINEA DE CONDUCCION PRINCIPAL</t>
  </si>
  <si>
    <t>4,01,01</t>
  </si>
  <si>
    <t>INST. TUBERIA PVC SANITARIA ESTRUCT.d=10"</t>
  </si>
  <si>
    <t>4,01,02</t>
  </si>
  <si>
    <t>INST. TUBERIA PVC SANITARIA ESTRUCT.d=12"</t>
  </si>
  <si>
    <t>4,01,03</t>
  </si>
  <si>
    <t>INST. TUBERIA PVC SANITARIA ESTRUCT.d=14"</t>
  </si>
  <si>
    <t>4,01,04</t>
  </si>
  <si>
    <t>INST. TUBERIA PVC SANITARIA ESTRUCT.d=16"</t>
  </si>
  <si>
    <t>4,01,05</t>
  </si>
  <si>
    <t>INST. TUBERIA PVC SANITARIA ESTRUCT.d=18"</t>
  </si>
  <si>
    <t>4,01,06</t>
  </si>
  <si>
    <t>INST. TUBERIA PVC SANITARIA ESTRUCT.d=20"</t>
  </si>
  <si>
    <t>4,01,07</t>
  </si>
  <si>
    <t>INST. TUBERIA PVC SANITARIA ESTRUCT.d=24"</t>
  </si>
  <si>
    <t>4,01,08</t>
  </si>
  <si>
    <t>CONCRETO DE 2500 PSI, PARA ANCLAJE DE TUBERIA</t>
  </si>
  <si>
    <t>4,01,09</t>
  </si>
  <si>
    <t>ATRAQUES DE TUBERIA CONCRETO DE 3000 PSI</t>
  </si>
  <si>
    <t xml:space="preserve">CAPITULO V - CAMARAS, SUMIDEROS Y ALIVIADEROS </t>
  </si>
  <si>
    <t>CAMARAS DE INSPECCION</t>
  </si>
  <si>
    <t>5,01,01</t>
  </si>
  <si>
    <t>CAMARA DE INSPECCION 1.00&lt;=h&lt;2.00, D.Int= 1.20m. CONICA. MAMPOSTERIA</t>
  </si>
  <si>
    <t>5,01,02</t>
  </si>
  <si>
    <t>CAMARA DE INSPECCION 2.00&lt;h&lt;=3.00m, D.Int=1.20m, CONICA. MAMPOSTERIA</t>
  </si>
  <si>
    <t>5,01,03</t>
  </si>
  <si>
    <t>CAMARA DE INSPECCION 3.00&lt;h&lt;=4.00m, D.Int=1.20m, CONICA. MAMPOSTERIA</t>
  </si>
  <si>
    <t>SUMIDEROS</t>
  </si>
  <si>
    <t>5,02,01</t>
  </si>
  <si>
    <t>SUMIDERO TIPO UNO - CONVENCIONAL, 1.02 X 1.00 m; h= 1.80m</t>
  </si>
  <si>
    <t>ALIVIADEROS</t>
  </si>
  <si>
    <t>5,03,01</t>
  </si>
  <si>
    <t xml:space="preserve">ALIVIADERO DE RESALTO  h=2.00m D.Int.=1.40m H=1.0M Cto </t>
  </si>
  <si>
    <t>CABEZALES DE DESCARGA</t>
  </si>
  <si>
    <t>5,04,01</t>
  </si>
  <si>
    <t>CABEZAL DE DESCARGA, tub. Entrega d=10"</t>
  </si>
  <si>
    <t>5,04,02</t>
  </si>
  <si>
    <t>CABEZAL DE DESCARGA, tub. Entrega d=18"</t>
  </si>
  <si>
    <t>CAPITULO VI - ACOMETIDAS DOMICILIARIAS</t>
  </si>
  <si>
    <t>ACOMETIDAS DOMICILIARIAS</t>
  </si>
  <si>
    <t>6,01,01</t>
  </si>
  <si>
    <t>CAJA DOMICILIARIA 0.7 x 0.7x 1,0 m</t>
  </si>
  <si>
    <t>6,01,02</t>
  </si>
  <si>
    <t>INSTALACIÒN "SILLAS YEE" ACOMETIDA DOMICILIARIA 10 x 6, INCLUYE 6 METROS LINEALES EN TUBO PARA ACOMETIDA</t>
  </si>
  <si>
    <t>6,01,03</t>
  </si>
  <si>
    <t>INSTALACIÒN "SILLAS YEE" ACOMETIDA DOMICILIARIA 12 x 6, INCLUYE 6 METROS LINEALES EN TUBO PARA ACOMETIDA</t>
  </si>
  <si>
    <t>6,01,04</t>
  </si>
  <si>
    <t>INSTALACIÒN "SILLAS YEE" ACOMETIDA DOMICILIARIA 14 x 6, INCLUYE 6 METROS LINEALES EN TUBO PARA ACOMETIDA</t>
  </si>
  <si>
    <t>6,01,05</t>
  </si>
  <si>
    <t>INSTALACIÒN "SILLAS YEE" ACOMETIDA DOMICILIARIA 16 x 6, INCLUYE 6 METROS LINEALES EN TUBO PARA ACOMETIDA</t>
  </si>
  <si>
    <t>6,01,06</t>
  </si>
  <si>
    <t>INSTALACIÒN "SILLAS YEE" ACOMETIDA DOMICILIARIA 18 x 6, INCLUYE 6 METROS LINEALES EN TUBO PARA ACOMETIDA</t>
  </si>
  <si>
    <t>6,01,07</t>
  </si>
  <si>
    <t>INSTALACIÒN "SILLAS YEE" ACOMETIDA DOMICILIARIA 20 x 6, INCLUYE 6 METROS LINEALES EN TUBO PARA ACOMETIDA</t>
  </si>
  <si>
    <t>6,01,08</t>
  </si>
  <si>
    <t>INSTALACIÒN "SILLAS YEE" ACOMETIDA DOMICILIARIA 24 x 6, INCLUYE 6 METROS LINEALES EN TUBO PARA ACOMETIDA</t>
  </si>
  <si>
    <t>CAPITULO VII - REPOSICION DE PAVIMENTO, SARDINELES Y ANDENES</t>
  </si>
  <si>
    <t>7.1</t>
  </si>
  <si>
    <t xml:space="preserve">REPOSICION DE PLACA DE PAVIMENTO MACIZA </t>
  </si>
  <si>
    <t>7,01,01</t>
  </si>
  <si>
    <t>REPOSICION DE SARDINELES</t>
  </si>
  <si>
    <t>7,02,01</t>
  </si>
  <si>
    <t>REPOSICION DE ANDENES</t>
  </si>
  <si>
    <t>7,03,01</t>
  </si>
  <si>
    <t>INSTALACIÒN DE ADOQUÌN</t>
  </si>
  <si>
    <t>7,04,01</t>
  </si>
  <si>
    <t>COSTOS DIRECTOS OBRA CIVIL</t>
  </si>
  <si>
    <t>COSTOS DIRECTOS SUMINISTRO DE MATERIALES</t>
  </si>
  <si>
    <t xml:space="preserve">COSTO TOTAL AUI PROYECTO </t>
  </si>
  <si>
    <t>COSTO TOTAL OBRA CIVIL</t>
  </si>
  <si>
    <t>COSTO TOTAL SUMINISTRO</t>
  </si>
  <si>
    <t>-</t>
  </si>
  <si>
    <t>Item No.:</t>
  </si>
  <si>
    <t>Unidad</t>
  </si>
  <si>
    <t>Valor    Unitario</t>
  </si>
  <si>
    <t>Valor          Parcial</t>
  </si>
  <si>
    <t>VALOR SUBTOTAL MATERIALES</t>
  </si>
  <si>
    <t>Rendimiento</t>
  </si>
  <si>
    <t>Tárifa día/hora</t>
  </si>
  <si>
    <t>Dedicación</t>
  </si>
  <si>
    <t>VALOR SUBTOTAL EQUIPOS</t>
  </si>
  <si>
    <t>TRANSPORTE</t>
  </si>
  <si>
    <t>Valor                              por viaje</t>
  </si>
  <si>
    <t>Capacidad (M3 - TN)</t>
  </si>
  <si>
    <t>Volumen/   Peso</t>
  </si>
  <si>
    <t>TRANSPORTES EXTERNOS</t>
  </si>
  <si>
    <t>TRANSPORTES INTERNOS</t>
  </si>
  <si>
    <r>
      <t>VALOR SUBTOTAL TRANSPORTE</t>
    </r>
    <r>
      <rPr>
        <sz val="10"/>
        <rFont val="Arial"/>
        <family val="2"/>
      </rPr>
      <t xml:space="preserve"> (trasiegos + transportes externos)</t>
    </r>
  </si>
  <si>
    <t>Cuadrilla</t>
  </si>
  <si>
    <t>Valor                              cuadrilla</t>
  </si>
  <si>
    <t>VALOR SUBTOTAL MANO DE OBRA</t>
  </si>
  <si>
    <t xml:space="preserve">TOTAL VALOR MATERIALES, EQUIPO Y TRANSPORTE </t>
  </si>
  <si>
    <t>TOTAL VALOR MANO DE OBRA</t>
  </si>
  <si>
    <t>TOTAL COSTO DIRECTO</t>
  </si>
  <si>
    <t xml:space="preserve">, </t>
  </si>
  <si>
    <t>VALOR TOTAL INCLUIDO A.I.U.</t>
  </si>
  <si>
    <r>
      <t xml:space="preserve">VALOR SUBTOTAL TRANSPORTE </t>
    </r>
    <r>
      <rPr>
        <sz val="10"/>
        <rFont val="Arial"/>
        <family val="2"/>
      </rPr>
      <t>(trasiegos + transportes externos)</t>
    </r>
  </si>
  <si>
    <t>REPUBLICA DE COLOMBIA</t>
  </si>
  <si>
    <t>MINISTERIO DE EDUCACION NACIONAL</t>
  </si>
  <si>
    <t>ANALISIS DETALLADO DEL AIU</t>
  </si>
  <si>
    <t>Código</t>
  </si>
  <si>
    <t>% Incidencia Unitario</t>
  </si>
  <si>
    <t>% incidencia Parcial</t>
  </si>
  <si>
    <t>Total % incidencia</t>
  </si>
  <si>
    <t>I</t>
  </si>
  <si>
    <t>ADMINISTRACIÓN</t>
  </si>
  <si>
    <t>Staff de Obra + Prestaciones Sociales</t>
  </si>
  <si>
    <t>Cuadrilla de Administración + prestaciones sociales</t>
  </si>
  <si>
    <t>Personal de vigilancia + prestaciones sociales</t>
  </si>
  <si>
    <t>Dotación del campamento/Mobiliario/Patios/Vallas</t>
  </si>
  <si>
    <t>Sotfware/Hardware para obra</t>
  </si>
  <si>
    <t>Sistema de Seguridad Industrial/Dotación</t>
  </si>
  <si>
    <t>Sistema de Aseguramiento de Calidad</t>
  </si>
  <si>
    <t>Servicios públicos provisionales durante la obra</t>
  </si>
  <si>
    <t>Ensayos de control de calidad</t>
  </si>
  <si>
    <t>Papeleria/Empastes/Copias Planos/Fotocopias</t>
  </si>
  <si>
    <t>Mantenimiento Equipos/Herramientas</t>
  </si>
  <si>
    <t>Registro y Elaboración de Planos Record</t>
  </si>
  <si>
    <t>Elaboración manuales operación y mantenimiento</t>
  </si>
  <si>
    <t xml:space="preserve">Retefuente </t>
  </si>
  <si>
    <t>Costo Administrativos Oficina Principal</t>
  </si>
  <si>
    <t xml:space="preserve">Timbre Contrato/Publicaciones/otros </t>
  </si>
  <si>
    <t>Polizas</t>
  </si>
  <si>
    <t>Impuestos Indirectos y/o Estampillas</t>
  </si>
  <si>
    <t>1,18,1</t>
  </si>
  <si>
    <t>Estampilla Prodeportes</t>
  </si>
  <si>
    <t>1,18,2</t>
  </si>
  <si>
    <t>Estampilla Procultura</t>
  </si>
  <si>
    <t>ICA</t>
  </si>
  <si>
    <t xml:space="preserve"> </t>
  </si>
  <si>
    <t>II</t>
  </si>
  <si>
    <t>IMPREVISTOS</t>
  </si>
  <si>
    <t>III</t>
  </si>
  <si>
    <t>UTILIDAD</t>
  </si>
  <si>
    <t>IV</t>
  </si>
  <si>
    <t>I. V. A. SOBRE UTILIDAD</t>
  </si>
  <si>
    <t>* (N.A.)</t>
  </si>
  <si>
    <t>V</t>
  </si>
  <si>
    <t xml:space="preserve"> A.I.U.</t>
  </si>
  <si>
    <t>VI</t>
  </si>
  <si>
    <t>Impuesto de Guerra</t>
  </si>
  <si>
    <r>
      <rPr>
        <b/>
        <sz val="8"/>
        <rFont val="Arial"/>
        <family val="2"/>
      </rPr>
      <t>* Doctrina 96482 del 26 de Diciembre de 2005 (DIAN)</t>
    </r>
    <r>
      <rPr>
        <sz val="8"/>
        <rFont val="Arial"/>
        <family val="2"/>
      </rPr>
      <t>. De acuerdo con lo previsto en los articulos 15 de la Ley 21 de 1992, los contratos de obras públicas que celebren las personas naturales o jurídicas con las entidades descentralizadas del orden departamental, distrital y/o municipal estarán excluidos del IVA.</t>
    </r>
  </si>
  <si>
    <t>MINISTERIO DE EDUCACIÓN NACIONAL</t>
  </si>
  <si>
    <t>CUADRO RESUMEN PRESUPUESTO - VERIFICACIÓN DE AREAS Y COSTO POR METRO CUADRADO.</t>
  </si>
  <si>
    <t>POR ACTIVIDADES</t>
  </si>
  <si>
    <t>OBRA</t>
  </si>
  <si>
    <t>VALOR PARCIAL</t>
  </si>
  <si>
    <t>TOTAL COSTO DIRECTO OBRA</t>
  </si>
  <si>
    <t>AIU 20%</t>
  </si>
  <si>
    <t>TOTAL DIRECTOS + INDIRECTOS + IMPUESTO DE GUERRA</t>
  </si>
  <si>
    <t>AREA DEL PROYECTO</t>
  </si>
  <si>
    <t>Valor     Unitario</t>
  </si>
  <si>
    <t>Valor   Parcial</t>
  </si>
  <si>
    <t>Rendimiento     día</t>
  </si>
  <si>
    <t>Tárifa     día/hora</t>
  </si>
  <si>
    <r>
      <t xml:space="preserve">VALOR SUBTOTAL TRANSPORTE  </t>
    </r>
    <r>
      <rPr>
        <sz val="10"/>
        <rFont val="Arial"/>
        <family val="2"/>
      </rPr>
      <t>(trasiegos + transportes internos).</t>
    </r>
  </si>
  <si>
    <t>Anid</t>
  </si>
  <si>
    <t>Valor      Unitario</t>
  </si>
  <si>
    <t>MORTERO 1:3 IMPERMEABILIZADO</t>
  </si>
  <si>
    <t>MORTERO 1:4</t>
  </si>
  <si>
    <t>MORTERO 1:4 IMPERMEABILIZADO</t>
  </si>
  <si>
    <t>Valor  Unitario</t>
  </si>
  <si>
    <r>
      <rPr>
        <sz val="10"/>
        <color rgb="FFFF0000"/>
        <rFont val="Arial"/>
        <family val="2"/>
      </rPr>
      <t>VALOR SUBTOTAL TRANSPORTE</t>
    </r>
    <r>
      <rPr>
        <sz val="10"/>
        <rFont val="Arial"/>
        <family val="2"/>
      </rPr>
      <t xml:space="preserve"> (trasiegos + transportes externos)</t>
    </r>
  </si>
  <si>
    <t>MORTERO 1:5</t>
  </si>
  <si>
    <t>Valor                          Unitario</t>
  </si>
  <si>
    <t>Valor         Unitario</t>
  </si>
  <si>
    <t>CONCRETO DE 2,000 p.s.i. (1 : 2 : 4)</t>
  </si>
  <si>
    <t>CONCRETO DE  2,500 p.s.i. (1 : 3 : 3)</t>
  </si>
  <si>
    <t>CONCRETO DE  3,000 p.s.i. (1 : 2 : 3)</t>
  </si>
  <si>
    <t>Valor   Unitario</t>
  </si>
  <si>
    <t>CONCRETO DE  3,500 p.s.i. (1 : 2 : 2)</t>
  </si>
  <si>
    <t>CONCRETO DE  4,000 p.s.i. (1 : 2 : 1)</t>
  </si>
  <si>
    <t>ACERO DE 60000 PSI</t>
  </si>
  <si>
    <t>Valor       Unitario</t>
  </si>
  <si>
    <t>PUNTO ELECTRICO</t>
  </si>
  <si>
    <t>Valor Unitario</t>
  </si>
  <si>
    <t>PUNTO AGUA FRIA PVC</t>
  </si>
  <si>
    <t>PUNTO SANITARIO 3 " y  4"</t>
  </si>
  <si>
    <t>MARCOS PUERTAS</t>
  </si>
  <si>
    <t>Anticorrosivo rojo claro PHLC</t>
  </si>
  <si>
    <t>MARCOS VENTANAS</t>
  </si>
  <si>
    <t>1.1.1</t>
  </si>
  <si>
    <t>CAMPAMENTO Y BAÑOS (50 M2)</t>
  </si>
  <si>
    <t>LOCALIZACIÓN Y REPLANTEO MANUAL</t>
  </si>
  <si>
    <t>1,4,2</t>
  </si>
  <si>
    <t>1,4,3</t>
  </si>
  <si>
    <t>TALA DE ARBOLES DE 1 A 5 MTS</t>
  </si>
  <si>
    <t>1,4,4</t>
  </si>
  <si>
    <t>TALA DE ARBOLES DE 5,01 A 10 MTS</t>
  </si>
  <si>
    <t>1,4,5</t>
  </si>
  <si>
    <t>TALA DE ARBOLES DE 10,01 A 15 MTS</t>
  </si>
  <si>
    <t>1,4,6</t>
  </si>
  <si>
    <t>TALA DE ARBOLES DE 15,01 A 20 MTS</t>
  </si>
  <si>
    <t xml:space="preserve">Tárifa día/hora </t>
  </si>
  <si>
    <t>2,1,5</t>
  </si>
  <si>
    <t>RELLENOS EN MATERIAL COMÚN SIN SELECCIONAR DE OBRA</t>
  </si>
  <si>
    <t>Tuberia novafort 4" 110 mm</t>
  </si>
  <si>
    <t>Tuberia novafort 8" 200 mm</t>
  </si>
  <si>
    <t>Tuberia novafort 10" 255 mm</t>
  </si>
  <si>
    <t>Tuberia novafort 12" 315 mm</t>
  </si>
  <si>
    <t>Cama-baja</t>
  </si>
  <si>
    <t>Rendimiento/ Cantidad</t>
  </si>
  <si>
    <t>Valor  Parcial</t>
  </si>
  <si>
    <t>MINISTERIO DE AMBIENTE Y DESARROLLO SOSTENIBLE</t>
  </si>
  <si>
    <t>A+</t>
  </si>
  <si>
    <t>A-</t>
  </si>
  <si>
    <t>H</t>
  </si>
  <si>
    <t xml:space="preserve">BASE </t>
  </si>
  <si>
    <t>VOCA</t>
  </si>
  <si>
    <t>AREA</t>
  </si>
  <si>
    <t>ca</t>
  </si>
  <si>
    <t>Tárifa   día</t>
  </si>
  <si>
    <t>Transporte elementos prefabricados</t>
  </si>
  <si>
    <t>10,1,3</t>
  </si>
  <si>
    <t>10,1,4</t>
  </si>
  <si>
    <t>10,3,2,3</t>
  </si>
  <si>
    <t>10,4,2</t>
  </si>
  <si>
    <t>GRADAS EN GRAVILLA LAVADA</t>
  </si>
  <si>
    <t>11,2,4,2</t>
  </si>
  <si>
    <t>CUBIERTA PLACA DE CONCRETO E = 0,10 M</t>
  </si>
  <si>
    <t>11,3,5</t>
  </si>
  <si>
    <t>CANAL PVC TIPO AMAZONAS</t>
  </si>
  <si>
    <t>12,2,1,1</t>
  </si>
  <si>
    <t>12,2,1,2</t>
  </si>
  <si>
    <t>12,2,2,4</t>
  </si>
  <si>
    <t>BARANDA EN TUBO A.N. DE 3 PLG Y ESCUDO EN TUBO</t>
  </si>
  <si>
    <t>12,2,3,1</t>
  </si>
  <si>
    <t>REJAS EN VARILLA CUADRADA</t>
  </si>
  <si>
    <t>12,2,3,2</t>
  </si>
  <si>
    <t>12,2,3,3</t>
  </si>
  <si>
    <t>Tubo Galvanizado  de 3/4"</t>
  </si>
  <si>
    <t>12,2,3,4</t>
  </si>
  <si>
    <t xml:space="preserve">REJA DE VENTILACIÓN </t>
  </si>
  <si>
    <t>12,2,4,4</t>
  </si>
  <si>
    <t>Angulo 1" x 1" x 3/16"</t>
  </si>
  <si>
    <t>Malla Eslabonada galvanizada Cal 12 huecos de 2 x  2 plg</t>
  </si>
  <si>
    <t>Platina  1/2" X 3/16"</t>
  </si>
  <si>
    <t>Baldosin cerámico pared  de 20 x 20 blanco primera</t>
  </si>
  <si>
    <t>16,2,5</t>
  </si>
  <si>
    <t>LLAVE TERMINAL 1/2" - CROMADA</t>
  </si>
  <si>
    <t>PUERTA SISTEMA CONSTRUCTIVO PVC, INCLUYE MARCO</t>
  </si>
  <si>
    <t>17,2,3</t>
  </si>
  <si>
    <t>DIVISIONES PARA BAÑO EN MAMPOSTERÍA DE e = 0,06</t>
  </si>
  <si>
    <t>DIVISIONES PARA BAÑOS EN BLOQUE DE CONCRETO ESTRUCTURAL  DE  E = 0,09 m</t>
  </si>
  <si>
    <t>18,1,2</t>
  </si>
  <si>
    <t xml:space="preserve">ESMALTE EPOXICO DE DOS COMPONENTES </t>
  </si>
  <si>
    <t>18,1,5</t>
  </si>
  <si>
    <t>VINILO CIELOS RASOS SIN ESTUCO</t>
  </si>
  <si>
    <t>21,1,3</t>
  </si>
  <si>
    <t>VALOR SUBTOTAL TRANSPORTE</t>
  </si>
  <si>
    <t>5,04,03</t>
  </si>
  <si>
    <t>CABEZAL DE DESCARGA, tub. Entrega d=12"</t>
  </si>
  <si>
    <t>5,04,04</t>
  </si>
  <si>
    <t>EXCAVACIÓN MECÁNICA EN MATERIAL COMÚN 1.00&lt;= h &lt; 2.0m</t>
  </si>
  <si>
    <t>EXCAVACIÓN MANUAL EN MATERIAL COMÚN 3.00&lt;=h &lt; 4.00m, INCLUYE ENTIBADO.</t>
  </si>
  <si>
    <t>EXCAVACIÓN MECÁNICA EN MATERIAL COMÚN 3.00&lt;=h &lt; 4.00m, INCLUYE ENTIBADO.</t>
  </si>
  <si>
    <t>EXCAVACIÓN MECANICA  EN MATERIAL COMÚN 2.00 &lt;=h&lt; 3.00m, INCLUYE ENTIBADO</t>
  </si>
  <si>
    <t>REPOSICION DE PLACA DE PAVIMENTO MACIZA,CONCRETO DE 3,000 PSI -  ESPESOR DE e=0,18 mts"; INCLUYE JUNTA DE DILATACION. "</t>
  </si>
  <si>
    <t>INSTALACIÒN DE ADOQUÌN. INCLUYE EL SUMINISTRO DE ARENA</t>
  </si>
  <si>
    <t>REPOSICION DE SARDINELES EN CONCRETO de 2,500 psi. INCLUYE REFUERZO</t>
  </si>
  <si>
    <t>REPOSICION DE ANDENES EN CONCRETO DE 2,500 PSI. INCLUYE MALLA ELECTROSOLDADA</t>
  </si>
  <si>
    <t>2,01,01A</t>
  </si>
  <si>
    <t>2,01,03A</t>
  </si>
  <si>
    <t>VALOR TOTAL POR CAPITULO</t>
  </si>
  <si>
    <t>VALOR UNITARIO</t>
  </si>
  <si>
    <t xml:space="preserve">UNIDAD DE MEDIDA </t>
  </si>
  <si>
    <t>CAMARA DE CAIDA TUBERIA ENTRADA D=10"</t>
  </si>
  <si>
    <t>5,01,04</t>
  </si>
  <si>
    <t xml:space="preserve">BASE MATERIAL GRANULAR CLASE A COMPACTADO AL 95% DEL PROCTOR MODIFICADO. E=0,25 Ver. Estudio de Suelos. </t>
  </si>
  <si>
    <t>CAMARA DE INSPECCION 4.00&lt;h&lt;=5.00m, D.Int=1.20m, CONICA. MAMPOSTERIA</t>
  </si>
  <si>
    <t>CABEZAL DE DESCARGA, tub. Entrega d=20"</t>
  </si>
  <si>
    <t>COSTO TOTAL PROYECTO</t>
  </si>
  <si>
    <t>ADMINISTRACIÓN SUMINISTRO (%)</t>
  </si>
  <si>
    <t xml:space="preserve">Administración Obra Civil (%) </t>
  </si>
  <si>
    <t>Utilidades Obra Civil (%)</t>
  </si>
  <si>
    <t>Imprevistos Obra Civil (%)</t>
  </si>
  <si>
    <t>IVA Utilidades Obra Civil (%)</t>
  </si>
  <si>
    <t xml:space="preserve">VALOR </t>
  </si>
  <si>
    <t xml:space="preserve">DESCRIPCIÓN </t>
  </si>
  <si>
    <t>CORREGIMIENTO DE LAS MESAS-MUNICIPIO DETABLON DE GOMEZ</t>
  </si>
  <si>
    <t>CORREGIMIENTO DE LAS MESAS-MUNICIPIO DETABLON DE GOMEZ (N)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</si>
</sst>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6" formatCode="&quot;$&quot;#,##0;[Red]\-&quot;$&quot;#,##0"/>
    <numFmt numFmtId="43" formatCode="_-* #,##0.00_-;\-* #,##0.00_-;_-* &quot;-&quot;??_-;_-@_-"/>
    <numFmt numFmtId="165" formatCode="_(* #,##0.00_);_(* \(#,##0.00\);_(* &quot;-&quot;??_);_(@_)"/>
    <numFmt numFmtId="166" formatCode="_ * #,##0_ ;_ * \-#,##0_ ;_ * &quot;-&quot;_ ;_ @_ "/>
    <numFmt numFmtId="167" formatCode="_(&quot;$&quot;* #,##0.00_);_(&quot;$&quot;* \(#,##0.00\);_(&quot;$&quot;* &quot;-&quot;??_);_(@_)"/>
    <numFmt numFmtId="168" formatCode="_-* #,##0.00\ _P_t_s_-;\-* #,##0.00\ _P_t_s_-;_-* &quot;-&quot;??\ _P_t_s_-;_-@_-"/>
    <numFmt numFmtId="169" formatCode="0.0"/>
    <numFmt numFmtId="170" formatCode="#,##0.000"/>
    <numFmt numFmtId="171" formatCode="&quot;$&quot;#,##0.00"/>
    <numFmt numFmtId="172" formatCode="0.00_)"/>
    <numFmt numFmtId="173" formatCode="#,##0.00_);\-#,##0.00"/>
    <numFmt numFmtId="174" formatCode="#,##0.0"/>
    <numFmt numFmtId="175" formatCode="&quot;$&quot;\ #,##0.00"/>
    <numFmt numFmtId="176" formatCode="0.0%"/>
    <numFmt numFmtId="177" formatCode="#,##0.0000"/>
    <numFmt numFmtId="178" formatCode="0.00000"/>
    <numFmt numFmtId="179" formatCode="0.000"/>
    <numFmt numFmtId="180" formatCode="#,##0_);\-#,##0"/>
    <numFmt numFmtId="181" formatCode="_-* #,##0\ _P_t_s_-;\-* #,##0\ _P_t_s_-;_-* &quot;-&quot;??\ _P_t_s_-;_-@_-"/>
    <numFmt numFmtId="182" formatCode="&quot;$&quot;#,##0.000"/>
    <numFmt numFmtId="183" formatCode="&quot;$&quot;#,##0"/>
  </numFmts>
  <fonts count="61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10"/>
      <name val="Tahoma"/>
      <family val="2"/>
    </font>
    <font>
      <b/>
      <sz val="10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b/>
      <sz val="16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8"/>
      <name val="Arial"/>
      <family val="2"/>
    </font>
    <font>
      <b/>
      <sz val="11"/>
      <name val="Arial"/>
      <family val="2"/>
    </font>
    <font>
      <sz val="6"/>
      <name val="Tahoma"/>
      <family val="2"/>
    </font>
    <font>
      <b/>
      <sz val="18"/>
      <name val="Arial"/>
      <family val="2"/>
    </font>
    <font>
      <sz val="7"/>
      <name val="Arial"/>
      <family val="2"/>
    </font>
    <font>
      <b/>
      <sz val="6"/>
      <name val="Tahom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3" tint="-0.249977111117893"/>
      <name val="Arial"/>
      <family val="2"/>
    </font>
    <font>
      <sz val="8"/>
      <color theme="4" tint="-0.249977111117893"/>
      <name val="Tahoma"/>
      <family val="2"/>
    </font>
    <font>
      <sz val="10"/>
      <color theme="4" tint="-0.249977111117893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sz val="10"/>
      <color rgb="FF0070C0"/>
      <name val="Tahoma"/>
      <family val="2"/>
    </font>
    <font>
      <sz val="10"/>
      <color rgb="FF0070C0"/>
      <name val="Arial"/>
      <family val="2"/>
    </font>
    <font>
      <b/>
      <sz val="14"/>
      <color rgb="FFFF0000"/>
      <name val="Arial"/>
      <family val="2"/>
    </font>
    <font>
      <sz val="6"/>
      <color rgb="FF0070C0"/>
      <name val="Tahoma"/>
      <family val="2"/>
    </font>
    <font>
      <sz val="7"/>
      <color rgb="FF0070C0"/>
      <name val="Tahoma"/>
      <family val="2"/>
    </font>
    <font>
      <sz val="8"/>
      <color rgb="FF0070C0"/>
      <name val="Tahoma"/>
      <family val="2"/>
    </font>
    <font>
      <sz val="6"/>
      <color rgb="FF0070C0"/>
      <name val="Arial"/>
      <family val="2"/>
    </font>
    <font>
      <sz val="8"/>
      <color rgb="FFFF0000"/>
      <name val="Arial"/>
      <family val="2"/>
    </font>
    <font>
      <b/>
      <sz val="16"/>
      <color rgb="FFFF0000"/>
      <name val="Arial"/>
      <family val="2"/>
    </font>
    <font>
      <sz val="16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9"/>
      <name val="Century Gothic"/>
      <family val="2"/>
    </font>
    <font>
      <sz val="9"/>
      <name val="Century Gothic"/>
      <family val="2"/>
    </font>
    <font>
      <u/>
      <sz val="10"/>
      <name val="Arial"/>
      <family val="2"/>
    </font>
    <font>
      <b/>
      <sz val="20"/>
      <name val="Arial"/>
      <family val="2"/>
    </font>
    <font>
      <b/>
      <sz val="26"/>
      <name val="Arial"/>
      <family val="2"/>
    </font>
    <font>
      <sz val="9"/>
      <color rgb="FF0070C0"/>
      <name val="Tahoma"/>
      <family val="2"/>
    </font>
    <font>
      <sz val="12"/>
      <color rgb="FF0070C0"/>
      <name val="Tahoma"/>
      <family val="2"/>
    </font>
    <font>
      <sz val="12"/>
      <color rgb="FFFF0000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name val="BankGothic Lt BT"/>
      <family val="2"/>
    </font>
    <font>
      <b/>
      <sz val="9"/>
      <color indexed="81"/>
      <name val="Tahoma"/>
      <family val="2"/>
    </font>
    <font>
      <b/>
      <sz val="8"/>
      <name val="Arial Narrow"/>
      <family val="2"/>
    </font>
    <font>
      <sz val="8"/>
      <name val="Arial Narrow"/>
      <family val="2"/>
    </font>
    <font>
      <sz val="8"/>
      <color rgb="FFFF0000"/>
      <name val="Arial Narrow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BF4F5"/>
        <bgColor indexed="64"/>
      </patternFill>
    </fill>
    <fill>
      <patternFill patternType="solid">
        <fgColor rgb="FFCCFFCC"/>
        <bgColor indexed="64"/>
      </patternFill>
    </fill>
  </fills>
  <borders count="9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</borders>
  <cellStyleXfs count="11">
    <xf numFmtId="0" fontId="0" fillId="0" borderId="0" applyAlignment="0"/>
    <xf numFmtId="165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 applyAlignment="0"/>
    <xf numFmtId="0" fontId="45" fillId="0" borderId="0"/>
    <xf numFmtId="0" fontId="54" fillId="0" borderId="0" applyNumberForma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</cellStyleXfs>
  <cellXfs count="1545">
    <xf numFmtId="0" fontId="0" fillId="0" borderId="0" xfId="0"/>
    <xf numFmtId="0" fontId="1" fillId="0" borderId="0" xfId="4"/>
    <xf numFmtId="0" fontId="1" fillId="0" borderId="2" xfId="4" applyBorder="1"/>
    <xf numFmtId="0" fontId="1" fillId="0" borderId="3" xfId="4" applyBorder="1" applyAlignment="1">
      <alignment horizontal="left"/>
    </xf>
    <xf numFmtId="0" fontId="1" fillId="0" borderId="3" xfId="4" applyBorder="1"/>
    <xf numFmtId="0" fontId="1" fillId="0" borderId="4" xfId="4" applyBorder="1"/>
    <xf numFmtId="0" fontId="1" fillId="0" borderId="1" xfId="4" applyBorder="1"/>
    <xf numFmtId="168" fontId="1" fillId="0" borderId="2" xfId="2" applyBorder="1" applyAlignment="1">
      <alignment horizontal="right" wrapText="1"/>
    </xf>
    <xf numFmtId="168" fontId="1" fillId="0" borderId="3" xfId="2" applyBorder="1" applyAlignment="1">
      <alignment horizontal="right" wrapText="1"/>
    </xf>
    <xf numFmtId="0" fontId="1" fillId="0" borderId="0" xfId="4" applyAlignment="1">
      <alignment vertical="center"/>
    </xf>
    <xf numFmtId="0" fontId="1" fillId="0" borderId="0" xfId="4" applyAlignment="1">
      <alignment vertical="center" wrapText="1"/>
    </xf>
    <xf numFmtId="0" fontId="1" fillId="0" borderId="0" xfId="4" applyAlignment="1">
      <alignment horizontal="center" vertical="center"/>
    </xf>
    <xf numFmtId="4" fontId="1" fillId="0" borderId="2" xfId="4" applyNumberFormat="1" applyBorder="1" applyAlignment="1">
      <alignment horizontal="right"/>
    </xf>
    <xf numFmtId="170" fontId="1" fillId="0" borderId="2" xfId="4" applyNumberFormat="1" applyBorder="1" applyAlignment="1">
      <alignment horizontal="right"/>
    </xf>
    <xf numFmtId="9" fontId="1" fillId="0" borderId="2" xfId="5" applyBorder="1" applyAlignment="1">
      <alignment horizontal="center"/>
    </xf>
    <xf numFmtId="2" fontId="1" fillId="0" borderId="2" xfId="4" applyNumberFormat="1" applyBorder="1" applyAlignment="1">
      <alignment horizontal="right"/>
    </xf>
    <xf numFmtId="43" fontId="8" fillId="0" borderId="7" xfId="4" applyNumberFormat="1" applyFont="1" applyBorder="1" applyAlignment="1">
      <alignment horizontal="center" vertical="center" wrapText="1"/>
    </xf>
    <xf numFmtId="43" fontId="8" fillId="0" borderId="8" xfId="4" applyNumberFormat="1" applyFont="1" applyBorder="1" applyAlignment="1">
      <alignment horizontal="center" vertical="center" wrapText="1"/>
    </xf>
    <xf numFmtId="0" fontId="6" fillId="0" borderId="3" xfId="4" applyFont="1" applyBorder="1" applyAlignment="1">
      <alignment horizontal="left"/>
    </xf>
    <xf numFmtId="0" fontId="6" fillId="0" borderId="1" xfId="4" applyFont="1" applyBorder="1" applyAlignment="1">
      <alignment horizontal="left"/>
    </xf>
    <xf numFmtId="0" fontId="1" fillId="0" borderId="6" xfId="4" applyFont="1" applyBorder="1" applyAlignment="1">
      <alignment horizontal="left"/>
    </xf>
    <xf numFmtId="4" fontId="1" fillId="0" borderId="3" xfId="2" applyNumberFormat="1" applyBorder="1" applyAlignment="1">
      <alignment horizontal="centerContinuous"/>
    </xf>
    <xf numFmtId="4" fontId="1" fillId="0" borderId="1" xfId="2" applyNumberFormat="1" applyBorder="1" applyAlignment="1">
      <alignment horizontal="centerContinuous"/>
    </xf>
    <xf numFmtId="168" fontId="1" fillId="0" borderId="3" xfId="2" applyBorder="1" applyAlignment="1">
      <alignment horizontal="centerContinuous"/>
    </xf>
    <xf numFmtId="168" fontId="1" fillId="0" borderId="4" xfId="2" applyBorder="1" applyAlignment="1">
      <alignment horizontal="centerContinuous"/>
    </xf>
    <xf numFmtId="168" fontId="1" fillId="0" borderId="1" xfId="2" applyBorder="1" applyAlignment="1">
      <alignment horizontal="centerContinuous"/>
    </xf>
    <xf numFmtId="0" fontId="1" fillId="0" borderId="3" xfId="4" applyBorder="1" applyAlignment="1">
      <alignment horizontal="centerContinuous"/>
    </xf>
    <xf numFmtId="0" fontId="1" fillId="0" borderId="4" xfId="4" applyBorder="1" applyAlignment="1">
      <alignment horizontal="centerContinuous"/>
    </xf>
    <xf numFmtId="0" fontId="1" fillId="0" borderId="1" xfId="4" applyBorder="1" applyAlignment="1">
      <alignment horizontal="centerContinuous"/>
    </xf>
    <xf numFmtId="43" fontId="1" fillId="0" borderId="3" xfId="4" applyNumberFormat="1" applyBorder="1" applyAlignment="1">
      <alignment horizontal="centerContinuous"/>
    </xf>
    <xf numFmtId="0" fontId="1" fillId="0" borderId="4" xfId="4" applyBorder="1" applyAlignment="1">
      <alignment horizontal="centerContinuous" vertical="center"/>
    </xf>
    <xf numFmtId="171" fontId="1" fillId="0" borderId="4" xfId="4" applyNumberFormat="1" applyBorder="1" applyAlignment="1">
      <alignment horizontal="centerContinuous" vertical="center"/>
    </xf>
    <xf numFmtId="0" fontId="3" fillId="0" borderId="3" xfId="4" applyFont="1" applyBorder="1" applyAlignment="1">
      <alignment horizontal="centerContinuous" vertical="center"/>
    </xf>
    <xf numFmtId="0" fontId="1" fillId="0" borderId="2" xfId="4" applyBorder="1" applyAlignment="1">
      <alignment horizontal="centerContinuous"/>
    </xf>
    <xf numFmtId="0" fontId="1" fillId="0" borderId="0" xfId="4" quotePrefix="1" applyFont="1" applyAlignment="1">
      <alignment horizontal="center" vertical="center"/>
    </xf>
    <xf numFmtId="0" fontId="1" fillId="0" borderId="4" xfId="4" applyFont="1" applyBorder="1" applyAlignment="1">
      <alignment horizontal="centerContinuous"/>
    </xf>
    <xf numFmtId="0" fontId="1" fillId="0" borderId="2" xfId="4" applyFont="1" applyBorder="1"/>
    <xf numFmtId="0" fontId="1" fillId="0" borderId="3" xfId="4" applyFont="1" applyBorder="1"/>
    <xf numFmtId="0" fontId="1" fillId="0" borderId="4" xfId="4" applyFont="1" applyBorder="1" applyAlignment="1">
      <alignment horizontal="center"/>
    </xf>
    <xf numFmtId="0" fontId="1" fillId="0" borderId="6" xfId="4" applyBorder="1" applyAlignment="1">
      <alignment horizontal="centerContinuous"/>
    </xf>
    <xf numFmtId="0" fontId="1" fillId="0" borderId="9" xfId="4" applyBorder="1" applyAlignment="1">
      <alignment horizontal="centerContinuous"/>
    </xf>
    <xf numFmtId="0" fontId="1" fillId="0" borderId="10" xfId="4" applyBorder="1" applyAlignment="1">
      <alignment horizontal="centerContinuous"/>
    </xf>
    <xf numFmtId="0" fontId="1" fillId="0" borderId="6" xfId="4" applyFont="1" applyBorder="1" applyAlignment="1">
      <alignment horizontal="centerContinuous"/>
    </xf>
    <xf numFmtId="0" fontId="1" fillId="0" borderId="2" xfId="4" applyFont="1" applyBorder="1" applyAlignment="1">
      <alignment horizontal="center"/>
    </xf>
    <xf numFmtId="0" fontId="1" fillId="0" borderId="5" xfId="4" applyFont="1" applyBorder="1" applyAlignment="1">
      <alignment horizontal="center" vertical="center" wrapText="1"/>
    </xf>
    <xf numFmtId="0" fontId="1" fillId="0" borderId="5" xfId="4" applyBorder="1" applyAlignment="1">
      <alignment horizontal="centerContinuous" vertical="center" wrapText="1"/>
    </xf>
    <xf numFmtId="4" fontId="1" fillId="0" borderId="3" xfId="4" applyNumberFormat="1" applyBorder="1" applyAlignment="1">
      <alignment horizontal="centerContinuous"/>
    </xf>
    <xf numFmtId="4" fontId="1" fillId="0" borderId="1" xfId="4" applyNumberFormat="1" applyBorder="1" applyAlignment="1">
      <alignment horizontal="centerContinuous"/>
    </xf>
    <xf numFmtId="0" fontId="1" fillId="0" borderId="0" xfId="4" applyFont="1"/>
    <xf numFmtId="0" fontId="1" fillId="0" borderId="3" xfId="4" applyFont="1" applyBorder="1" applyAlignment="1">
      <alignment horizontal="center"/>
    </xf>
    <xf numFmtId="0" fontId="1" fillId="0" borderId="3" xfId="4" quotePrefix="1" applyFont="1" applyBorder="1"/>
    <xf numFmtId="2" fontId="1" fillId="0" borderId="2" xfId="4" quotePrefix="1" applyNumberFormat="1" applyFont="1" applyBorder="1" applyAlignment="1">
      <alignment horizontal="right"/>
    </xf>
    <xf numFmtId="4" fontId="1" fillId="0" borderId="2" xfId="4" applyNumberFormat="1" applyFont="1" applyBorder="1" applyAlignment="1">
      <alignment horizontal="right"/>
    </xf>
    <xf numFmtId="0" fontId="2" fillId="0" borderId="12" xfId="4" applyFont="1" applyBorder="1" applyAlignment="1">
      <alignment horizontal="centerContinuous" vertical="center"/>
    </xf>
    <xf numFmtId="0" fontId="1" fillId="0" borderId="3" xfId="4" applyBorder="1" applyAlignment="1">
      <alignment horizontal="right"/>
    </xf>
    <xf numFmtId="0" fontId="1" fillId="0" borderId="2" xfId="4" applyBorder="1" applyAlignment="1">
      <alignment horizontal="center" vertical="center"/>
    </xf>
    <xf numFmtId="0" fontId="1" fillId="0" borderId="2" xfId="4" applyBorder="1" applyAlignment="1">
      <alignment horizontal="centerContinuous" vertical="center" wrapText="1"/>
    </xf>
    <xf numFmtId="0" fontId="1" fillId="0" borderId="2" xfId="4" applyBorder="1" applyAlignment="1">
      <alignment horizontal="center" vertical="center" wrapText="1"/>
    </xf>
    <xf numFmtId="4" fontId="1" fillId="0" borderId="2" xfId="2" applyNumberFormat="1" applyBorder="1" applyAlignment="1">
      <alignment horizontal="centerContinuous"/>
    </xf>
    <xf numFmtId="0" fontId="6" fillId="0" borderId="2" xfId="4" applyFont="1" applyBorder="1" applyAlignment="1">
      <alignment horizontal="left"/>
    </xf>
    <xf numFmtId="0" fontId="1" fillId="0" borderId="2" xfId="4" applyBorder="1" applyAlignment="1">
      <alignment horizontal="centerContinuous" vertical="center"/>
    </xf>
    <xf numFmtId="4" fontId="1" fillId="0" borderId="2" xfId="4" applyNumberFormat="1" applyBorder="1" applyAlignment="1">
      <alignment horizontal="centerContinuous"/>
    </xf>
    <xf numFmtId="0" fontId="1" fillId="0" borderId="5" xfId="4" applyBorder="1" applyAlignment="1">
      <alignment horizontal="centerContinuous" vertical="center"/>
    </xf>
    <xf numFmtId="0" fontId="2" fillId="0" borderId="17" xfId="4" applyFont="1" applyBorder="1" applyAlignment="1">
      <alignment horizontal="centerContinuous" vertical="center"/>
    </xf>
    <xf numFmtId="0" fontId="1" fillId="0" borderId="11" xfId="4" applyBorder="1" applyAlignment="1">
      <alignment horizontal="centerContinuous"/>
    </xf>
    <xf numFmtId="0" fontId="6" fillId="0" borderId="11" xfId="4" applyFont="1" applyBorder="1" applyAlignment="1">
      <alignment horizontal="center"/>
    </xf>
    <xf numFmtId="0" fontId="1" fillId="0" borderId="18" xfId="4" applyBorder="1" applyAlignment="1">
      <alignment horizontal="centerContinuous" vertical="center"/>
    </xf>
    <xf numFmtId="0" fontId="1" fillId="0" borderId="19" xfId="4" applyBorder="1" applyAlignment="1">
      <alignment horizontal="center" vertical="center"/>
    </xf>
    <xf numFmtId="0" fontId="1" fillId="0" borderId="20" xfId="4" applyBorder="1" applyAlignment="1"/>
    <xf numFmtId="0" fontId="1" fillId="0" borderId="21" xfId="4" applyBorder="1" applyAlignment="1"/>
    <xf numFmtId="168" fontId="1" fillId="0" borderId="22" xfId="2" applyBorder="1" applyAlignment="1">
      <alignment horizontal="right" wrapText="1"/>
    </xf>
    <xf numFmtId="0" fontId="1" fillId="0" borderId="18" xfId="4" applyBorder="1" applyAlignment="1">
      <alignment horizontal="centerContinuous" vertical="center" wrapText="1"/>
    </xf>
    <xf numFmtId="0" fontId="1" fillId="0" borderId="20" xfId="4" applyBorder="1" applyAlignment="1">
      <alignment horizontal="center" vertical="center"/>
    </xf>
    <xf numFmtId="0" fontId="1" fillId="0" borderId="22" xfId="4" applyBorder="1" applyAlignment="1"/>
    <xf numFmtId="168" fontId="1" fillId="0" borderId="11" xfId="2" applyBorder="1" applyAlignment="1">
      <alignment horizontal="right" wrapText="1"/>
    </xf>
    <xf numFmtId="168" fontId="1" fillId="0" borderId="24" xfId="2" applyBorder="1" applyAlignment="1">
      <alignment horizontal="right" wrapText="1"/>
    </xf>
    <xf numFmtId="0" fontId="1" fillId="0" borderId="16" xfId="4" applyBorder="1" applyAlignment="1">
      <alignment horizontal="centerContinuous"/>
    </xf>
    <xf numFmtId="0" fontId="1" fillId="0" borderId="21" xfId="4" applyBorder="1" applyAlignment="1">
      <alignment horizontal="center" vertical="center"/>
    </xf>
    <xf numFmtId="0" fontId="6" fillId="0" borderId="18" xfId="4" applyFont="1" applyBorder="1" applyAlignment="1">
      <alignment horizontal="left"/>
    </xf>
    <xf numFmtId="0" fontId="1" fillId="0" borderId="11" xfId="4" applyBorder="1" applyAlignment="1">
      <alignment horizontal="centerContinuous" vertical="center"/>
    </xf>
    <xf numFmtId="0" fontId="6" fillId="0" borderId="27" xfId="4" applyFont="1" applyBorder="1" applyAlignment="1">
      <alignment horizontal="left"/>
    </xf>
    <xf numFmtId="0" fontId="1" fillId="0" borderId="25" xfId="4" applyBorder="1" applyAlignment="1">
      <alignment horizontal="centerContinuous" vertical="center"/>
    </xf>
    <xf numFmtId="168" fontId="1" fillId="0" borderId="22" xfId="4" applyNumberFormat="1" applyBorder="1" applyAlignment="1">
      <alignment horizontal="right" wrapText="1"/>
    </xf>
    <xf numFmtId="0" fontId="15" fillId="0" borderId="3" xfId="4" applyFont="1" applyBorder="1" applyAlignment="1">
      <alignment horizontal="centerContinuous" vertical="center"/>
    </xf>
    <xf numFmtId="0" fontId="15" fillId="0" borderId="28" xfId="4" applyFont="1" applyBorder="1" applyAlignment="1">
      <alignment horizontal="centerContinuous" vertical="center"/>
    </xf>
    <xf numFmtId="0" fontId="15" fillId="0" borderId="4" xfId="4" applyFont="1" applyBorder="1" applyAlignment="1">
      <alignment horizontal="centerContinuous" vertical="center"/>
    </xf>
    <xf numFmtId="0" fontId="15" fillId="0" borderId="2" xfId="4" applyFont="1" applyBorder="1" applyAlignment="1">
      <alignment horizontal="centerContinuous" vertical="center"/>
    </xf>
    <xf numFmtId="0" fontId="15" fillId="0" borderId="19" xfId="4" applyFont="1" applyBorder="1" applyAlignment="1">
      <alignment horizontal="centerContinuous" vertical="center"/>
    </xf>
    <xf numFmtId="0" fontId="15" fillId="0" borderId="29" xfId="4" applyFont="1" applyBorder="1" applyAlignment="1">
      <alignment horizontal="centerContinuous" vertical="center"/>
    </xf>
    <xf numFmtId="0" fontId="15" fillId="0" borderId="12" xfId="4" applyFont="1" applyBorder="1" applyAlignment="1">
      <alignment horizontal="centerContinuous" vertical="center"/>
    </xf>
    <xf numFmtId="0" fontId="15" fillId="0" borderId="17" xfId="4" applyFont="1" applyBorder="1" applyAlignment="1">
      <alignment horizontal="centerContinuous" vertical="center"/>
    </xf>
    <xf numFmtId="0" fontId="12" fillId="0" borderId="18" xfId="4" applyFont="1" applyBorder="1" applyAlignment="1">
      <alignment vertical="center"/>
    </xf>
    <xf numFmtId="0" fontId="16" fillId="0" borderId="30" xfId="4" applyFont="1" applyBorder="1" applyAlignment="1">
      <alignment horizontal="centerContinuous" vertical="center"/>
    </xf>
    <xf numFmtId="0" fontId="5" fillId="0" borderId="31" xfId="4" applyFont="1" applyBorder="1" applyAlignment="1">
      <alignment horizontal="centerContinuous" vertical="center"/>
    </xf>
    <xf numFmtId="0" fontId="15" fillId="0" borderId="11" xfId="4" applyFont="1" applyBorder="1" applyAlignment="1">
      <alignment horizontal="centerContinuous" vertical="center"/>
    </xf>
    <xf numFmtId="0" fontId="18" fillId="0" borderId="9" xfId="4" applyFont="1" applyBorder="1" applyAlignment="1">
      <alignment horizontal="centerContinuous" vertical="center"/>
    </xf>
    <xf numFmtId="0" fontId="18" fillId="0" borderId="27" xfId="4" applyFont="1" applyBorder="1" applyAlignment="1">
      <alignment horizontal="centerContinuous" vertical="center"/>
    </xf>
    <xf numFmtId="0" fontId="18" fillId="0" borderId="34" xfId="4" applyFont="1" applyBorder="1" applyAlignment="1">
      <alignment horizontal="centerContinuous" vertical="center"/>
    </xf>
    <xf numFmtId="0" fontId="18" fillId="0" borderId="35" xfId="4" applyFont="1" applyBorder="1" applyAlignment="1">
      <alignment horizontal="centerContinuous" vertical="center"/>
    </xf>
    <xf numFmtId="0" fontId="18" fillId="0" borderId="36" xfId="4" applyFont="1" applyBorder="1" applyAlignment="1">
      <alignment horizontal="centerContinuous" vertical="center"/>
    </xf>
    <xf numFmtId="0" fontId="13" fillId="0" borderId="4" xfId="0" applyNumberFormat="1" applyFont="1" applyBorder="1" applyAlignment="1">
      <alignment horizontal="centerContinuous"/>
    </xf>
    <xf numFmtId="0" fontId="1" fillId="0" borderId="1" xfId="4" applyBorder="1" applyAlignment="1">
      <alignment horizontal="right"/>
    </xf>
    <xf numFmtId="0" fontId="13" fillId="0" borderId="16" xfId="0" applyNumberFormat="1" applyFont="1" applyBorder="1" applyAlignment="1">
      <alignment horizontal="centerContinuous"/>
    </xf>
    <xf numFmtId="0" fontId="1" fillId="0" borderId="4" xfId="4" applyFont="1" applyBorder="1"/>
    <xf numFmtId="0" fontId="1" fillId="0" borderId="1" xfId="4" applyFont="1" applyBorder="1"/>
    <xf numFmtId="43" fontId="9" fillId="0" borderId="7" xfId="4" applyNumberFormat="1" applyFont="1" applyBorder="1" applyAlignment="1">
      <alignment horizontal="centerContinuous" vertical="center"/>
    </xf>
    <xf numFmtId="43" fontId="9" fillId="0" borderId="8" xfId="4" applyNumberFormat="1" applyFont="1" applyBorder="1" applyAlignment="1">
      <alignment horizontal="centerContinuous" vertical="center"/>
    </xf>
    <xf numFmtId="43" fontId="9" fillId="0" borderId="37" xfId="4" applyNumberFormat="1" applyFont="1" applyBorder="1" applyAlignment="1">
      <alignment horizontal="centerContinuous" vertical="center"/>
    </xf>
    <xf numFmtId="43" fontId="9" fillId="0" borderId="26" xfId="4" applyNumberFormat="1" applyFont="1" applyBorder="1" applyAlignment="1">
      <alignment horizontal="centerContinuous" vertical="center"/>
    </xf>
    <xf numFmtId="0" fontId="1" fillId="0" borderId="2" xfId="4" applyFont="1" applyBorder="1" applyAlignment="1">
      <alignment horizontal="centerContinuous"/>
    </xf>
    <xf numFmtId="0" fontId="0" fillId="0" borderId="0" xfId="0" applyAlignment="1">
      <alignment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justify" vertical="center" wrapText="1"/>
    </xf>
    <xf numFmtId="0" fontId="0" fillId="0" borderId="0" xfId="0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9" fontId="13" fillId="0" borderId="16" xfId="0" applyNumberFormat="1" applyFont="1" applyBorder="1" applyAlignment="1">
      <alignment horizontal="centerContinuous"/>
    </xf>
    <xf numFmtId="0" fontId="17" fillId="0" borderId="18" xfId="4" applyFont="1" applyBorder="1" applyAlignment="1">
      <alignment horizontal="centerContinuous" vertical="center"/>
    </xf>
    <xf numFmtId="4" fontId="1" fillId="0" borderId="1" xfId="4" applyNumberFormat="1" applyBorder="1" applyAlignment="1">
      <alignment horizontal="centerContinuous" vertical="center"/>
    </xf>
    <xf numFmtId="4" fontId="1" fillId="0" borderId="2" xfId="2" applyNumberFormat="1" applyBorder="1" applyAlignment="1">
      <alignment horizontal="right" wrapText="1"/>
    </xf>
    <xf numFmtId="4" fontId="1" fillId="0" borderId="1" xfId="4" applyNumberFormat="1" applyBorder="1"/>
    <xf numFmtId="4" fontId="1" fillId="0" borderId="0" xfId="4" applyNumberFormat="1"/>
    <xf numFmtId="0" fontId="3" fillId="0" borderId="0" xfId="4" applyFont="1" applyBorder="1" applyAlignment="1">
      <alignment horizontal="centerContinuous" vertical="center"/>
    </xf>
    <xf numFmtId="0" fontId="1" fillId="0" borderId="0" xfId="4" applyBorder="1" applyAlignment="1">
      <alignment horizontal="centerContinuous" vertical="center"/>
    </xf>
    <xf numFmtId="171" fontId="1" fillId="0" borderId="0" xfId="4" applyNumberFormat="1" applyBorder="1" applyAlignment="1">
      <alignment horizontal="centerContinuous" vertical="center"/>
    </xf>
    <xf numFmtId="4" fontId="1" fillId="0" borderId="0" xfId="4" applyNumberFormat="1" applyBorder="1" applyAlignment="1">
      <alignment horizontal="centerContinuous" vertical="center"/>
    </xf>
    <xf numFmtId="0" fontId="1" fillId="0" borderId="3" xfId="4" applyFont="1" applyBorder="1" applyAlignment="1">
      <alignment horizontal="centerContinuous"/>
    </xf>
    <xf numFmtId="0" fontId="1" fillId="2" borderId="3" xfId="4" applyFont="1" applyFill="1" applyBorder="1" applyAlignment="1">
      <alignment horizontal="centerContinuous"/>
    </xf>
    <xf numFmtId="0" fontId="1" fillId="2" borderId="4" xfId="4" applyFill="1" applyBorder="1" applyAlignment="1">
      <alignment horizontal="centerContinuous"/>
    </xf>
    <xf numFmtId="0" fontId="1" fillId="2" borderId="1" xfId="4" applyFill="1" applyBorder="1" applyAlignment="1">
      <alignment horizontal="centerContinuous"/>
    </xf>
    <xf numFmtId="0" fontId="1" fillId="2" borderId="3" xfId="4" applyFill="1" applyBorder="1" applyAlignment="1">
      <alignment horizontal="centerContinuous"/>
    </xf>
    <xf numFmtId="0" fontId="19" fillId="0" borderId="0" xfId="4" applyFont="1" applyBorder="1" applyAlignment="1">
      <alignment vertical="center"/>
    </xf>
    <xf numFmtId="0" fontId="1" fillId="2" borderId="4" xfId="4" applyFont="1" applyFill="1" applyBorder="1" applyAlignment="1">
      <alignment horizontal="centerContinuous"/>
    </xf>
    <xf numFmtId="0" fontId="1" fillId="2" borderId="2" xfId="4" applyFont="1" applyFill="1" applyBorder="1" applyAlignment="1">
      <alignment horizontal="centerContinuous"/>
    </xf>
    <xf numFmtId="0" fontId="0" fillId="0" borderId="0" xfId="0" applyAlignment="1">
      <alignment horizontal="center" vertical="center"/>
    </xf>
    <xf numFmtId="10" fontId="1" fillId="0" borderId="2" xfId="5" applyNumberFormat="1" applyBorder="1" applyAlignment="1">
      <alignment horizontal="center"/>
    </xf>
    <xf numFmtId="0" fontId="1" fillId="0" borderId="2" xfId="4" applyFont="1" applyBorder="1" applyAlignment="1">
      <alignment horizontal="centerContinuous" vertical="center" wrapText="1"/>
    </xf>
    <xf numFmtId="10" fontId="1" fillId="0" borderId="2" xfId="5" applyNumberFormat="1" applyFont="1" applyBorder="1" applyAlignment="1">
      <alignment horizontal="center"/>
    </xf>
    <xf numFmtId="0" fontId="4" fillId="0" borderId="48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vertical="center" wrapText="1"/>
    </xf>
    <xf numFmtId="0" fontId="4" fillId="0" borderId="49" xfId="0" applyNumberFormat="1" applyFont="1" applyFill="1" applyBorder="1" applyAlignment="1" applyProtection="1">
      <alignment vertical="center" wrapText="1"/>
    </xf>
    <xf numFmtId="4" fontId="1" fillId="0" borderId="1" xfId="2" applyNumberFormat="1" applyBorder="1" applyAlignment="1">
      <alignment horizontal="right" wrapText="1"/>
    </xf>
    <xf numFmtId="4" fontId="1" fillId="0" borderId="4" xfId="2" applyNumberFormat="1" applyBorder="1" applyAlignment="1">
      <alignment horizontal="centerContinuous"/>
    </xf>
    <xf numFmtId="171" fontId="1" fillId="0" borderId="0" xfId="4" applyNumberFormat="1" applyBorder="1" applyAlignment="1">
      <alignment horizontal="center" vertical="center"/>
    </xf>
    <xf numFmtId="171" fontId="1" fillId="0" borderId="4" xfId="4" applyNumberFormat="1" applyBorder="1" applyAlignment="1">
      <alignment horizontal="center" vertical="center"/>
    </xf>
    <xf numFmtId="0" fontId="1" fillId="0" borderId="0" xfId="4" applyAlignment="1">
      <alignment horizontal="center"/>
    </xf>
    <xf numFmtId="4" fontId="1" fillId="2" borderId="2" xfId="2" applyNumberFormat="1" applyFont="1" applyFill="1" applyBorder="1" applyAlignment="1">
      <alignment horizontal="center"/>
    </xf>
    <xf numFmtId="4" fontId="1" fillId="0" borderId="4" xfId="4" applyNumberFormat="1" applyBorder="1" applyAlignment="1">
      <alignment horizontal="centerContinuous" vertical="center"/>
    </xf>
    <xf numFmtId="10" fontId="1" fillId="0" borderId="1" xfId="4" applyNumberFormat="1" applyBorder="1" applyAlignment="1">
      <alignment horizontal="center"/>
    </xf>
    <xf numFmtId="0" fontId="19" fillId="2" borderId="2" xfId="4" applyFont="1" applyFill="1" applyBorder="1" applyAlignment="1">
      <alignment horizontal="centerContinuous" vertical="center" wrapText="1"/>
    </xf>
    <xf numFmtId="0" fontId="3" fillId="0" borderId="0" xfId="4" applyFont="1" applyFill="1" applyBorder="1" applyAlignment="1">
      <alignment horizontal="centerContinuous" vertical="center" wrapText="1"/>
    </xf>
    <xf numFmtId="0" fontId="1" fillId="0" borderId="5" xfId="4" applyFont="1" applyBorder="1"/>
    <xf numFmtId="0" fontId="19" fillId="2" borderId="2" xfId="4" applyFont="1" applyFill="1" applyBorder="1" applyAlignment="1">
      <alignment horizontal="center" vertical="center" wrapText="1"/>
    </xf>
    <xf numFmtId="4" fontId="19" fillId="2" borderId="2" xfId="4" applyNumberFormat="1" applyFont="1" applyFill="1" applyBorder="1" applyAlignment="1">
      <alignment horizontal="center" vertical="center" wrapText="1"/>
    </xf>
    <xf numFmtId="0" fontId="19" fillId="0" borderId="0" xfId="4" applyFont="1" applyBorder="1" applyAlignment="1">
      <alignment horizontal="centerContinuous"/>
    </xf>
    <xf numFmtId="0" fontId="19" fillId="0" borderId="6" xfId="4" applyFont="1" applyBorder="1" applyAlignment="1">
      <alignment horizontal="center"/>
    </xf>
    <xf numFmtId="0" fontId="19" fillId="0" borderId="9" xfId="4" applyFont="1" applyBorder="1" applyAlignment="1">
      <alignment horizontal="center"/>
    </xf>
    <xf numFmtId="10" fontId="1" fillId="0" borderId="2" xfId="2" applyNumberFormat="1" applyBorder="1" applyAlignment="1">
      <alignment horizontal="centerContinuous"/>
    </xf>
    <xf numFmtId="4" fontId="1" fillId="0" borderId="2" xfId="4" applyNumberFormat="1" applyBorder="1"/>
    <xf numFmtId="169" fontId="21" fillId="0" borderId="2" xfId="4" applyNumberFormat="1" applyFont="1" applyBorder="1" applyAlignment="1">
      <alignment horizontal="right" vertical="center"/>
    </xf>
    <xf numFmtId="170" fontId="1" fillId="0" borderId="2" xfId="4" applyNumberFormat="1" applyFont="1" applyBorder="1" applyAlignment="1">
      <alignment horizontal="right"/>
    </xf>
    <xf numFmtId="0" fontId="3" fillId="0" borderId="2" xfId="4" applyFont="1" applyFill="1" applyBorder="1" applyAlignment="1"/>
    <xf numFmtId="0" fontId="1" fillId="0" borderId="2" xfId="4" applyFont="1" applyBorder="1" applyAlignment="1">
      <alignment wrapText="1"/>
    </xf>
    <xf numFmtId="0" fontId="19" fillId="0" borderId="31" xfId="0" applyFont="1" applyBorder="1" applyAlignment="1">
      <alignment horizontal="center"/>
    </xf>
    <xf numFmtId="0" fontId="1" fillId="0" borderId="0" xfId="4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168" fontId="1" fillId="0" borderId="2" xfId="2" applyFont="1" applyBorder="1" applyAlignment="1">
      <alignment horizontal="right" wrapText="1"/>
    </xf>
    <xf numFmtId="0" fontId="2" fillId="0" borderId="0" xfId="0" applyNumberFormat="1" applyFont="1" applyFill="1" applyBorder="1" applyAlignment="1" applyProtection="1">
      <alignment vertical="center"/>
    </xf>
    <xf numFmtId="173" fontId="8" fillId="0" borderId="0" xfId="0" applyNumberFormat="1" applyFont="1" applyFill="1" applyBorder="1" applyAlignment="1" applyProtection="1">
      <alignment vertical="center"/>
    </xf>
    <xf numFmtId="4" fontId="2" fillId="0" borderId="0" xfId="0" applyNumberFormat="1" applyFont="1" applyFill="1" applyBorder="1" applyAlignment="1" applyProtection="1">
      <alignment vertical="center"/>
    </xf>
    <xf numFmtId="4" fontId="7" fillId="0" borderId="0" xfId="0" applyNumberFormat="1" applyFont="1" applyFill="1" applyBorder="1" applyAlignment="1" applyProtection="1">
      <alignment vertical="center"/>
    </xf>
    <xf numFmtId="4" fontId="8" fillId="0" borderId="19" xfId="0" applyNumberFormat="1" applyFont="1" applyFill="1" applyBorder="1" applyAlignment="1" applyProtection="1">
      <alignment vertical="center"/>
    </xf>
    <xf numFmtId="4" fontId="8" fillId="0" borderId="0" xfId="0" applyNumberFormat="1" applyFont="1" applyFill="1" applyBorder="1" applyAlignment="1" applyProtection="1">
      <alignment vertical="center"/>
    </xf>
    <xf numFmtId="4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4" fontId="8" fillId="3" borderId="2" xfId="0" applyNumberFormat="1" applyFont="1" applyFill="1" applyBorder="1" applyAlignment="1" applyProtection="1">
      <alignment vertical="center"/>
    </xf>
    <xf numFmtId="0" fontId="17" fillId="0" borderId="0" xfId="4" applyFont="1" applyBorder="1" applyAlignment="1">
      <alignment horizontal="center" vertical="center" wrapText="1"/>
    </xf>
    <xf numFmtId="0" fontId="17" fillId="0" borderId="0" xfId="4" applyFont="1" applyBorder="1" applyAlignment="1">
      <alignment vertical="center" wrapText="1"/>
    </xf>
    <xf numFmtId="2" fontId="6" fillId="0" borderId="0" xfId="0" applyNumberFormat="1" applyFont="1" applyAlignment="1">
      <alignment horizontal="left" vertical="center"/>
    </xf>
    <xf numFmtId="0" fontId="6" fillId="0" borderId="0" xfId="0" applyFont="1" applyAlignment="1">
      <alignment vertical="center" wrapText="1"/>
    </xf>
    <xf numFmtId="2" fontId="3" fillId="0" borderId="0" xfId="0" applyNumberFormat="1" applyFont="1" applyAlignment="1">
      <alignment horizontal="center" vertical="center"/>
    </xf>
    <xf numFmtId="0" fontId="3" fillId="0" borderId="0" xfId="4" applyFont="1"/>
    <xf numFmtId="2" fontId="3" fillId="0" borderId="0" xfId="0" applyNumberFormat="1" applyFont="1" applyAlignment="1">
      <alignment vertical="center"/>
    </xf>
    <xf numFmtId="2" fontId="19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6" fillId="0" borderId="48" xfId="0" applyFont="1" applyBorder="1" applyAlignment="1">
      <alignment vertical="center"/>
    </xf>
    <xf numFmtId="4" fontId="8" fillId="0" borderId="14" xfId="0" applyNumberFormat="1" applyFont="1" applyFill="1" applyBorder="1" applyAlignment="1" applyProtection="1">
      <alignment vertical="center"/>
    </xf>
    <xf numFmtId="174" fontId="1" fillId="0" borderId="2" xfId="4" applyNumberFormat="1" applyBorder="1" applyAlignment="1">
      <alignment horizontal="right"/>
    </xf>
    <xf numFmtId="0" fontId="0" fillId="0" borderId="48" xfId="0" applyBorder="1" applyAlignment="1">
      <alignment horizontal="left" vertical="center"/>
    </xf>
    <xf numFmtId="0" fontId="0" fillId="0" borderId="0" xfId="0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0" fillId="0" borderId="49" xfId="0" applyBorder="1" applyAlignment="1">
      <alignment vertical="center"/>
    </xf>
    <xf numFmtId="0" fontId="4" fillId="0" borderId="48" xfId="0" applyFont="1" applyBorder="1" applyAlignment="1">
      <alignment horizontal="center" vertical="center"/>
    </xf>
    <xf numFmtId="0" fontId="6" fillId="0" borderId="48" xfId="0" applyFont="1" applyBorder="1" applyAlignment="1">
      <alignment vertical="center" wrapText="1"/>
    </xf>
    <xf numFmtId="0" fontId="6" fillId="0" borderId="48" xfId="0" applyFont="1" applyBorder="1" applyAlignment="1">
      <alignment horizontal="center" vertical="center" wrapText="1"/>
    </xf>
    <xf numFmtId="4" fontId="0" fillId="0" borderId="23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4" fontId="0" fillId="0" borderId="2" xfId="0" applyNumberFormat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6" fillId="7" borderId="2" xfId="4" applyFont="1" applyFill="1" applyBorder="1" applyAlignment="1">
      <alignment horizontal="left"/>
    </xf>
    <xf numFmtId="0" fontId="6" fillId="7" borderId="3" xfId="4" applyFont="1" applyFill="1" applyBorder="1" applyAlignment="1">
      <alignment horizontal="left"/>
    </xf>
    <xf numFmtId="0" fontId="6" fillId="7" borderId="1" xfId="4" applyFont="1" applyFill="1" applyBorder="1" applyAlignment="1">
      <alignment horizontal="left"/>
    </xf>
    <xf numFmtId="0" fontId="1" fillId="7" borderId="3" xfId="4" applyFill="1" applyBorder="1" applyAlignment="1">
      <alignment horizontal="right"/>
    </xf>
    <xf numFmtId="0" fontId="6" fillId="7" borderId="19" xfId="4" applyFont="1" applyFill="1" applyBorder="1" applyAlignment="1">
      <alignment horizontal="center"/>
    </xf>
    <xf numFmtId="0" fontId="25" fillId="7" borderId="2" xfId="4" applyFont="1" applyFill="1" applyBorder="1" applyAlignment="1">
      <alignment horizontal="left"/>
    </xf>
    <xf numFmtId="0" fontId="25" fillId="7" borderId="3" xfId="4" applyFont="1" applyFill="1" applyBorder="1" applyAlignment="1">
      <alignment horizontal="left"/>
    </xf>
    <xf numFmtId="0" fontId="25" fillId="7" borderId="4" xfId="4" applyFont="1" applyFill="1" applyBorder="1" applyAlignment="1">
      <alignment horizontal="left"/>
    </xf>
    <xf numFmtId="0" fontId="25" fillId="7" borderId="1" xfId="4" applyFont="1" applyFill="1" applyBorder="1" applyAlignment="1">
      <alignment horizontal="left"/>
    </xf>
    <xf numFmtId="0" fontId="26" fillId="7" borderId="3" xfId="4" applyFont="1" applyFill="1" applyBorder="1" applyAlignment="1">
      <alignment horizontal="right"/>
    </xf>
    <xf numFmtId="0" fontId="25" fillId="7" borderId="19" xfId="4" applyFont="1" applyFill="1" applyBorder="1" applyAlignment="1">
      <alignment horizontal="center"/>
    </xf>
    <xf numFmtId="4" fontId="28" fillId="0" borderId="2" xfId="4" applyNumberFormat="1" applyFont="1" applyBorder="1" applyAlignment="1">
      <alignment horizontal="right"/>
    </xf>
    <xf numFmtId="0" fontId="29" fillId="0" borderId="18" xfId="4" applyFont="1" applyBorder="1" applyAlignment="1">
      <alignment vertical="center"/>
    </xf>
    <xf numFmtId="169" fontId="29" fillId="0" borderId="2" xfId="4" applyNumberFormat="1" applyFont="1" applyBorder="1" applyAlignment="1">
      <alignment horizontal="center" vertical="center"/>
    </xf>
    <xf numFmtId="0" fontId="30" fillId="0" borderId="3" xfId="4" applyFont="1" applyBorder="1" applyAlignment="1">
      <alignment horizontal="centerContinuous" wrapText="1"/>
    </xf>
    <xf numFmtId="0" fontId="30" fillId="0" borderId="4" xfId="4" applyFont="1" applyBorder="1" applyAlignment="1">
      <alignment horizontal="centerContinuous" vertical="center"/>
    </xf>
    <xf numFmtId="0" fontId="30" fillId="0" borderId="11" xfId="4" applyFont="1" applyBorder="1" applyAlignment="1">
      <alignment horizontal="centerContinuous" vertical="center"/>
    </xf>
    <xf numFmtId="0" fontId="26" fillId="8" borderId="18" xfId="4" applyFont="1" applyFill="1" applyBorder="1" applyAlignment="1">
      <alignment horizontal="centerContinuous" vertical="center"/>
    </xf>
    <xf numFmtId="0" fontId="26" fillId="8" borderId="2" xfId="4" applyFont="1" applyFill="1" applyBorder="1" applyAlignment="1">
      <alignment horizontal="centerContinuous" vertical="center"/>
    </xf>
    <xf numFmtId="0" fontId="26" fillId="8" borderId="2" xfId="4" applyFont="1" applyFill="1" applyBorder="1" applyAlignment="1">
      <alignment horizontal="centerContinuous" vertical="center" wrapText="1"/>
    </xf>
    <xf numFmtId="0" fontId="6" fillId="7" borderId="27" xfId="4" applyFont="1" applyFill="1" applyBorder="1" applyAlignment="1">
      <alignment horizontal="left"/>
    </xf>
    <xf numFmtId="0" fontId="26" fillId="8" borderId="18" xfId="4" applyFont="1" applyFill="1" applyBorder="1" applyAlignment="1">
      <alignment horizontal="centerContinuous" vertical="center" wrapText="1"/>
    </xf>
    <xf numFmtId="0" fontId="27" fillId="7" borderId="3" xfId="4" applyFont="1" applyFill="1" applyBorder="1" applyAlignment="1">
      <alignment horizontal="left"/>
    </xf>
    <xf numFmtId="0" fontId="1" fillId="8" borderId="25" xfId="4" applyFill="1" applyBorder="1" applyAlignment="1">
      <alignment horizontal="centerContinuous" vertical="center"/>
    </xf>
    <xf numFmtId="0" fontId="1" fillId="8" borderId="5" xfId="4" applyFill="1" applyBorder="1" applyAlignment="1">
      <alignment horizontal="centerContinuous" vertical="center"/>
    </xf>
    <xf numFmtId="0" fontId="1" fillId="8" borderId="5" xfId="4" applyFill="1" applyBorder="1" applyAlignment="1">
      <alignment horizontal="centerContinuous" vertical="center" wrapText="1"/>
    </xf>
    <xf numFmtId="0" fontId="1" fillId="8" borderId="5" xfId="4" applyFont="1" applyFill="1" applyBorder="1" applyAlignment="1">
      <alignment horizontal="center" vertical="center" wrapText="1"/>
    </xf>
    <xf numFmtId="0" fontId="26" fillId="8" borderId="25" xfId="4" applyFont="1" applyFill="1" applyBorder="1" applyAlignment="1">
      <alignment horizontal="centerContinuous" vertical="center"/>
    </xf>
    <xf numFmtId="0" fontId="26" fillId="8" borderId="5" xfId="4" applyFont="1" applyFill="1" applyBorder="1" applyAlignment="1">
      <alignment horizontal="centerContinuous" vertical="center"/>
    </xf>
    <xf numFmtId="0" fontId="26" fillId="8" borderId="5" xfId="4" applyFont="1" applyFill="1" applyBorder="1" applyAlignment="1">
      <alignment horizontal="centerContinuous" vertical="center" wrapText="1"/>
    </xf>
    <xf numFmtId="43" fontId="8" fillId="8" borderId="7" xfId="4" applyNumberFormat="1" applyFont="1" applyFill="1" applyBorder="1" applyAlignment="1">
      <alignment horizontal="center" vertical="center" wrapText="1"/>
    </xf>
    <xf numFmtId="168" fontId="31" fillId="0" borderId="11" xfId="2" applyFont="1" applyBorder="1" applyAlignment="1">
      <alignment horizontal="right" wrapText="1"/>
    </xf>
    <xf numFmtId="168" fontId="31" fillId="0" borderId="24" xfId="2" applyFont="1" applyBorder="1" applyAlignment="1">
      <alignment horizontal="right" wrapText="1"/>
    </xf>
    <xf numFmtId="43" fontId="32" fillId="8" borderId="8" xfId="4" applyNumberFormat="1" applyFont="1" applyFill="1" applyBorder="1" applyAlignment="1">
      <alignment horizontal="center" vertical="center" wrapText="1"/>
    </xf>
    <xf numFmtId="168" fontId="1" fillId="7" borderId="22" xfId="4" applyNumberFormat="1" applyFill="1" applyBorder="1" applyAlignment="1">
      <alignment horizontal="right" wrapText="1"/>
    </xf>
    <xf numFmtId="168" fontId="1" fillId="7" borderId="22" xfId="2" applyFill="1" applyBorder="1" applyAlignment="1">
      <alignment horizontal="right" wrapText="1"/>
    </xf>
    <xf numFmtId="168" fontId="1" fillId="7" borderId="19" xfId="4" applyNumberFormat="1" applyFill="1" applyBorder="1" applyAlignment="1">
      <alignment horizontal="right" wrapText="1"/>
    </xf>
    <xf numFmtId="0" fontId="15" fillId="7" borderId="16" xfId="4" applyFont="1" applyFill="1" applyBorder="1" applyAlignment="1">
      <alignment horizontal="centerContinuous" vertical="center"/>
    </xf>
    <xf numFmtId="0" fontId="2" fillId="7" borderId="4" xfId="4" applyFont="1" applyFill="1" applyBorder="1" applyAlignment="1">
      <alignment horizontal="centerContinuous" vertical="center"/>
    </xf>
    <xf numFmtId="0" fontId="2" fillId="7" borderId="11" xfId="4" applyFont="1" applyFill="1" applyBorder="1" applyAlignment="1">
      <alignment horizontal="centerContinuous" vertical="center"/>
    </xf>
    <xf numFmtId="0" fontId="33" fillId="0" borderId="16" xfId="4" applyFont="1" applyBorder="1" applyAlignment="1"/>
    <xf numFmtId="169" fontId="33" fillId="0" borderId="2" xfId="4" applyNumberFormat="1" applyFont="1" applyBorder="1" applyAlignment="1">
      <alignment horizontal="center"/>
    </xf>
    <xf numFmtId="0" fontId="1" fillId="7" borderId="4" xfId="4" applyFill="1" applyBorder="1" applyAlignment="1">
      <alignment horizontal="right"/>
    </xf>
    <xf numFmtId="0" fontId="6" fillId="7" borderId="33" xfId="4" applyFont="1" applyFill="1" applyBorder="1" applyAlignment="1">
      <alignment horizontal="center"/>
    </xf>
    <xf numFmtId="0" fontId="26" fillId="8" borderId="16" xfId="4" applyFont="1" applyFill="1" applyBorder="1" applyAlignment="1">
      <alignment horizontal="centerContinuous" vertical="center"/>
    </xf>
    <xf numFmtId="0" fontId="26" fillId="8" borderId="4" xfId="4" applyFont="1" applyFill="1" applyBorder="1" applyAlignment="1">
      <alignment horizontal="centerContinuous" vertical="center"/>
    </xf>
    <xf numFmtId="0" fontId="26" fillId="8" borderId="1" xfId="4" applyFont="1" applyFill="1" applyBorder="1" applyAlignment="1">
      <alignment horizontal="centerContinuous" vertical="center"/>
    </xf>
    <xf numFmtId="0" fontId="26" fillId="8" borderId="3" xfId="4" applyFont="1" applyFill="1" applyBorder="1" applyAlignment="1">
      <alignment horizontal="centerContinuous" vertical="center" wrapText="1"/>
    </xf>
    <xf numFmtId="0" fontId="26" fillId="8" borderId="1" xfId="4" applyFont="1" applyFill="1" applyBorder="1" applyAlignment="1">
      <alignment horizontal="centerContinuous" vertical="center" wrapText="1"/>
    </xf>
    <xf numFmtId="0" fontId="26" fillId="8" borderId="16" xfId="4" applyFont="1" applyFill="1" applyBorder="1" applyAlignment="1">
      <alignment horizontal="centerContinuous" vertical="center" wrapText="1"/>
    </xf>
    <xf numFmtId="0" fontId="26" fillId="8" borderId="4" xfId="4" applyFont="1" applyFill="1" applyBorder="1" applyAlignment="1">
      <alignment horizontal="centerContinuous" vertical="center" wrapText="1"/>
    </xf>
    <xf numFmtId="0" fontId="26" fillId="8" borderId="6" xfId="4" applyFont="1" applyFill="1" applyBorder="1" applyAlignment="1">
      <alignment horizontal="center" vertical="center" wrapText="1"/>
    </xf>
    <xf numFmtId="43" fontId="32" fillId="8" borderId="7" xfId="4" applyNumberFormat="1" applyFont="1" applyFill="1" applyBorder="1" applyAlignment="1">
      <alignment horizontal="center" vertical="center" wrapText="1"/>
    </xf>
    <xf numFmtId="0" fontId="15" fillId="8" borderId="16" xfId="4" applyFont="1" applyFill="1" applyBorder="1" applyAlignment="1">
      <alignment horizontal="centerContinuous" vertical="center"/>
    </xf>
    <xf numFmtId="0" fontId="2" fillId="8" borderId="4" xfId="4" applyFont="1" applyFill="1" applyBorder="1" applyAlignment="1">
      <alignment horizontal="centerContinuous" vertical="center"/>
    </xf>
    <xf numFmtId="0" fontId="2" fillId="8" borderId="11" xfId="4" applyFont="1" applyFill="1" applyBorder="1" applyAlignment="1">
      <alignment horizontal="centerContinuous" vertical="center"/>
    </xf>
    <xf numFmtId="0" fontId="15" fillId="8" borderId="28" xfId="4" applyFont="1" applyFill="1" applyBorder="1" applyAlignment="1">
      <alignment horizontal="centerContinuous" vertical="center"/>
    </xf>
    <xf numFmtId="0" fontId="2" fillId="8" borderId="12" xfId="4" applyFont="1" applyFill="1" applyBorder="1" applyAlignment="1">
      <alignment horizontal="centerContinuous" vertical="center"/>
    </xf>
    <xf numFmtId="0" fontId="2" fillId="8" borderId="17" xfId="4" applyFont="1" applyFill="1" applyBorder="1" applyAlignment="1">
      <alignment horizontal="centerContinuous" vertical="center"/>
    </xf>
    <xf numFmtId="0" fontId="33" fillId="0" borderId="18" xfId="4" applyFont="1" applyBorder="1" applyAlignment="1">
      <alignment vertical="center"/>
    </xf>
    <xf numFmtId="169" fontId="36" fillId="0" borderId="2" xfId="4" applyNumberFormat="1" applyFont="1" applyBorder="1" applyAlignment="1">
      <alignment horizontal="right" vertical="center"/>
    </xf>
    <xf numFmtId="0" fontId="34" fillId="0" borderId="3" xfId="4" applyFont="1" applyBorder="1" applyAlignment="1">
      <alignment horizontal="centerContinuous" wrapText="1"/>
    </xf>
    <xf numFmtId="0" fontId="34" fillId="0" borderId="4" xfId="4" applyFont="1" applyBorder="1" applyAlignment="1">
      <alignment horizontal="centerContinuous" vertical="center"/>
    </xf>
    <xf numFmtId="0" fontId="34" fillId="0" borderId="11" xfId="4" applyFont="1" applyBorder="1" applyAlignment="1">
      <alignment horizontal="centerContinuous" vertical="center"/>
    </xf>
    <xf numFmtId="169" fontId="37" fillId="0" borderId="2" xfId="4" applyNumberFormat="1" applyFont="1" applyBorder="1" applyAlignment="1">
      <alignment horizontal="right" vertical="center"/>
    </xf>
    <xf numFmtId="169" fontId="33" fillId="0" borderId="2" xfId="4" applyNumberFormat="1" applyFont="1" applyBorder="1" applyAlignment="1">
      <alignment horizontal="right" vertical="center"/>
    </xf>
    <xf numFmtId="9" fontId="34" fillId="0" borderId="3" xfId="5" applyFont="1" applyBorder="1" applyAlignment="1">
      <alignment horizontal="centerContinuous" wrapText="1"/>
    </xf>
    <xf numFmtId="169" fontId="38" fillId="0" borderId="2" xfId="4" applyNumberFormat="1" applyFont="1" applyBorder="1" applyAlignment="1">
      <alignment horizontal="right" vertical="center"/>
    </xf>
    <xf numFmtId="0" fontId="38" fillId="0" borderId="18" xfId="4" applyFont="1" applyBorder="1" applyAlignment="1">
      <alignment vertical="center"/>
    </xf>
    <xf numFmtId="169" fontId="36" fillId="0" borderId="2" xfId="4" applyNumberFormat="1" applyFont="1" applyBorder="1" applyAlignment="1">
      <alignment horizontal="center" vertical="center"/>
    </xf>
    <xf numFmtId="169" fontId="38" fillId="0" borderId="2" xfId="4" applyNumberFormat="1" applyFont="1" applyBorder="1" applyAlignment="1">
      <alignment horizontal="center" vertical="center"/>
    </xf>
    <xf numFmtId="0" fontId="39" fillId="0" borderId="11" xfId="4" applyFont="1" applyBorder="1" applyAlignment="1">
      <alignment horizontal="centerContinuous" vertical="center"/>
    </xf>
    <xf numFmtId="0" fontId="33" fillId="0" borderId="18" xfId="4" applyFont="1" applyBorder="1" applyAlignment="1"/>
    <xf numFmtId="169" fontId="33" fillId="0" borderId="2" xfId="4" applyNumberFormat="1" applyFont="1" applyBorder="1" applyAlignment="1">
      <alignment horizontal="right"/>
    </xf>
    <xf numFmtId="169" fontId="37" fillId="0" borderId="2" xfId="4" applyNumberFormat="1" applyFont="1" applyBorder="1" applyAlignment="1">
      <alignment horizontal="right"/>
    </xf>
    <xf numFmtId="169" fontId="38" fillId="0" borderId="2" xfId="4" applyNumberFormat="1" applyFont="1" applyBorder="1" applyAlignment="1">
      <alignment horizontal="right"/>
    </xf>
    <xf numFmtId="0" fontId="6" fillId="7" borderId="11" xfId="4" applyFont="1" applyFill="1" applyBorder="1" applyAlignment="1">
      <alignment horizontal="center"/>
    </xf>
    <xf numFmtId="0" fontId="19" fillId="7" borderId="2" xfId="4" applyFont="1" applyFill="1" applyBorder="1" applyAlignment="1">
      <alignment horizontal="left"/>
    </xf>
    <xf numFmtId="0" fontId="1" fillId="7" borderId="21" xfId="4" applyFill="1" applyBorder="1" applyAlignment="1"/>
    <xf numFmtId="0" fontId="1" fillId="7" borderId="1" xfId="4" applyFill="1" applyBorder="1" applyAlignment="1">
      <alignment horizontal="left"/>
    </xf>
    <xf numFmtId="0" fontId="27" fillId="7" borderId="27" xfId="4" applyFont="1" applyFill="1" applyBorder="1" applyAlignment="1">
      <alignment horizontal="left"/>
    </xf>
    <xf numFmtId="168" fontId="31" fillId="7" borderId="22" xfId="2" applyFont="1" applyFill="1" applyBorder="1" applyAlignment="1">
      <alignment horizontal="right" wrapText="1"/>
    </xf>
    <xf numFmtId="0" fontId="27" fillId="7" borderId="25" xfId="4" applyFont="1" applyFill="1" applyBorder="1" applyAlignment="1">
      <alignment horizontal="left"/>
    </xf>
    <xf numFmtId="0" fontId="27" fillId="7" borderId="6" xfId="4" applyFont="1" applyFill="1" applyBorder="1" applyAlignment="1">
      <alignment horizontal="left"/>
    </xf>
    <xf numFmtId="0" fontId="27" fillId="7" borderId="5" xfId="4" applyFont="1" applyFill="1" applyBorder="1" applyAlignment="1">
      <alignment horizontal="left"/>
    </xf>
    <xf numFmtId="168" fontId="1" fillId="7" borderId="19" xfId="2" applyFill="1" applyBorder="1" applyAlignment="1">
      <alignment horizontal="right" wrapText="1"/>
    </xf>
    <xf numFmtId="168" fontId="1" fillId="7" borderId="11" xfId="4" applyNumberFormat="1" applyFill="1" applyBorder="1" applyAlignment="1">
      <alignment horizontal="right" wrapText="1"/>
    </xf>
    <xf numFmtId="168" fontId="31" fillId="0" borderId="2" xfId="2" applyFont="1" applyBorder="1" applyAlignment="1">
      <alignment horizontal="right" wrapText="1"/>
    </xf>
    <xf numFmtId="43" fontId="32" fillId="8" borderId="14" xfId="4" applyNumberFormat="1" applyFont="1" applyFill="1" applyBorder="1" applyAlignment="1">
      <alignment horizontal="center" vertical="center" wrapText="1"/>
    </xf>
    <xf numFmtId="0" fontId="1" fillId="0" borderId="23" xfId="4" applyBorder="1" applyAlignment="1"/>
    <xf numFmtId="0" fontId="1" fillId="0" borderId="18" xfId="4" applyBorder="1" applyAlignment="1"/>
    <xf numFmtId="0" fontId="1" fillId="9" borderId="21" xfId="4" applyFill="1" applyBorder="1" applyAlignment="1"/>
    <xf numFmtId="0" fontId="1" fillId="9" borderId="20" xfId="4" applyFill="1" applyBorder="1" applyAlignment="1">
      <alignment horizontal="center" vertical="center"/>
    </xf>
    <xf numFmtId="0" fontId="1" fillId="0" borderId="27" xfId="4" applyBorder="1" applyAlignment="1">
      <alignment horizontal="centerContinuous"/>
    </xf>
    <xf numFmtId="0" fontId="1" fillId="0" borderId="33" xfId="4" applyBorder="1" applyAlignment="1">
      <alignment horizontal="centerContinuous"/>
    </xf>
    <xf numFmtId="0" fontId="31" fillId="0" borderId="21" xfId="4" applyFont="1" applyBorder="1" applyAlignment="1"/>
    <xf numFmtId="168" fontId="31" fillId="0" borderId="26" xfId="2" applyFont="1" applyBorder="1" applyAlignment="1">
      <alignment horizontal="right" wrapText="1"/>
    </xf>
    <xf numFmtId="43" fontId="32" fillId="8" borderId="15" xfId="4" applyNumberFormat="1" applyFont="1" applyFill="1" applyBorder="1" applyAlignment="1">
      <alignment horizontal="center" vertical="center" wrapText="1"/>
    </xf>
    <xf numFmtId="0" fontId="1" fillId="9" borderId="22" xfId="4" applyFill="1" applyBorder="1" applyAlignment="1"/>
    <xf numFmtId="0" fontId="1" fillId="9" borderId="19" xfId="4" applyFill="1" applyBorder="1" applyAlignment="1"/>
    <xf numFmtId="0" fontId="1" fillId="9" borderId="19" xfId="4" applyFill="1" applyBorder="1" applyAlignment="1">
      <alignment horizontal="center" vertical="center"/>
    </xf>
    <xf numFmtId="0" fontId="31" fillId="9" borderId="16" xfId="4" applyFont="1" applyFill="1" applyBorder="1" applyAlignment="1">
      <alignment horizontal="centerContinuous"/>
    </xf>
    <xf numFmtId="0" fontId="31" fillId="9" borderId="4" xfId="4" applyFont="1" applyFill="1" applyBorder="1" applyAlignment="1">
      <alignment horizontal="centerContinuous"/>
    </xf>
    <xf numFmtId="0" fontId="31" fillId="9" borderId="11" xfId="4" applyFont="1" applyFill="1" applyBorder="1" applyAlignment="1">
      <alignment horizontal="centerContinuous"/>
    </xf>
    <xf numFmtId="0" fontId="6" fillId="7" borderId="33" xfId="4" applyFont="1" applyFill="1" applyBorder="1" applyAlignment="1">
      <alignment horizontal="left"/>
    </xf>
    <xf numFmtId="168" fontId="31" fillId="9" borderId="24" xfId="2" applyFont="1" applyFill="1" applyBorder="1" applyAlignment="1">
      <alignment horizontal="right" wrapText="1"/>
    </xf>
    <xf numFmtId="168" fontId="1" fillId="7" borderId="19" xfId="4" applyNumberFormat="1" applyFill="1" applyBorder="1" applyAlignment="1"/>
    <xf numFmtId="43" fontId="1" fillId="7" borderId="19" xfId="4" applyNumberFormat="1" applyFill="1" applyBorder="1" applyAlignment="1"/>
    <xf numFmtId="168" fontId="1" fillId="7" borderId="19" xfId="4" applyNumberFormat="1" applyFill="1" applyBorder="1" applyAlignment="1">
      <alignment horizontal="right"/>
    </xf>
    <xf numFmtId="43" fontId="1" fillId="7" borderId="22" xfId="2" applyNumberFormat="1" applyFill="1" applyBorder="1" applyAlignment="1">
      <alignment horizontal="right" wrapText="1"/>
    </xf>
    <xf numFmtId="0" fontId="1" fillId="0" borderId="21" xfId="4" applyBorder="1" applyAlignment="1">
      <alignment horizontal="right"/>
    </xf>
    <xf numFmtId="168" fontId="1" fillId="0" borderId="21" xfId="4" applyNumberFormat="1" applyBorder="1" applyAlignment="1"/>
    <xf numFmtId="4" fontId="1" fillId="0" borderId="1" xfId="4" applyNumberFormat="1" applyBorder="1" applyAlignment="1"/>
    <xf numFmtId="0" fontId="26" fillId="9" borderId="16" xfId="4" applyFont="1" applyFill="1" applyBorder="1" applyAlignment="1">
      <alignment horizontal="centerContinuous"/>
    </xf>
    <xf numFmtId="0" fontId="26" fillId="9" borderId="4" xfId="4" applyFont="1" applyFill="1" applyBorder="1" applyAlignment="1">
      <alignment horizontal="centerContinuous"/>
    </xf>
    <xf numFmtId="0" fontId="1" fillId="0" borderId="0" xfId="4" applyBorder="1"/>
    <xf numFmtId="0" fontId="1" fillId="0" borderId="54" xfId="4" applyBorder="1"/>
    <xf numFmtId="0" fontId="31" fillId="9" borderId="3" xfId="4" applyFont="1" applyFill="1" applyBorder="1" applyAlignment="1">
      <alignment horizontal="left"/>
    </xf>
    <xf numFmtId="168" fontId="31" fillId="9" borderId="11" xfId="2" applyFont="1" applyFill="1" applyBorder="1" applyAlignment="1">
      <alignment horizontal="right" wrapText="1"/>
    </xf>
    <xf numFmtId="0" fontId="31" fillId="9" borderId="21" xfId="4" applyFont="1" applyFill="1" applyBorder="1" applyAlignment="1"/>
    <xf numFmtId="0" fontId="26" fillId="9" borderId="2" xfId="4" applyFont="1" applyFill="1" applyBorder="1" applyAlignment="1">
      <alignment horizontal="center"/>
    </xf>
    <xf numFmtId="4" fontId="26" fillId="9" borderId="2" xfId="4" applyNumberFormat="1" applyFont="1" applyFill="1" applyBorder="1" applyAlignment="1">
      <alignment horizontal="right"/>
    </xf>
    <xf numFmtId="4" fontId="26" fillId="9" borderId="2" xfId="2" applyNumberFormat="1" applyFont="1" applyFill="1" applyBorder="1" applyAlignment="1">
      <alignment horizontal="centerContinuous"/>
    </xf>
    <xf numFmtId="168" fontId="26" fillId="9" borderId="2" xfId="2" applyFont="1" applyFill="1" applyBorder="1" applyAlignment="1">
      <alignment horizontal="right" wrapText="1"/>
    </xf>
    <xf numFmtId="0" fontId="1" fillId="9" borderId="3" xfId="4" applyFill="1" applyBorder="1" applyAlignment="1">
      <alignment horizontal="left"/>
    </xf>
    <xf numFmtId="0" fontId="31" fillId="9" borderId="2" xfId="4" applyFont="1" applyFill="1" applyBorder="1" applyAlignment="1">
      <alignment horizontal="centerContinuous"/>
    </xf>
    <xf numFmtId="4" fontId="31" fillId="9" borderId="2" xfId="4" applyNumberFormat="1" applyFont="1" applyFill="1" applyBorder="1" applyAlignment="1">
      <alignment horizontal="right"/>
    </xf>
    <xf numFmtId="9" fontId="31" fillId="9" borderId="2" xfId="5" applyFont="1" applyFill="1" applyBorder="1" applyAlignment="1">
      <alignment horizontal="center"/>
    </xf>
    <xf numFmtId="168" fontId="31" fillId="9" borderId="2" xfId="2" applyFont="1" applyFill="1" applyBorder="1" applyAlignment="1">
      <alignment horizontal="right" wrapText="1"/>
    </xf>
    <xf numFmtId="0" fontId="26" fillId="9" borderId="2" xfId="4" applyFont="1" applyFill="1" applyBorder="1" applyAlignment="1">
      <alignment horizontal="centerContinuous"/>
    </xf>
    <xf numFmtId="9" fontId="26" fillId="9" borderId="2" xfId="5" applyFont="1" applyFill="1" applyBorder="1" applyAlignment="1">
      <alignment horizontal="center"/>
    </xf>
    <xf numFmtId="4" fontId="31" fillId="9" borderId="2" xfId="4" applyNumberFormat="1" applyFont="1" applyFill="1" applyBorder="1" applyAlignment="1">
      <alignment horizontal="centerContinuous"/>
    </xf>
    <xf numFmtId="4" fontId="26" fillId="9" borderId="2" xfId="4" applyNumberFormat="1" applyFont="1" applyFill="1" applyBorder="1" applyAlignment="1">
      <alignment horizontal="centerContinuous"/>
    </xf>
    <xf numFmtId="0" fontId="31" fillId="0" borderId="23" xfId="4" applyFont="1" applyBorder="1" applyAlignment="1"/>
    <xf numFmtId="2" fontId="1" fillId="0" borderId="1" xfId="4" applyNumberFormat="1" applyBorder="1" applyAlignment="1">
      <alignment horizontal="right"/>
    </xf>
    <xf numFmtId="39" fontId="1" fillId="7" borderId="19" xfId="4" applyNumberFormat="1" applyFill="1" applyBorder="1" applyAlignment="1">
      <alignment horizontal="right"/>
    </xf>
    <xf numFmtId="39" fontId="1" fillId="7" borderId="19" xfId="4" applyNumberFormat="1" applyFill="1" applyBorder="1" applyAlignment="1"/>
    <xf numFmtId="4" fontId="1" fillId="7" borderId="19" xfId="4" applyNumberFormat="1" applyFill="1" applyBorder="1" applyAlignment="1"/>
    <xf numFmtId="4" fontId="1" fillId="0" borderId="21" xfId="4" applyNumberFormat="1" applyBorder="1" applyAlignment="1"/>
    <xf numFmtId="4" fontId="1" fillId="9" borderId="21" xfId="4" applyNumberFormat="1" applyFill="1" applyBorder="1" applyAlignment="1"/>
    <xf numFmtId="4" fontId="1" fillId="0" borderId="22" xfId="4" applyNumberFormat="1" applyBorder="1" applyAlignment="1"/>
    <xf numFmtId="4" fontId="1" fillId="7" borderId="22" xfId="2" applyNumberFormat="1" applyFill="1" applyBorder="1" applyAlignment="1">
      <alignment horizontal="right" wrapText="1"/>
    </xf>
    <xf numFmtId="0" fontId="1" fillId="0" borderId="22" xfId="4" applyFill="1" applyBorder="1" applyAlignment="1"/>
    <xf numFmtId="0" fontId="1" fillId="0" borderId="21" xfId="4" applyFill="1" applyBorder="1" applyAlignment="1"/>
    <xf numFmtId="0" fontId="1" fillId="9" borderId="0" xfId="4" applyFill="1"/>
    <xf numFmtId="0" fontId="31" fillId="9" borderId="2" xfId="4" applyFont="1" applyFill="1" applyBorder="1" applyAlignment="1">
      <alignment horizontal="center"/>
    </xf>
    <xf numFmtId="4" fontId="31" fillId="9" borderId="2" xfId="2" applyNumberFormat="1" applyFont="1" applyFill="1" applyBorder="1" applyAlignment="1">
      <alignment horizontal="centerContinuous"/>
    </xf>
    <xf numFmtId="0" fontId="27" fillId="5" borderId="16" xfId="4" applyFont="1" applyFill="1" applyBorder="1" applyAlignment="1">
      <alignment horizontal="left"/>
    </xf>
    <xf numFmtId="0" fontId="27" fillId="5" borderId="4" xfId="4" applyFont="1" applyFill="1" applyBorder="1" applyAlignment="1">
      <alignment horizontal="left"/>
    </xf>
    <xf numFmtId="0" fontId="27" fillId="5" borderId="27" xfId="4" applyFont="1" applyFill="1" applyBorder="1" applyAlignment="1">
      <alignment horizontal="left"/>
    </xf>
    <xf numFmtId="0" fontId="31" fillId="5" borderId="16" xfId="4" applyFont="1" applyFill="1" applyBorder="1" applyAlignment="1">
      <alignment horizontal="centerContinuous"/>
    </xf>
    <xf numFmtId="0" fontId="31" fillId="5" borderId="4" xfId="4" applyFont="1" applyFill="1" applyBorder="1" applyAlignment="1">
      <alignment horizontal="centerContinuous"/>
    </xf>
    <xf numFmtId="0" fontId="31" fillId="5" borderId="11" xfId="4" applyFont="1" applyFill="1" applyBorder="1" applyAlignment="1">
      <alignment horizontal="centerContinuous"/>
    </xf>
    <xf numFmtId="0" fontId="26" fillId="9" borderId="22" xfId="4" applyFont="1" applyFill="1" applyBorder="1" applyAlignment="1"/>
    <xf numFmtId="0" fontId="26" fillId="9" borderId="21" xfId="4" applyFont="1" applyFill="1" applyBorder="1" applyAlignment="1"/>
    <xf numFmtId="0" fontId="27" fillId="7" borderId="33" xfId="4" applyFont="1" applyFill="1" applyBorder="1" applyAlignment="1">
      <alignment horizontal="left"/>
    </xf>
    <xf numFmtId="0" fontId="26" fillId="8" borderId="19" xfId="4" applyFont="1" applyFill="1" applyBorder="1" applyAlignment="1">
      <alignment horizontal="center" vertical="center"/>
    </xf>
    <xf numFmtId="0" fontId="31" fillId="9" borderId="3" xfId="4" applyFont="1" applyFill="1" applyBorder="1" applyAlignment="1"/>
    <xf numFmtId="0" fontId="31" fillId="9" borderId="3" xfId="4" applyFont="1" applyFill="1" applyBorder="1" applyAlignment="1">
      <alignment vertical="center"/>
    </xf>
    <xf numFmtId="4" fontId="1" fillId="9" borderId="22" xfId="4" applyNumberFormat="1" applyFill="1" applyBorder="1" applyAlignment="1"/>
    <xf numFmtId="4" fontId="1" fillId="9" borderId="20" xfId="4" applyNumberFormat="1" applyFill="1" applyBorder="1" applyAlignment="1">
      <alignment horizontal="center" vertical="center"/>
    </xf>
    <xf numFmtId="0" fontId="31" fillId="8" borderId="0" xfId="4" applyFont="1" applyFill="1" applyAlignment="1">
      <alignment vertical="center"/>
    </xf>
    <xf numFmtId="0" fontId="31" fillId="8" borderId="0" xfId="4" applyFont="1" applyFill="1"/>
    <xf numFmtId="0" fontId="1" fillId="9" borderId="2" xfId="4" applyFill="1" applyBorder="1" applyAlignment="1">
      <alignment horizontal="center"/>
    </xf>
    <xf numFmtId="4" fontId="1" fillId="9" borderId="2" xfId="4" applyNumberFormat="1" applyFill="1" applyBorder="1" applyAlignment="1">
      <alignment horizontal="right"/>
    </xf>
    <xf numFmtId="4" fontId="1" fillId="9" borderId="2" xfId="2" applyNumberFormat="1" applyFill="1" applyBorder="1" applyAlignment="1">
      <alignment horizontal="centerContinuous"/>
    </xf>
    <xf numFmtId="168" fontId="1" fillId="9" borderId="2" xfId="2" applyFill="1" applyBorder="1" applyAlignment="1">
      <alignment horizontal="right" wrapText="1"/>
    </xf>
    <xf numFmtId="0" fontId="31" fillId="9" borderId="22" xfId="4" applyFont="1" applyFill="1" applyBorder="1" applyAlignment="1"/>
    <xf numFmtId="0" fontId="26" fillId="9" borderId="3" xfId="4" applyFont="1" applyFill="1" applyBorder="1" applyAlignment="1">
      <alignment horizontal="left"/>
    </xf>
    <xf numFmtId="0" fontId="26" fillId="9" borderId="4" xfId="4" applyFont="1" applyFill="1" applyBorder="1" applyAlignment="1">
      <alignment horizontal="left"/>
    </xf>
    <xf numFmtId="0" fontId="26" fillId="9" borderId="1" xfId="4" applyFont="1" applyFill="1" applyBorder="1" applyAlignment="1">
      <alignment horizontal="left"/>
    </xf>
    <xf numFmtId="0" fontId="26" fillId="9" borderId="13" xfId="4" applyFont="1" applyFill="1" applyBorder="1" applyAlignment="1">
      <alignment horizontal="left"/>
    </xf>
    <xf numFmtId="0" fontId="1" fillId="7" borderId="1" xfId="4" applyFill="1" applyBorder="1" applyAlignment="1"/>
    <xf numFmtId="4" fontId="31" fillId="9" borderId="21" xfId="4" applyNumberFormat="1" applyFont="1" applyFill="1" applyBorder="1" applyAlignment="1"/>
    <xf numFmtId="4" fontId="31" fillId="9" borderId="22" xfId="4" applyNumberFormat="1" applyFont="1" applyFill="1" applyBorder="1" applyAlignment="1"/>
    <xf numFmtId="0" fontId="31" fillId="9" borderId="33" xfId="4" applyFont="1" applyFill="1" applyBorder="1" applyAlignment="1">
      <alignment horizontal="centerContinuous"/>
    </xf>
    <xf numFmtId="0" fontId="31" fillId="7" borderId="9" xfId="4" applyFont="1" applyFill="1" applyBorder="1" applyAlignment="1"/>
    <xf numFmtId="0" fontId="26" fillId="9" borderId="19" xfId="4" applyFont="1" applyFill="1" applyBorder="1" applyAlignment="1">
      <alignment horizontal="center" vertical="center"/>
    </xf>
    <xf numFmtId="4" fontId="1" fillId="9" borderId="19" xfId="4" applyNumberFormat="1" applyFill="1" applyBorder="1" applyAlignment="1">
      <alignment horizontal="center" vertical="center"/>
    </xf>
    <xf numFmtId="4" fontId="1" fillId="6" borderId="19" xfId="4" applyNumberFormat="1" applyFill="1" applyBorder="1" applyAlignment="1"/>
    <xf numFmtId="0" fontId="1" fillId="9" borderId="2" xfId="4" applyFill="1" applyBorder="1" applyAlignment="1">
      <alignment horizontal="centerContinuous"/>
    </xf>
    <xf numFmtId="9" fontId="1" fillId="9" borderId="2" xfId="5" applyFill="1" applyBorder="1" applyAlignment="1">
      <alignment horizontal="center"/>
    </xf>
    <xf numFmtId="0" fontId="27" fillId="7" borderId="18" xfId="4" applyFont="1" applyFill="1" applyBorder="1" applyAlignment="1"/>
    <xf numFmtId="0" fontId="1" fillId="9" borderId="21" xfId="4" applyFill="1" applyBorder="1" applyAlignment="1">
      <alignment horizontal="center" vertical="center"/>
    </xf>
    <xf numFmtId="0" fontId="26" fillId="9" borderId="63" xfId="4" applyFont="1" applyFill="1" applyBorder="1" applyAlignment="1">
      <alignment horizontal="centerContinuous"/>
    </xf>
    <xf numFmtId="0" fontId="26" fillId="9" borderId="51" xfId="4" applyFont="1" applyFill="1" applyBorder="1" applyAlignment="1">
      <alignment horizontal="centerContinuous"/>
    </xf>
    <xf numFmtId="0" fontId="31" fillId="7" borderId="4" xfId="4" applyFont="1" applyFill="1" applyBorder="1"/>
    <xf numFmtId="4" fontId="31" fillId="9" borderId="20" xfId="4" applyNumberFormat="1" applyFont="1" applyFill="1" applyBorder="1" applyAlignment="1"/>
    <xf numFmtId="0" fontId="1" fillId="9" borderId="11" xfId="4" applyFill="1" applyBorder="1" applyAlignment="1">
      <alignment horizontal="centerContinuous"/>
    </xf>
    <xf numFmtId="168" fontId="1" fillId="7" borderId="21" xfId="2" applyFill="1" applyBorder="1" applyAlignment="1">
      <alignment horizontal="right" wrapText="1"/>
    </xf>
    <xf numFmtId="4" fontId="1" fillId="9" borderId="20" xfId="4" applyNumberFormat="1" applyFill="1" applyBorder="1" applyAlignment="1"/>
    <xf numFmtId="4" fontId="1" fillId="9" borderId="2" xfId="4" applyNumberFormat="1" applyFill="1" applyBorder="1" applyAlignment="1">
      <alignment horizontal="centerContinuous"/>
    </xf>
    <xf numFmtId="2" fontId="1" fillId="9" borderId="2" xfId="4" applyNumberFormat="1" applyFill="1" applyBorder="1" applyAlignment="1">
      <alignment horizontal="right"/>
    </xf>
    <xf numFmtId="0" fontId="1" fillId="9" borderId="4" xfId="4" applyFill="1" applyBorder="1" applyAlignment="1">
      <alignment horizontal="centerContinuous"/>
    </xf>
    <xf numFmtId="0" fontId="1" fillId="9" borderId="77" xfId="4" applyFill="1" applyBorder="1" applyAlignment="1"/>
    <xf numFmtId="0" fontId="26" fillId="9" borderId="16" xfId="4" applyFont="1" applyFill="1" applyBorder="1" applyAlignment="1">
      <alignment horizontal="left"/>
    </xf>
    <xf numFmtId="0" fontId="26" fillId="10" borderId="25" xfId="4" applyFont="1" applyFill="1" applyBorder="1" applyAlignment="1">
      <alignment horizontal="centerContinuous" vertical="center"/>
    </xf>
    <xf numFmtId="0" fontId="26" fillId="10" borderId="5" xfId="4" applyFont="1" applyFill="1" applyBorder="1" applyAlignment="1">
      <alignment horizontal="centerContinuous" vertical="center"/>
    </xf>
    <xf numFmtId="0" fontId="26" fillId="10" borderId="5" xfId="4" applyFont="1" applyFill="1" applyBorder="1" applyAlignment="1">
      <alignment horizontal="centerContinuous" vertical="center" wrapText="1"/>
    </xf>
    <xf numFmtId="0" fontId="26" fillId="10" borderId="5" xfId="4" applyFont="1" applyFill="1" applyBorder="1" applyAlignment="1">
      <alignment horizontal="center" vertical="center" wrapText="1"/>
    </xf>
    <xf numFmtId="0" fontId="26" fillId="8" borderId="20" xfId="4" applyFont="1" applyFill="1" applyBorder="1" applyAlignment="1">
      <alignment horizontal="center" vertical="center"/>
    </xf>
    <xf numFmtId="4" fontId="1" fillId="0" borderId="2" xfId="4" applyNumberFormat="1" applyFill="1" applyBorder="1" applyAlignment="1">
      <alignment horizontal="right"/>
    </xf>
    <xf numFmtId="4" fontId="1" fillId="0" borderId="2" xfId="2" applyNumberFormat="1" applyFill="1" applyBorder="1" applyAlignment="1">
      <alignment horizontal="centerContinuous"/>
    </xf>
    <xf numFmtId="168" fontId="1" fillId="0" borderId="2" xfId="2" applyFill="1" applyBorder="1" applyAlignment="1">
      <alignment horizontal="right" wrapText="1"/>
    </xf>
    <xf numFmtId="4" fontId="31" fillId="0" borderId="2" xfId="4" applyNumberFormat="1" applyFont="1" applyFill="1" applyBorder="1" applyAlignment="1">
      <alignment horizontal="right"/>
    </xf>
    <xf numFmtId="4" fontId="31" fillId="0" borderId="2" xfId="2" applyNumberFormat="1" applyFont="1" applyFill="1" applyBorder="1" applyAlignment="1">
      <alignment horizontal="centerContinuous"/>
    </xf>
    <xf numFmtId="168" fontId="31" fillId="0" borderId="2" xfId="2" applyFont="1" applyFill="1" applyBorder="1" applyAlignment="1">
      <alignment horizontal="right" wrapText="1"/>
    </xf>
    <xf numFmtId="0" fontId="31" fillId="0" borderId="21" xfId="4" applyFont="1" applyFill="1" applyBorder="1" applyAlignment="1"/>
    <xf numFmtId="4" fontId="26" fillId="0" borderId="2" xfId="4" applyNumberFormat="1" applyFont="1" applyFill="1" applyBorder="1" applyAlignment="1">
      <alignment horizontal="right"/>
    </xf>
    <xf numFmtId="4" fontId="26" fillId="0" borderId="2" xfId="2" applyNumberFormat="1" applyFont="1" applyFill="1" applyBorder="1" applyAlignment="1">
      <alignment horizontal="centerContinuous"/>
    </xf>
    <xf numFmtId="168" fontId="26" fillId="0" borderId="2" xfId="2" applyFont="1" applyFill="1" applyBorder="1" applyAlignment="1">
      <alignment horizontal="right" wrapText="1"/>
    </xf>
    <xf numFmtId="0" fontId="1" fillId="0" borderId="2" xfId="4" applyFill="1" applyBorder="1" applyAlignment="1">
      <alignment horizontal="centerContinuous"/>
    </xf>
    <xf numFmtId="9" fontId="1" fillId="0" borderId="2" xfId="5" applyFill="1" applyBorder="1" applyAlignment="1">
      <alignment horizontal="center"/>
    </xf>
    <xf numFmtId="0" fontId="31" fillId="0" borderId="2" xfId="4" applyFont="1" applyFill="1" applyBorder="1" applyAlignment="1">
      <alignment horizontal="centerContinuous"/>
    </xf>
    <xf numFmtId="9" fontId="31" fillId="0" borderId="2" xfId="5" applyFont="1" applyFill="1" applyBorder="1" applyAlignment="1">
      <alignment horizontal="center"/>
    </xf>
    <xf numFmtId="0" fontId="26" fillId="0" borderId="2" xfId="4" applyFont="1" applyFill="1" applyBorder="1" applyAlignment="1">
      <alignment horizontal="centerContinuous"/>
    </xf>
    <xf numFmtId="9" fontId="26" fillId="0" borderId="2" xfId="5" applyFont="1" applyFill="1" applyBorder="1" applyAlignment="1">
      <alignment horizontal="center"/>
    </xf>
    <xf numFmtId="4" fontId="0" fillId="0" borderId="13" xfId="0" applyNumberFormat="1" applyBorder="1" applyAlignment="1">
      <alignment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75" xfId="0" applyFont="1" applyFill="1" applyBorder="1" applyAlignment="1">
      <alignment horizontal="center" vertical="center"/>
    </xf>
    <xf numFmtId="0" fontId="6" fillId="7" borderId="14" xfId="0" applyFont="1" applyFill="1" applyBorder="1" applyAlignment="1">
      <alignment horizontal="center" vertical="center"/>
    </xf>
    <xf numFmtId="0" fontId="6" fillId="7" borderId="48" xfId="0" applyFont="1" applyFill="1" applyBorder="1" applyAlignment="1">
      <alignment vertical="center"/>
    </xf>
    <xf numFmtId="0" fontId="6" fillId="7" borderId="0" xfId="0" applyFont="1" applyFill="1" applyBorder="1" applyAlignment="1">
      <alignment vertical="center"/>
    </xf>
    <xf numFmtId="0" fontId="6" fillId="7" borderId="77" xfId="0" applyFont="1" applyFill="1" applyBorder="1" applyAlignment="1">
      <alignment vertical="center"/>
    </xf>
    <xf numFmtId="4" fontId="6" fillId="7" borderId="57" xfId="0" applyNumberFormat="1" applyFont="1" applyFill="1" applyBorder="1" applyAlignment="1">
      <alignment vertical="center"/>
    </xf>
    <xf numFmtId="4" fontId="6" fillId="7" borderId="60" xfId="0" applyNumberFormat="1" applyFont="1" applyFill="1" applyBorder="1" applyAlignment="1">
      <alignment vertical="center"/>
    </xf>
    <xf numFmtId="0" fontId="6" fillId="7" borderId="0" xfId="0" applyFont="1" applyFill="1" applyBorder="1" applyAlignment="1">
      <alignment horizontal="left" vertical="center"/>
    </xf>
    <xf numFmtId="4" fontId="6" fillId="7" borderId="66" xfId="0" applyNumberFormat="1" applyFont="1" applyFill="1" applyBorder="1" applyAlignment="1">
      <alignment vertical="center"/>
    </xf>
    <xf numFmtId="4" fontId="6" fillId="7" borderId="68" xfId="0" applyNumberFormat="1" applyFont="1" applyFill="1" applyBorder="1" applyAlignment="1">
      <alignment vertical="center"/>
    </xf>
    <xf numFmtId="4" fontId="6" fillId="7" borderId="67" xfId="0" applyNumberFormat="1" applyFont="1" applyFill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4" fontId="8" fillId="3" borderId="74" xfId="0" applyNumberFormat="1" applyFont="1" applyFill="1" applyBorder="1" applyAlignment="1" applyProtection="1">
      <alignment vertical="center"/>
    </xf>
    <xf numFmtId="4" fontId="8" fillId="3" borderId="70" xfId="0" applyNumberFormat="1" applyFont="1" applyFill="1" applyBorder="1" applyAlignment="1" applyProtection="1">
      <alignment vertical="center"/>
    </xf>
    <xf numFmtId="4" fontId="8" fillId="3" borderId="50" xfId="0" applyNumberFormat="1" applyFont="1" applyFill="1" applyBorder="1" applyAlignment="1" applyProtection="1">
      <alignment vertical="center"/>
    </xf>
    <xf numFmtId="4" fontId="8" fillId="3" borderId="53" xfId="0" applyNumberFormat="1" applyFont="1" applyFill="1" applyBorder="1" applyAlignment="1" applyProtection="1">
      <alignment vertical="center"/>
    </xf>
    <xf numFmtId="4" fontId="8" fillId="3" borderId="56" xfId="0" applyNumberFormat="1" applyFont="1" applyFill="1" applyBorder="1" applyAlignment="1" applyProtection="1">
      <alignment vertical="center"/>
    </xf>
    <xf numFmtId="4" fontId="8" fillId="3" borderId="59" xfId="0" applyNumberFormat="1" applyFont="1" applyFill="1" applyBorder="1" applyAlignment="1" applyProtection="1">
      <alignment vertical="center"/>
    </xf>
    <xf numFmtId="0" fontId="8" fillId="0" borderId="2" xfId="0" applyNumberFormat="1" applyFont="1" applyFill="1" applyBorder="1" applyAlignment="1" applyProtection="1">
      <alignment vertical="center"/>
    </xf>
    <xf numFmtId="4" fontId="2" fillId="3" borderId="2" xfId="0" applyNumberFormat="1" applyFont="1" applyFill="1" applyBorder="1" applyAlignment="1" applyProtection="1">
      <alignment vertical="center"/>
    </xf>
    <xf numFmtId="4" fontId="2" fillId="0" borderId="19" xfId="0" applyNumberFormat="1" applyFont="1" applyFill="1" applyBorder="1" applyAlignment="1" applyProtection="1">
      <alignment vertical="center"/>
    </xf>
    <xf numFmtId="4" fontId="8" fillId="3" borderId="19" xfId="0" applyNumberFormat="1" applyFont="1" applyFill="1" applyBorder="1" applyAlignment="1" applyProtection="1">
      <alignment vertical="center"/>
    </xf>
    <xf numFmtId="4" fontId="0" fillId="0" borderId="0" xfId="0" applyNumberFormat="1" applyAlignment="1">
      <alignment horizontal="center" vertical="center"/>
    </xf>
    <xf numFmtId="4" fontId="19" fillId="0" borderId="0" xfId="0" applyNumberFormat="1" applyFont="1" applyAlignment="1">
      <alignment horizontal="left" vertical="center"/>
    </xf>
    <xf numFmtId="4" fontId="19" fillId="0" borderId="9" xfId="4" applyNumberFormat="1" applyFont="1" applyBorder="1" applyAlignment="1">
      <alignment horizontal="center"/>
    </xf>
    <xf numFmtId="2" fontId="1" fillId="0" borderId="3" xfId="4" applyNumberFormat="1" applyBorder="1" applyAlignment="1">
      <alignment horizontal="centerContinuous"/>
    </xf>
    <xf numFmtId="2" fontId="1" fillId="0" borderId="2" xfId="4" applyNumberFormat="1" applyBorder="1" applyAlignment="1">
      <alignment horizontal="centerContinuous"/>
    </xf>
    <xf numFmtId="0" fontId="0" fillId="0" borderId="0" xfId="0" applyAlignment="1">
      <alignment vertical="top" wrapText="1"/>
    </xf>
    <xf numFmtId="167" fontId="1" fillId="0" borderId="21" xfId="3" applyBorder="1" applyAlignment="1"/>
    <xf numFmtId="175" fontId="1" fillId="0" borderId="0" xfId="4" applyNumberFormat="1"/>
    <xf numFmtId="4" fontId="6" fillId="7" borderId="11" xfId="4" applyNumberFormat="1" applyFont="1" applyFill="1" applyBorder="1" applyAlignment="1">
      <alignment horizontal="center"/>
    </xf>
    <xf numFmtId="176" fontId="1" fillId="0" borderId="2" xfId="5" applyNumberFormat="1" applyBorder="1" applyAlignment="1">
      <alignment horizontal="center"/>
    </xf>
    <xf numFmtId="43" fontId="32" fillId="8" borderId="7" xfId="4" applyNumberFormat="1" applyFont="1" applyFill="1" applyBorder="1" applyAlignment="1">
      <alignment vertical="center" wrapText="1"/>
    </xf>
    <xf numFmtId="43" fontId="32" fillId="8" borderId="8" xfId="4" applyNumberFormat="1" applyFont="1" applyFill="1" applyBorder="1" applyAlignment="1">
      <alignment vertical="center" wrapText="1"/>
    </xf>
    <xf numFmtId="4" fontId="1" fillId="4" borderId="2" xfId="4" applyNumberFormat="1" applyFill="1" applyBorder="1" applyAlignment="1">
      <alignment horizontal="right"/>
    </xf>
    <xf numFmtId="4" fontId="1" fillId="4" borderId="2" xfId="2" applyNumberFormat="1" applyFill="1" applyBorder="1" applyAlignment="1">
      <alignment horizontal="centerContinuous"/>
    </xf>
    <xf numFmtId="168" fontId="1" fillId="4" borderId="2" xfId="2" applyFill="1" applyBorder="1" applyAlignment="1">
      <alignment horizontal="right" wrapText="1"/>
    </xf>
    <xf numFmtId="10" fontId="1" fillId="0" borderId="2" xfId="4" applyNumberFormat="1" applyBorder="1" applyAlignment="1">
      <alignment horizontal="center"/>
    </xf>
    <xf numFmtId="0" fontId="1" fillId="0" borderId="2" xfId="4" applyBorder="1" applyAlignment="1">
      <alignment horizontal="center" vertical="top"/>
    </xf>
    <xf numFmtId="4" fontId="1" fillId="0" borderId="2" xfId="4" applyNumberFormat="1" applyBorder="1" applyAlignment="1">
      <alignment horizontal="right" vertical="top"/>
    </xf>
    <xf numFmtId="4" fontId="1" fillId="0" borderId="2" xfId="2" applyNumberFormat="1" applyBorder="1" applyAlignment="1">
      <alignment horizontal="centerContinuous" vertical="top"/>
    </xf>
    <xf numFmtId="168" fontId="1" fillId="0" borderId="2" xfId="2" applyBorder="1" applyAlignment="1">
      <alignment horizontal="right" vertical="top" wrapText="1"/>
    </xf>
    <xf numFmtId="177" fontId="1" fillId="0" borderId="2" xfId="4" applyNumberFormat="1" applyBorder="1" applyAlignment="1">
      <alignment horizontal="right"/>
    </xf>
    <xf numFmtId="4" fontId="34" fillId="0" borderId="3" xfId="4" applyNumberFormat="1" applyFont="1" applyBorder="1" applyAlignment="1">
      <alignment horizontal="centerContinuous" wrapText="1"/>
    </xf>
    <xf numFmtId="4" fontId="1" fillId="0" borderId="2" xfId="0" applyNumberFormat="1" applyFont="1" applyFill="1" applyBorder="1" applyAlignment="1">
      <alignment vertical="center"/>
    </xf>
    <xf numFmtId="4" fontId="1" fillId="0" borderId="19" xfId="0" applyNumberFormat="1" applyFont="1" applyFill="1" applyBorder="1" applyAlignment="1">
      <alignment vertical="center"/>
    </xf>
    <xf numFmtId="4" fontId="6" fillId="0" borderId="2" xfId="0" applyNumberFormat="1" applyFont="1" applyFill="1" applyBorder="1" applyAlignment="1" applyProtection="1">
      <alignment vertical="center"/>
    </xf>
    <xf numFmtId="4" fontId="8" fillId="0" borderId="2" xfId="0" applyNumberFormat="1" applyFont="1" applyFill="1" applyBorder="1" applyAlignment="1" applyProtection="1">
      <alignment vertical="center"/>
    </xf>
    <xf numFmtId="4" fontId="2" fillId="0" borderId="2" xfId="0" applyNumberFormat="1" applyFont="1" applyFill="1" applyBorder="1" applyAlignment="1" applyProtection="1">
      <alignment vertical="center"/>
    </xf>
    <xf numFmtId="0" fontId="1" fillId="0" borderId="1" xfId="4" applyBorder="1" applyAlignment="1">
      <alignment horizontal="center" vertical="top"/>
    </xf>
    <xf numFmtId="4" fontId="1" fillId="0" borderId="3" xfId="2" applyNumberFormat="1" applyBorder="1" applyAlignment="1">
      <alignment horizontal="centerContinuous" vertical="top"/>
    </xf>
    <xf numFmtId="4" fontId="1" fillId="0" borderId="1" xfId="2" applyNumberFormat="1" applyBorder="1" applyAlignment="1">
      <alignment horizontal="centerContinuous" vertical="top"/>
    </xf>
    <xf numFmtId="168" fontId="1" fillId="0" borderId="3" xfId="2" applyBorder="1" applyAlignment="1">
      <alignment horizontal="right" vertical="top" wrapText="1"/>
    </xf>
    <xf numFmtId="178" fontId="1" fillId="0" borderId="2" xfId="4" applyNumberFormat="1" applyBorder="1" applyAlignment="1">
      <alignment horizontal="centerContinuous"/>
    </xf>
    <xf numFmtId="4" fontId="6" fillId="7" borderId="33" xfId="4" applyNumberFormat="1" applyFont="1" applyFill="1" applyBorder="1" applyAlignment="1">
      <alignment horizontal="center"/>
    </xf>
    <xf numFmtId="0" fontId="0" fillId="0" borderId="0" xfId="0" applyAlignment="1">
      <alignment horizontal="justify" vertical="top" wrapText="1"/>
    </xf>
    <xf numFmtId="0" fontId="46" fillId="0" borderId="2" xfId="7" applyFont="1" applyBorder="1" applyAlignment="1">
      <alignment horizontal="center" vertical="top" wrapText="1"/>
    </xf>
    <xf numFmtId="10" fontId="46" fillId="0" borderId="2" xfId="7" applyNumberFormat="1" applyFont="1" applyBorder="1" applyAlignment="1">
      <alignment horizontal="center" vertical="top" wrapText="1"/>
    </xf>
    <xf numFmtId="0" fontId="47" fillId="0" borderId="2" xfId="7" applyFont="1" applyBorder="1" applyAlignment="1">
      <alignment horizontal="center" vertical="top" wrapText="1"/>
    </xf>
    <xf numFmtId="0" fontId="47" fillId="0" borderId="2" xfId="7" applyNumberFormat="1" applyFont="1" applyBorder="1" applyAlignment="1">
      <alignment horizontal="center" vertical="top" wrapText="1"/>
    </xf>
    <xf numFmtId="10" fontId="47" fillId="0" borderId="2" xfId="7" applyNumberFormat="1" applyFont="1" applyBorder="1" applyAlignment="1">
      <alignment horizontal="center" vertical="top" wrapText="1"/>
    </xf>
    <xf numFmtId="10" fontId="47" fillId="0" borderId="2" xfId="7" applyNumberFormat="1" applyFont="1" applyFill="1" applyBorder="1" applyAlignment="1">
      <alignment horizontal="center" vertical="top" wrapText="1"/>
    </xf>
    <xf numFmtId="10" fontId="0" fillId="0" borderId="0" xfId="0" applyNumberFormat="1" applyAlignment="1">
      <alignment vertical="top" wrapText="1"/>
    </xf>
    <xf numFmtId="0" fontId="46" fillId="0" borderId="58" xfId="7" applyFont="1" applyBorder="1" applyAlignment="1">
      <alignment horizontal="center" vertical="top" wrapText="1"/>
    </xf>
    <xf numFmtId="10" fontId="46" fillId="0" borderId="56" xfId="7" applyNumberFormat="1" applyFont="1" applyBorder="1" applyAlignment="1">
      <alignment horizontal="center" vertical="top" wrapText="1"/>
    </xf>
    <xf numFmtId="0" fontId="46" fillId="0" borderId="59" xfId="7" applyFont="1" applyBorder="1" applyAlignment="1">
      <alignment horizontal="center" vertical="top" wrapText="1"/>
    </xf>
    <xf numFmtId="0" fontId="46" fillId="0" borderId="18" xfId="7" applyFont="1" applyBorder="1" applyAlignment="1">
      <alignment horizontal="center" vertical="top" wrapText="1"/>
    </xf>
    <xf numFmtId="10" fontId="46" fillId="0" borderId="19" xfId="7" applyNumberFormat="1" applyFont="1" applyBorder="1" applyAlignment="1">
      <alignment horizontal="center" vertical="top" wrapText="1"/>
    </xf>
    <xf numFmtId="0" fontId="47" fillId="0" borderId="18" xfId="7" applyFont="1" applyBorder="1" applyAlignment="1">
      <alignment horizontal="center" vertical="top" wrapText="1"/>
    </xf>
    <xf numFmtId="10" fontId="47" fillId="0" borderId="19" xfId="7" applyNumberFormat="1" applyFont="1" applyBorder="1" applyAlignment="1">
      <alignment horizontal="center" vertical="top" wrapText="1"/>
    </xf>
    <xf numFmtId="0" fontId="46" fillId="4" borderId="18" xfId="7" applyFont="1" applyFill="1" applyBorder="1" applyAlignment="1">
      <alignment horizontal="center" vertical="top" wrapText="1"/>
    </xf>
    <xf numFmtId="2" fontId="47" fillId="0" borderId="18" xfId="7" applyNumberFormat="1" applyFont="1" applyBorder="1" applyAlignment="1">
      <alignment horizontal="center" vertical="top" wrapText="1"/>
    </xf>
    <xf numFmtId="2" fontId="47" fillId="4" borderId="18" xfId="7" applyNumberFormat="1" applyFont="1" applyFill="1" applyBorder="1" applyAlignment="1">
      <alignment horizontal="center" vertical="top" wrapText="1"/>
    </xf>
    <xf numFmtId="0" fontId="46" fillId="0" borderId="64" xfId="7" applyFont="1" applyBorder="1" applyAlignment="1">
      <alignment horizontal="center" vertical="top" wrapText="1"/>
    </xf>
    <xf numFmtId="0" fontId="6" fillId="0" borderId="57" xfId="0" applyNumberFormat="1" applyFont="1" applyFill="1" applyBorder="1" applyAlignment="1" applyProtection="1">
      <alignment vertical="top" wrapText="1"/>
    </xf>
    <xf numFmtId="0" fontId="47" fillId="0" borderId="57" xfId="7" applyFont="1" applyBorder="1" applyAlignment="1">
      <alignment horizontal="center" vertical="top" wrapText="1"/>
    </xf>
    <xf numFmtId="10" fontId="46" fillId="0" borderId="57" xfId="7" applyNumberFormat="1" applyFont="1" applyBorder="1" applyAlignment="1">
      <alignment horizontal="center" vertical="top" wrapText="1"/>
    </xf>
    <xf numFmtId="10" fontId="0" fillId="0" borderId="57" xfId="0" applyNumberFormat="1" applyBorder="1" applyAlignment="1">
      <alignment vertical="top" wrapText="1"/>
    </xf>
    <xf numFmtId="10" fontId="46" fillId="0" borderId="60" xfId="7" applyNumberFormat="1" applyFont="1" applyBorder="1" applyAlignment="1">
      <alignment horizontal="center" vertical="top" wrapText="1"/>
    </xf>
    <xf numFmtId="2" fontId="47" fillId="0" borderId="18" xfId="7" applyNumberFormat="1" applyFont="1" applyFill="1" applyBorder="1" applyAlignment="1">
      <alignment horizontal="center" vertical="top" wrapText="1"/>
    </xf>
    <xf numFmtId="43" fontId="32" fillId="10" borderId="7" xfId="4" applyNumberFormat="1" applyFont="1" applyFill="1" applyBorder="1" applyAlignment="1">
      <alignment horizontal="center" vertical="center" wrapText="1"/>
    </xf>
    <xf numFmtId="43" fontId="32" fillId="10" borderId="8" xfId="4" applyNumberFormat="1" applyFont="1" applyFill="1" applyBorder="1" applyAlignment="1">
      <alignment horizontal="center" vertical="center" wrapText="1"/>
    </xf>
    <xf numFmtId="168" fontId="1" fillId="0" borderId="3" xfId="2" applyFont="1" applyBorder="1" applyAlignment="1">
      <alignment horizontal="right" wrapText="1"/>
    </xf>
    <xf numFmtId="0" fontId="22" fillId="0" borderId="0" xfId="0" applyNumberFormat="1" applyFont="1" applyFill="1" applyBorder="1" applyAlignment="1" applyProtection="1">
      <alignment vertical="center" wrapText="1"/>
    </xf>
    <xf numFmtId="4" fontId="1" fillId="0" borderId="2" xfId="4" applyNumberFormat="1" applyBorder="1" applyAlignment="1">
      <alignment horizontal="right" vertical="center"/>
    </xf>
    <xf numFmtId="4" fontId="1" fillId="0" borderId="2" xfId="2" applyNumberFormat="1" applyBorder="1" applyAlignment="1">
      <alignment horizontal="center" vertical="center"/>
    </xf>
    <xf numFmtId="168" fontId="1" fillId="0" borderId="2" xfId="2" applyBorder="1" applyAlignment="1">
      <alignment horizontal="right" vertical="center" wrapText="1"/>
    </xf>
    <xf numFmtId="0" fontId="1" fillId="0" borderId="3" xfId="4" applyBorder="1" applyAlignment="1">
      <alignment horizontal="centerContinuous" vertical="center" wrapText="1"/>
    </xf>
    <xf numFmtId="0" fontId="1" fillId="0" borderId="1" xfId="4" applyBorder="1" applyAlignment="1">
      <alignment horizontal="centerContinuous" vertical="center" wrapText="1"/>
    </xf>
    <xf numFmtId="4" fontId="1" fillId="0" borderId="2" xfId="4" applyNumberFormat="1" applyBorder="1" applyAlignment="1">
      <alignment horizontal="right" vertical="center" wrapText="1"/>
    </xf>
    <xf numFmtId="9" fontId="1" fillId="0" borderId="2" xfId="5" applyBorder="1" applyAlignment="1">
      <alignment horizontal="center" vertical="center" wrapText="1"/>
    </xf>
    <xf numFmtId="2" fontId="1" fillId="0" borderId="3" xfId="4" applyNumberFormat="1" applyBorder="1" applyAlignment="1">
      <alignment horizontal="centerContinuous" vertical="center" wrapText="1"/>
    </xf>
    <xf numFmtId="0" fontId="1" fillId="0" borderId="21" xfId="4" applyBorder="1" applyAlignment="1">
      <alignment vertical="center" wrapText="1"/>
    </xf>
    <xf numFmtId="169" fontId="38" fillId="0" borderId="2" xfId="4" applyNumberFormat="1" applyFont="1" applyBorder="1" applyAlignment="1">
      <alignment horizontal="right" vertical="center" wrapText="1"/>
    </xf>
    <xf numFmtId="4" fontId="8" fillId="0" borderId="50" xfId="0" applyNumberFormat="1" applyFont="1" applyFill="1" applyBorder="1" applyAlignment="1" applyProtection="1">
      <alignment vertical="center"/>
    </xf>
    <xf numFmtId="169" fontId="51" fillId="0" borderId="2" xfId="4" applyNumberFormat="1" applyFont="1" applyBorder="1" applyAlignment="1">
      <alignment horizontal="right"/>
    </xf>
    <xf numFmtId="4" fontId="1" fillId="0" borderId="2" xfId="2" applyNumberFormat="1" applyBorder="1" applyAlignment="1">
      <alignment horizontal="centerContinuous" vertical="center" wrapText="1"/>
    </xf>
    <xf numFmtId="4" fontId="1" fillId="0" borderId="2" xfId="4" applyNumberFormat="1" applyBorder="1" applyAlignment="1">
      <alignment horizontal="left"/>
    </xf>
    <xf numFmtId="4" fontId="1" fillId="0" borderId="21" xfId="4" applyNumberFormat="1" applyBorder="1" applyAlignment="1">
      <alignment wrapText="1"/>
    </xf>
    <xf numFmtId="0" fontId="1" fillId="0" borderId="0" xfId="4" applyAlignment="1">
      <alignment wrapText="1"/>
    </xf>
    <xf numFmtId="4" fontId="1" fillId="0" borderId="3" xfId="4" applyNumberFormat="1" applyBorder="1" applyAlignment="1">
      <alignment horizontal="centerContinuous" vertical="center" wrapText="1"/>
    </xf>
    <xf numFmtId="4" fontId="1" fillId="0" borderId="1" xfId="4" applyNumberFormat="1" applyBorder="1" applyAlignment="1">
      <alignment horizontal="centerContinuous" vertical="center" wrapText="1"/>
    </xf>
    <xf numFmtId="2" fontId="1" fillId="0" borderId="2" xfId="4" applyNumberFormat="1" applyBorder="1" applyAlignment="1">
      <alignment horizontal="right" vertical="center" wrapText="1"/>
    </xf>
    <xf numFmtId="4" fontId="1" fillId="0" borderId="3" xfId="4" applyNumberFormat="1" applyBorder="1" applyAlignment="1">
      <alignment horizontal="centerContinuous" vertical="center"/>
    </xf>
    <xf numFmtId="2" fontId="1" fillId="0" borderId="2" xfId="4" applyNumberFormat="1" applyBorder="1" applyAlignment="1">
      <alignment horizontal="right" vertical="center"/>
    </xf>
    <xf numFmtId="4" fontId="1" fillId="0" borderId="2" xfId="2" applyNumberFormat="1" applyBorder="1" applyAlignment="1">
      <alignment horizontal="centerContinuous" vertical="center"/>
    </xf>
    <xf numFmtId="4" fontId="8" fillId="13" borderId="2" xfId="0" applyNumberFormat="1" applyFont="1" applyFill="1" applyBorder="1" applyAlignment="1" applyProtection="1">
      <alignment vertical="center"/>
    </xf>
    <xf numFmtId="169" fontId="51" fillId="0" borderId="2" xfId="4" applyNumberFormat="1" applyFont="1" applyBorder="1" applyAlignment="1">
      <alignment horizontal="right" vertical="center"/>
    </xf>
    <xf numFmtId="170" fontId="1" fillId="0" borderId="2" xfId="4" applyNumberFormat="1" applyBorder="1" applyAlignment="1">
      <alignment horizontal="right" vertical="center"/>
    </xf>
    <xf numFmtId="170" fontId="1" fillId="0" borderId="2" xfId="4" applyNumberFormat="1" applyBorder="1" applyAlignment="1">
      <alignment horizontal="right" vertical="center" wrapText="1"/>
    </xf>
    <xf numFmtId="4" fontId="8" fillId="0" borderId="2" xfId="0" applyNumberFormat="1" applyFont="1" applyFill="1" applyBorder="1" applyAlignment="1" applyProtection="1">
      <alignment vertical="center" wrapText="1"/>
      <protection locked="0"/>
    </xf>
    <xf numFmtId="4" fontId="2" fillId="0" borderId="2" xfId="0" applyNumberFormat="1" applyFont="1" applyBorder="1" applyAlignment="1" applyProtection="1">
      <alignment vertical="center" wrapText="1"/>
      <protection locked="0"/>
    </xf>
    <xf numFmtId="4" fontId="2" fillId="0" borderId="2" xfId="0" applyNumberFormat="1" applyFont="1" applyFill="1" applyBorder="1" applyAlignment="1" applyProtection="1">
      <alignment vertical="center" wrapText="1"/>
      <protection locked="0"/>
    </xf>
    <xf numFmtId="4" fontId="8" fillId="0" borderId="2" xfId="0" applyNumberFormat="1" applyFont="1" applyBorder="1" applyAlignment="1" applyProtection="1">
      <alignment vertical="center" wrapText="1"/>
      <protection locked="0"/>
    </xf>
    <xf numFmtId="4" fontId="2" fillId="0" borderId="18" xfId="0" applyNumberFormat="1" applyFont="1" applyBorder="1" applyAlignment="1" applyProtection="1">
      <alignment vertical="center" wrapText="1"/>
      <protection locked="0"/>
    </xf>
    <xf numFmtId="4" fontId="8" fillId="0" borderId="2" xfId="0" applyNumberFormat="1" applyFont="1" applyFill="1" applyBorder="1" applyAlignment="1" applyProtection="1">
      <alignment vertical="center"/>
      <protection locked="0"/>
    </xf>
    <xf numFmtId="4" fontId="2" fillId="0" borderId="2" xfId="0" applyNumberFormat="1" applyFont="1" applyBorder="1" applyAlignment="1" applyProtection="1">
      <alignment vertical="center"/>
      <protection locked="0"/>
    </xf>
    <xf numFmtId="4" fontId="2" fillId="0" borderId="2" xfId="0" applyNumberFormat="1" applyFont="1" applyFill="1" applyBorder="1" applyAlignment="1" applyProtection="1">
      <alignment vertical="center"/>
      <protection locked="0"/>
    </xf>
    <xf numFmtId="4" fontId="8" fillId="0" borderId="2" xfId="0" applyNumberFormat="1" applyFont="1" applyBorder="1" applyAlignment="1" applyProtection="1">
      <alignment vertical="center"/>
      <protection locked="0"/>
    </xf>
    <xf numFmtId="0" fontId="1" fillId="0" borderId="1" xfId="4" applyBorder="1" applyAlignment="1">
      <alignment horizontal="center" vertical="center"/>
    </xf>
    <xf numFmtId="4" fontId="1" fillId="0" borderId="3" xfId="2" applyNumberFormat="1" applyBorder="1" applyAlignment="1">
      <alignment horizontal="centerContinuous" vertical="center"/>
    </xf>
    <xf numFmtId="4" fontId="1" fillId="0" borderId="1" xfId="2" applyNumberFormat="1" applyBorder="1" applyAlignment="1">
      <alignment horizontal="centerContinuous" vertical="center"/>
    </xf>
    <xf numFmtId="4" fontId="1" fillId="0" borderId="2" xfId="2" applyNumberFormat="1" applyBorder="1" applyAlignment="1">
      <alignment horizontal="center"/>
    </xf>
    <xf numFmtId="179" fontId="1" fillId="0" borderId="2" xfId="4" applyNumberFormat="1" applyBorder="1" applyAlignment="1">
      <alignment horizontal="centerContinuous"/>
    </xf>
    <xf numFmtId="0" fontId="0" fillId="0" borderId="0" xfId="0" applyBorder="1" applyAlignment="1" applyProtection="1"/>
    <xf numFmtId="4" fontId="0" fillId="0" borderId="0" xfId="0" applyNumberFormat="1" applyBorder="1" applyAlignment="1" applyProtection="1"/>
    <xf numFmtId="0" fontId="0" fillId="0" borderId="0" xfId="0" applyBorder="1" applyAlignment="1" applyProtection="1">
      <alignment vertical="center"/>
    </xf>
    <xf numFmtId="4" fontId="0" fillId="0" borderId="0" xfId="0" applyNumberFormat="1" applyBorder="1" applyAlignment="1" applyProtection="1">
      <alignment vertical="center" wrapText="1"/>
    </xf>
    <xf numFmtId="4" fontId="0" fillId="0" borderId="0" xfId="0" applyNumberFormat="1" applyBorder="1" applyAlignment="1" applyProtection="1">
      <alignment vertical="center"/>
    </xf>
    <xf numFmtId="4" fontId="0" fillId="0" borderId="0" xfId="0" applyNumberFormat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3" fillId="0" borderId="62" xfId="0" applyFont="1" applyBorder="1" applyAlignment="1" applyProtection="1">
      <alignment vertical="center"/>
    </xf>
    <xf numFmtId="4" fontId="3" fillId="0" borderId="0" xfId="0" applyNumberFormat="1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/>
    </xf>
    <xf numFmtId="4" fontId="3" fillId="0" borderId="0" xfId="0" applyNumberFormat="1" applyFont="1" applyBorder="1" applyAlignment="1" applyProtection="1">
      <alignment vertical="center"/>
    </xf>
    <xf numFmtId="4" fontId="19" fillId="0" borderId="0" xfId="0" applyNumberFormat="1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vertical="center"/>
    </xf>
    <xf numFmtId="3" fontId="6" fillId="3" borderId="2" xfId="0" applyNumberFormat="1" applyFont="1" applyFill="1" applyBorder="1" applyAlignment="1" applyProtection="1">
      <alignment horizontal="center" vertical="center"/>
    </xf>
    <xf numFmtId="4" fontId="6" fillId="0" borderId="0" xfId="0" applyNumberFormat="1" applyFont="1" applyBorder="1" applyAlignment="1" applyProtection="1">
      <alignment vertical="center"/>
    </xf>
    <xf numFmtId="0" fontId="6" fillId="3" borderId="66" xfId="0" applyFont="1" applyFill="1" applyBorder="1" applyAlignment="1" applyProtection="1">
      <alignment vertical="center" wrapText="1"/>
    </xf>
    <xf numFmtId="4" fontId="6" fillId="3" borderId="2" xfId="0" applyNumberFormat="1" applyFont="1" applyFill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/>
    </xf>
    <xf numFmtId="4" fontId="8" fillId="3" borderId="2" xfId="5" applyNumberFormat="1" applyFont="1" applyFill="1" applyBorder="1" applyAlignment="1" applyProtection="1">
      <alignment horizontal="center" vertical="center"/>
    </xf>
    <xf numFmtId="4" fontId="8" fillId="3" borderId="2" xfId="1" applyNumberFormat="1" applyFont="1" applyFill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" xfId="0" applyFont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justify" vertical="center" wrapText="1"/>
    </xf>
    <xf numFmtId="0" fontId="8" fillId="0" borderId="38" xfId="0" applyFont="1" applyFill="1" applyBorder="1" applyAlignment="1" applyProtection="1">
      <alignment vertical="center"/>
    </xf>
    <xf numFmtId="4" fontId="8" fillId="0" borderId="2" xfId="1" applyNumberFormat="1" applyFont="1" applyBorder="1" applyAlignment="1" applyProtection="1">
      <alignment vertical="center"/>
    </xf>
    <xf numFmtId="173" fontId="2" fillId="0" borderId="2" xfId="0" applyNumberFormat="1" applyFont="1" applyFill="1" applyBorder="1" applyAlignment="1" applyProtection="1">
      <alignment horizontal="right" vertical="center"/>
    </xf>
    <xf numFmtId="4" fontId="2" fillId="3" borderId="2" xfId="0" applyNumberFormat="1" applyFont="1" applyFill="1" applyBorder="1" applyAlignment="1" applyProtection="1">
      <alignment horizontal="right" vertical="center"/>
    </xf>
    <xf numFmtId="4" fontId="2" fillId="0" borderId="2" xfId="0" applyNumberFormat="1" applyFont="1" applyBorder="1" applyAlignment="1" applyProtection="1">
      <alignment horizontal="right" vertical="center"/>
    </xf>
    <xf numFmtId="2" fontId="2" fillId="0" borderId="39" xfId="0" applyNumberFormat="1" applyFont="1" applyBorder="1" applyAlignment="1" applyProtection="1">
      <alignment vertical="center"/>
    </xf>
    <xf numFmtId="4" fontId="2" fillId="3" borderId="79" xfId="0" applyNumberFormat="1" applyFont="1" applyFill="1" applyBorder="1" applyAlignment="1" applyProtection="1">
      <alignment vertical="center"/>
    </xf>
    <xf numFmtId="4" fontId="2" fillId="0" borderId="2" xfId="1" applyNumberFormat="1" applyFont="1" applyBorder="1" applyAlignment="1" applyProtection="1">
      <alignment vertical="center"/>
    </xf>
    <xf numFmtId="4" fontId="2" fillId="3" borderId="2" xfId="1" applyNumberFormat="1" applyFont="1" applyFill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0" xfId="0" applyFont="1" applyBorder="1" applyAlignment="1" applyProtection="1">
      <alignment vertical="center"/>
    </xf>
    <xf numFmtId="4" fontId="2" fillId="3" borderId="80" xfId="0" applyNumberFormat="1" applyFont="1" applyFill="1" applyBorder="1" applyAlignment="1" applyProtection="1">
      <alignment vertical="center"/>
    </xf>
    <xf numFmtId="2" fontId="2" fillId="0" borderId="40" xfId="0" applyNumberFormat="1" applyFont="1" applyBorder="1" applyAlignment="1" applyProtection="1">
      <alignment vertical="center"/>
    </xf>
    <xf numFmtId="2" fontId="2" fillId="0" borderId="84" xfId="0" applyNumberFormat="1" applyFont="1" applyBorder="1" applyAlignment="1" applyProtection="1">
      <alignment vertical="center"/>
    </xf>
    <xf numFmtId="0" fontId="0" fillId="0" borderId="47" xfId="0" applyBorder="1" applyAlignment="1" applyProtection="1">
      <alignment vertical="center"/>
    </xf>
    <xf numFmtId="173" fontId="2" fillId="0" borderId="2" xfId="0" applyNumberFormat="1" applyFont="1" applyBorder="1" applyAlignment="1" applyProtection="1">
      <alignment horizontal="right" vertical="center"/>
    </xf>
    <xf numFmtId="2" fontId="2" fillId="0" borderId="41" xfId="0" applyNumberFormat="1" applyFont="1" applyBorder="1" applyAlignment="1" applyProtection="1">
      <alignment vertical="center"/>
    </xf>
    <xf numFmtId="4" fontId="2" fillId="3" borderId="81" xfId="0" applyNumberFormat="1" applyFont="1" applyFill="1" applyBorder="1" applyAlignment="1" applyProtection="1">
      <alignment vertical="center"/>
    </xf>
    <xf numFmtId="0" fontId="0" fillId="0" borderId="55" xfId="0" applyBorder="1" applyAlignment="1" applyProtection="1">
      <alignment vertical="center"/>
    </xf>
    <xf numFmtId="0" fontId="8" fillId="0" borderId="23" xfId="0" applyFont="1" applyFill="1" applyBorder="1" applyAlignment="1" applyProtection="1">
      <alignment vertical="center"/>
    </xf>
    <xf numFmtId="0" fontId="2" fillId="0" borderId="39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2" fillId="0" borderId="45" xfId="0" applyFont="1" applyBorder="1" applyAlignment="1" applyProtection="1">
      <alignment vertical="center"/>
    </xf>
    <xf numFmtId="4" fontId="2" fillId="3" borderId="82" xfId="0" applyNumberFormat="1" applyFont="1" applyFill="1" applyBorder="1" applyAlignment="1" applyProtection="1">
      <alignment vertical="center"/>
    </xf>
    <xf numFmtId="0" fontId="2" fillId="0" borderId="23" xfId="0" applyFont="1" applyFill="1" applyBorder="1" applyAlignment="1" applyProtection="1">
      <alignment vertical="center"/>
    </xf>
    <xf numFmtId="4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horizontal="justify" vertical="center" wrapText="1"/>
    </xf>
    <xf numFmtId="0" fontId="2" fillId="0" borderId="44" xfId="0" applyFont="1" applyBorder="1" applyAlignment="1" applyProtection="1">
      <alignment vertical="center"/>
    </xf>
    <xf numFmtId="4" fontId="2" fillId="3" borderId="83" xfId="0" applyNumberFormat="1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4" fontId="2" fillId="0" borderId="0" xfId="0" applyNumberFormat="1" applyFont="1" applyBorder="1" applyAlignment="1" applyProtection="1">
      <alignment vertical="center" wrapText="1"/>
    </xf>
    <xf numFmtId="4" fontId="2" fillId="0" borderId="0" xfId="0" applyNumberFormat="1" applyFont="1" applyBorder="1" applyAlignment="1" applyProtection="1">
      <alignment vertical="center"/>
    </xf>
    <xf numFmtId="0" fontId="6" fillId="3" borderId="66" xfId="0" applyFont="1" applyFill="1" applyBorder="1" applyAlignment="1" applyProtection="1">
      <alignment vertical="center"/>
    </xf>
    <xf numFmtId="4" fontId="6" fillId="3" borderId="2" xfId="0" applyNumberFormat="1" applyFont="1" applyFill="1" applyBorder="1" applyAlignment="1" applyProtection="1">
      <alignment vertical="center"/>
    </xf>
    <xf numFmtId="0" fontId="2" fillId="0" borderId="38" xfId="0" applyFont="1" applyBorder="1" applyAlignment="1" applyProtection="1">
      <alignment vertical="center"/>
    </xf>
    <xf numFmtId="0" fontId="1" fillId="0" borderId="2" xfId="0" applyFont="1" applyFill="1" applyBorder="1" applyAlignment="1" applyProtection="1">
      <alignment horizontal="justify" vertical="center" wrapText="1"/>
    </xf>
    <xf numFmtId="0" fontId="1" fillId="0" borderId="2" xfId="0" applyFont="1" applyBorder="1" applyAlignment="1" applyProtection="1">
      <alignment horizontal="center" vertical="center"/>
    </xf>
    <xf numFmtId="2" fontId="2" fillId="0" borderId="45" xfId="0" applyNumberFormat="1" applyFont="1" applyBorder="1" applyAlignment="1" applyProtection="1">
      <alignment vertical="center"/>
    </xf>
    <xf numFmtId="0" fontId="2" fillId="0" borderId="23" xfId="0" applyFont="1" applyBorder="1" applyAlignment="1" applyProtection="1">
      <alignment vertical="center"/>
    </xf>
    <xf numFmtId="4" fontId="2" fillId="0" borderId="18" xfId="1" applyNumberFormat="1" applyFont="1" applyBorder="1" applyAlignment="1" applyProtection="1">
      <alignment vertical="center"/>
    </xf>
    <xf numFmtId="4" fontId="2" fillId="0" borderId="0" xfId="0" applyNumberFormat="1" applyFont="1" applyAlignment="1" applyProtection="1">
      <alignment vertical="center"/>
    </xf>
    <xf numFmtId="0" fontId="8" fillId="3" borderId="38" xfId="0" applyFont="1" applyFill="1" applyBorder="1" applyAlignment="1" applyProtection="1">
      <alignment vertical="center"/>
    </xf>
    <xf numFmtId="4" fontId="8" fillId="3" borderId="2" xfId="0" applyNumberFormat="1" applyFont="1" applyFill="1" applyBorder="1" applyAlignment="1" applyProtection="1">
      <alignment vertical="center" wrapText="1"/>
    </xf>
    <xf numFmtId="0" fontId="8" fillId="0" borderId="38" xfId="0" applyFont="1" applyBorder="1" applyAlignment="1" applyProtection="1">
      <alignment vertical="center"/>
    </xf>
    <xf numFmtId="4" fontId="8" fillId="0" borderId="2" xfId="0" applyNumberFormat="1" applyFont="1" applyBorder="1" applyAlignment="1" applyProtection="1">
      <alignment vertical="center" wrapText="1"/>
    </xf>
    <xf numFmtId="4" fontId="8" fillId="0" borderId="2" xfId="0" applyNumberFormat="1" applyFont="1" applyBorder="1" applyAlignment="1" applyProtection="1">
      <alignment vertical="center"/>
    </xf>
    <xf numFmtId="0" fontId="8" fillId="0" borderId="23" xfId="0" applyFont="1" applyBorder="1" applyAlignment="1" applyProtection="1">
      <alignment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justify" vertical="center" wrapText="1"/>
    </xf>
    <xf numFmtId="2" fontId="2" fillId="3" borderId="80" xfId="0" applyNumberFormat="1" applyFont="1" applyFill="1" applyBorder="1" applyAlignment="1" applyProtection="1">
      <alignment vertical="center"/>
    </xf>
    <xf numFmtId="2" fontId="2" fillId="3" borderId="82" xfId="0" applyNumberFormat="1" applyFont="1" applyFill="1" applyBorder="1" applyAlignment="1" applyProtection="1">
      <alignment vertical="center"/>
    </xf>
    <xf numFmtId="4" fontId="8" fillId="3" borderId="2" xfId="0" applyNumberFormat="1" applyFont="1" applyFill="1" applyBorder="1" applyAlignment="1" applyProtection="1">
      <alignment horizontal="right" vertical="center"/>
    </xf>
    <xf numFmtId="0" fontId="1" fillId="0" borderId="2" xfId="0" applyFont="1" applyFill="1" applyBorder="1" applyAlignment="1" applyProtection="1">
      <alignment horizontal="center" vertical="center"/>
    </xf>
    <xf numFmtId="0" fontId="2" fillId="0" borderId="46" xfId="0" applyFont="1" applyBorder="1" applyAlignment="1" applyProtection="1">
      <alignment vertical="center"/>
    </xf>
    <xf numFmtId="2" fontId="2" fillId="3" borderId="76" xfId="0" applyNumberFormat="1" applyFont="1" applyFill="1" applyBorder="1" applyAlignment="1" applyProtection="1">
      <alignment vertical="center"/>
    </xf>
    <xf numFmtId="2" fontId="2" fillId="3" borderId="0" xfId="0" applyNumberFormat="1" applyFont="1" applyFill="1" applyBorder="1" applyAlignment="1" applyProtection="1">
      <alignment vertical="center"/>
    </xf>
    <xf numFmtId="0" fontId="8" fillId="0" borderId="45" xfId="0" applyFont="1" applyBorder="1" applyAlignment="1" applyProtection="1">
      <alignment vertical="center"/>
    </xf>
    <xf numFmtId="0" fontId="8" fillId="0" borderId="40" xfId="0" applyFont="1" applyBorder="1" applyAlignment="1" applyProtection="1">
      <alignment vertical="center"/>
    </xf>
    <xf numFmtId="0" fontId="2" fillId="0" borderId="42" xfId="0" applyFont="1" applyBorder="1" applyAlignment="1" applyProtection="1">
      <alignment vertical="center"/>
    </xf>
    <xf numFmtId="0" fontId="6" fillId="0" borderId="51" xfId="0" applyFont="1" applyBorder="1" applyAlignment="1" applyProtection="1">
      <alignment vertical="center"/>
    </xf>
    <xf numFmtId="4" fontId="2" fillId="3" borderId="0" xfId="0" applyNumberFormat="1" applyFont="1" applyFill="1" applyBorder="1" applyAlignment="1" applyProtection="1">
      <alignment vertical="center"/>
    </xf>
    <xf numFmtId="0" fontId="0" fillId="0" borderId="43" xfId="0" applyBorder="1" applyAlignment="1" applyProtection="1">
      <alignment vertical="center"/>
    </xf>
    <xf numFmtId="0" fontId="2" fillId="0" borderId="84" xfId="0" applyFont="1" applyBorder="1" applyAlignment="1" applyProtection="1">
      <alignment vertical="center"/>
    </xf>
    <xf numFmtId="0" fontId="8" fillId="0" borderId="85" xfId="0" applyFont="1" applyBorder="1" applyAlignment="1" applyProtection="1">
      <alignment vertical="center"/>
    </xf>
    <xf numFmtId="0" fontId="6" fillId="0" borderId="43" xfId="0" applyFont="1" applyBorder="1" applyAlignment="1" applyProtection="1">
      <alignment vertical="center"/>
    </xf>
    <xf numFmtId="0" fontId="2" fillId="0" borderId="52" xfId="0" applyFont="1" applyBorder="1" applyAlignment="1" applyProtection="1">
      <alignment vertical="center"/>
    </xf>
    <xf numFmtId="4" fontId="2" fillId="13" borderId="2" xfId="0" applyNumberFormat="1" applyFont="1" applyFill="1" applyBorder="1" applyAlignment="1" applyProtection="1">
      <alignment horizontal="right" vertical="center"/>
    </xf>
    <xf numFmtId="0" fontId="6" fillId="0" borderId="0" xfId="0" applyFont="1" applyFill="1" applyBorder="1" applyAlignment="1" applyProtection="1">
      <alignment vertical="center"/>
    </xf>
    <xf numFmtId="4" fontId="8" fillId="0" borderId="2" xfId="1" applyNumberFormat="1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4" fontId="0" fillId="0" borderId="2" xfId="1" applyNumberFormat="1" applyFont="1" applyBorder="1" applyAlignment="1" applyProtection="1">
      <alignment vertical="center"/>
    </xf>
    <xf numFmtId="4" fontId="6" fillId="0" borderId="2" xfId="1" applyNumberFormat="1" applyFont="1" applyBorder="1" applyAlignment="1" applyProtection="1">
      <alignment vertical="center"/>
    </xf>
    <xf numFmtId="0" fontId="6" fillId="3" borderId="70" xfId="0" applyFont="1" applyFill="1" applyBorder="1" applyAlignment="1" applyProtection="1">
      <alignment vertical="center"/>
    </xf>
    <xf numFmtId="4" fontId="2" fillId="3" borderId="53" xfId="0" applyNumberFormat="1" applyFont="1" applyFill="1" applyBorder="1" applyAlignment="1" applyProtection="1">
      <alignment vertical="center"/>
    </xf>
    <xf numFmtId="0" fontId="1" fillId="9" borderId="2" xfId="0" applyFont="1" applyFill="1" applyBorder="1" applyAlignment="1" applyProtection="1">
      <alignment horizontal="justify" vertical="center" wrapText="1"/>
    </xf>
    <xf numFmtId="0" fontId="2" fillId="0" borderId="18" xfId="0" applyFont="1" applyBorder="1" applyAlignment="1" applyProtection="1">
      <alignment vertical="center"/>
    </xf>
    <xf numFmtId="4" fontId="8" fillId="3" borderId="3" xfId="0" applyNumberFormat="1" applyFont="1" applyFill="1" applyBorder="1" applyAlignment="1" applyProtection="1">
      <alignment vertical="center"/>
    </xf>
    <xf numFmtId="4" fontId="2" fillId="3" borderId="50" xfId="0" applyNumberFormat="1" applyFont="1" applyFill="1" applyBorder="1" applyAlignment="1" applyProtection="1">
      <alignment vertical="center"/>
    </xf>
    <xf numFmtId="4" fontId="6" fillId="3" borderId="2" xfId="1" applyNumberFormat="1" applyFont="1" applyFill="1" applyBorder="1" applyAlignment="1" applyProtection="1">
      <alignment vertical="center"/>
    </xf>
    <xf numFmtId="0" fontId="2" fillId="0" borderId="69" xfId="0" applyFont="1" applyBorder="1" applyAlignment="1" applyProtection="1">
      <alignment vertical="center"/>
    </xf>
    <xf numFmtId="173" fontId="2" fillId="0" borderId="0" xfId="0" applyNumberFormat="1" applyFont="1" applyFill="1" applyBorder="1" applyAlignment="1" applyProtection="1">
      <alignment horizontal="right" vertical="center"/>
    </xf>
    <xf numFmtId="4" fontId="2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4" fontId="2" fillId="0" borderId="0" xfId="0" applyNumberFormat="1" applyFont="1" applyFill="1" applyBorder="1" applyAlignment="1" applyProtection="1">
      <alignment vertical="center" wrapText="1"/>
    </xf>
    <xf numFmtId="4" fontId="0" fillId="0" borderId="0" xfId="1" applyNumberFormat="1" applyFont="1" applyFill="1" applyBorder="1" applyAlignment="1" applyProtection="1">
      <alignment vertical="center"/>
    </xf>
    <xf numFmtId="49" fontId="1" fillId="0" borderId="2" xfId="0" applyNumberFormat="1" applyFont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justify" vertical="center" wrapText="1"/>
    </xf>
    <xf numFmtId="4" fontId="8" fillId="0" borderId="0" xfId="0" applyNumberFormat="1" applyFont="1" applyFill="1" applyBorder="1" applyAlignment="1" applyProtection="1">
      <alignment vertical="center" wrapText="1"/>
    </xf>
    <xf numFmtId="4" fontId="8" fillId="0" borderId="0" xfId="1" applyNumberFormat="1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4" fontId="2" fillId="0" borderId="0" xfId="1" applyNumberFormat="1" applyFont="1" applyFill="1" applyBorder="1" applyAlignment="1" applyProtection="1">
      <alignment vertical="center"/>
    </xf>
    <xf numFmtId="4" fontId="2" fillId="0" borderId="2" xfId="0" applyNumberFormat="1" applyFont="1" applyFill="1" applyBorder="1" applyAlignment="1" applyProtection="1">
      <alignment horizontal="right" vertical="center"/>
    </xf>
    <xf numFmtId="0" fontId="2" fillId="0" borderId="39" xfId="0" applyFont="1" applyFill="1" applyBorder="1" applyAlignment="1" applyProtection="1">
      <alignment vertical="center"/>
    </xf>
    <xf numFmtId="4" fontId="2" fillId="0" borderId="79" xfId="0" applyNumberFormat="1" applyFont="1" applyFill="1" applyBorder="1" applyAlignment="1" applyProtection="1">
      <alignment vertical="center"/>
    </xf>
    <xf numFmtId="4" fontId="2" fillId="0" borderId="2" xfId="1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2" fillId="0" borderId="25" xfId="0" applyFont="1" applyBorder="1" applyAlignment="1" applyProtection="1">
      <alignment vertical="center"/>
    </xf>
    <xf numFmtId="4" fontId="2" fillId="3" borderId="6" xfId="0" applyNumberFormat="1" applyFont="1" applyFill="1" applyBorder="1" applyAlignment="1" applyProtection="1">
      <alignment vertical="center"/>
    </xf>
    <xf numFmtId="0" fontId="48" fillId="0" borderId="0" xfId="0" applyFont="1" applyBorder="1" applyAlignment="1" applyProtection="1">
      <alignment vertical="center"/>
    </xf>
    <xf numFmtId="0" fontId="1" fillId="0" borderId="2" xfId="0" applyFont="1" applyBorder="1" applyAlignment="1" applyProtection="1">
      <alignment vertical="center" wrapText="1"/>
    </xf>
    <xf numFmtId="0" fontId="1" fillId="0" borderId="2" xfId="0" applyFont="1" applyBorder="1" applyAlignment="1" applyProtection="1">
      <alignment horizontal="center" vertical="center" wrapText="1"/>
    </xf>
    <xf numFmtId="3" fontId="6" fillId="3" borderId="58" xfId="0" applyNumberFormat="1" applyFont="1" applyFill="1" applyBorder="1" applyAlignment="1" applyProtection="1">
      <alignment horizontal="center" vertical="center"/>
    </xf>
    <xf numFmtId="4" fontId="8" fillId="3" borderId="58" xfId="0" applyNumberFormat="1" applyFont="1" applyFill="1" applyBorder="1" applyAlignment="1" applyProtection="1">
      <alignment vertical="center" wrapText="1"/>
    </xf>
    <xf numFmtId="4" fontId="8" fillId="3" borderId="58" xfId="5" applyNumberFormat="1" applyFont="1" applyFill="1" applyBorder="1" applyAlignment="1" applyProtection="1">
      <alignment horizontal="center" vertical="center"/>
    </xf>
    <xf numFmtId="4" fontId="8" fillId="3" borderId="56" xfId="1" applyNumberFormat="1" applyFont="1" applyFill="1" applyBorder="1" applyAlignment="1" applyProtection="1">
      <alignment vertical="center"/>
    </xf>
    <xf numFmtId="4" fontId="8" fillId="3" borderId="56" xfId="5" applyNumberFormat="1" applyFont="1" applyFill="1" applyBorder="1" applyAlignment="1" applyProtection="1">
      <alignment horizontal="center" vertical="center"/>
    </xf>
    <xf numFmtId="0" fontId="6" fillId="0" borderId="18" xfId="0" applyFont="1" applyBorder="1" applyAlignment="1" applyProtection="1">
      <alignment horizontal="center" vertical="center"/>
    </xf>
    <xf numFmtId="4" fontId="8" fillId="0" borderId="18" xfId="0" applyNumberFormat="1" applyFont="1" applyBorder="1" applyAlignment="1" applyProtection="1">
      <alignment vertical="center" wrapText="1"/>
    </xf>
    <xf numFmtId="4" fontId="8" fillId="0" borderId="18" xfId="1" applyNumberFormat="1" applyFont="1" applyBorder="1" applyAlignment="1" applyProtection="1">
      <alignment vertical="center"/>
    </xf>
    <xf numFmtId="4" fontId="2" fillId="0" borderId="19" xfId="0" applyNumberFormat="1" applyFont="1" applyBorder="1" applyAlignment="1" applyProtection="1">
      <alignment horizontal="right" vertical="center"/>
    </xf>
    <xf numFmtId="4" fontId="2" fillId="3" borderId="19" xfId="0" applyNumberFormat="1" applyFont="1" applyFill="1" applyBorder="1" applyAlignment="1" applyProtection="1">
      <alignment vertical="center"/>
    </xf>
    <xf numFmtId="4" fontId="2" fillId="3" borderId="57" xfId="0" applyNumberFormat="1" applyFont="1" applyFill="1" applyBorder="1" applyAlignment="1" applyProtection="1">
      <alignment horizontal="right" vertical="center"/>
    </xf>
    <xf numFmtId="4" fontId="2" fillId="0" borderId="60" xfId="0" applyNumberFormat="1" applyFont="1" applyBorder="1" applyAlignment="1" applyProtection="1">
      <alignment horizontal="right" vertical="center"/>
    </xf>
    <xf numFmtId="4" fontId="2" fillId="3" borderId="57" xfId="0" applyNumberFormat="1" applyFont="1" applyFill="1" applyBorder="1" applyAlignment="1" applyProtection="1">
      <alignment vertical="center"/>
    </xf>
    <xf numFmtId="4" fontId="2" fillId="3" borderId="60" xfId="0" applyNumberFormat="1" applyFont="1" applyFill="1" applyBorder="1" applyAlignment="1" applyProtection="1">
      <alignment vertical="center"/>
    </xf>
    <xf numFmtId="4" fontId="2" fillId="0" borderId="64" xfId="1" applyNumberFormat="1" applyFont="1" applyBorder="1" applyAlignment="1" applyProtection="1">
      <alignment vertical="center"/>
    </xf>
    <xf numFmtId="4" fontId="2" fillId="3" borderId="57" xfId="1" applyNumberFormat="1" applyFont="1" applyFill="1" applyBorder="1" applyAlignment="1" applyProtection="1">
      <alignment vertical="center"/>
    </xf>
    <xf numFmtId="4" fontId="2" fillId="0" borderId="57" xfId="1" applyNumberFormat="1" applyFont="1" applyBorder="1" applyAlignment="1" applyProtection="1">
      <alignment vertical="center"/>
    </xf>
    <xf numFmtId="0" fontId="0" fillId="0" borderId="49" xfId="0" applyBorder="1" applyAlignment="1" applyProtection="1">
      <alignment vertical="center"/>
    </xf>
    <xf numFmtId="0" fontId="8" fillId="3" borderId="86" xfId="0" applyFont="1" applyFill="1" applyBorder="1" applyAlignment="1" applyProtection="1">
      <alignment vertical="center"/>
    </xf>
    <xf numFmtId="0" fontId="8" fillId="0" borderId="86" xfId="0" applyFont="1" applyBorder="1" applyAlignment="1" applyProtection="1">
      <alignment vertical="center"/>
    </xf>
    <xf numFmtId="173" fontId="6" fillId="0" borderId="2" xfId="0" applyNumberFormat="1" applyFont="1" applyFill="1" applyBorder="1" applyAlignment="1" applyProtection="1">
      <alignment horizontal="center" vertical="center"/>
    </xf>
    <xf numFmtId="4" fontId="6" fillId="0" borderId="2" xfId="0" applyNumberFormat="1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vertical="center"/>
    </xf>
    <xf numFmtId="0" fontId="6" fillId="3" borderId="2" xfId="0" applyFont="1" applyFill="1" applyBorder="1" applyAlignment="1" applyProtection="1">
      <alignment horizontal="center" vertical="center"/>
    </xf>
    <xf numFmtId="0" fontId="6" fillId="3" borderId="2" xfId="0" applyFont="1" applyFill="1" applyBorder="1" applyAlignment="1" applyProtection="1">
      <alignment horizontal="center" vertical="center" wrapText="1"/>
    </xf>
    <xf numFmtId="173" fontId="6" fillId="3" borderId="2" xfId="0" applyNumberFormat="1" applyFont="1" applyFill="1" applyBorder="1" applyAlignment="1" applyProtection="1">
      <alignment horizontal="center" vertical="center"/>
    </xf>
    <xf numFmtId="4" fontId="6" fillId="3" borderId="2" xfId="0" applyNumberFormat="1" applyFont="1" applyFill="1" applyBorder="1" applyAlignment="1" applyProtection="1">
      <alignment horizontal="center" vertical="center"/>
    </xf>
    <xf numFmtId="4" fontId="8" fillId="0" borderId="2" xfId="0" applyNumberFormat="1" applyFont="1" applyFill="1" applyBorder="1" applyAlignment="1" applyProtection="1">
      <alignment horizontal="right" vertical="center"/>
    </xf>
    <xf numFmtId="0" fontId="0" fillId="0" borderId="0" xfId="0" applyProtection="1"/>
    <xf numFmtId="0" fontId="0" fillId="0" borderId="0" xfId="0" applyBorder="1" applyProtection="1"/>
    <xf numFmtId="0" fontId="0" fillId="0" borderId="49" xfId="0" applyBorder="1" applyProtection="1"/>
    <xf numFmtId="0" fontId="0" fillId="0" borderId="75" xfId="0" applyBorder="1" applyProtection="1"/>
    <xf numFmtId="0" fontId="0" fillId="0" borderId="14" xfId="0" applyBorder="1" applyProtection="1"/>
    <xf numFmtId="0" fontId="0" fillId="0" borderId="15" xfId="0" applyBorder="1" applyProtection="1"/>
    <xf numFmtId="0" fontId="0" fillId="0" borderId="48" xfId="0" applyBorder="1" applyProtection="1"/>
    <xf numFmtId="0" fontId="14" fillId="0" borderId="0" xfId="0" applyFont="1" applyBorder="1" applyProtection="1"/>
    <xf numFmtId="0" fontId="0" fillId="0" borderId="48" xfId="0" applyBorder="1" applyAlignment="1" applyProtection="1">
      <alignment vertical="center" wrapText="1"/>
    </xf>
    <xf numFmtId="0" fontId="13" fillId="0" borderId="0" xfId="0" applyFont="1" applyBorder="1" applyProtection="1"/>
    <xf numFmtId="0" fontId="0" fillId="12" borderId="0" xfId="0" applyFill="1" applyBorder="1" applyProtection="1"/>
    <xf numFmtId="0" fontId="22" fillId="0" borderId="65" xfId="0" applyFont="1" applyFill="1" applyBorder="1" applyAlignment="1" applyProtection="1">
      <alignment wrapText="1"/>
    </xf>
    <xf numFmtId="0" fontId="0" fillId="0" borderId="37" xfId="0" applyBorder="1" applyProtection="1"/>
    <xf numFmtId="0" fontId="0" fillId="0" borderId="26" xfId="0" applyBorder="1" applyProtection="1"/>
    <xf numFmtId="0" fontId="0" fillId="0" borderId="0" xfId="0" applyFill="1" applyBorder="1" applyProtection="1"/>
    <xf numFmtId="4" fontId="2" fillId="0" borderId="0" xfId="0" applyNumberFormat="1" applyFont="1" applyFill="1" applyBorder="1" applyAlignment="1" applyProtection="1">
      <alignment vertical="center"/>
      <protection locked="0"/>
    </xf>
    <xf numFmtId="4" fontId="2" fillId="0" borderId="64" xfId="0" applyNumberFormat="1" applyFont="1" applyBorder="1" applyAlignment="1" applyProtection="1">
      <alignment vertical="center" wrapText="1"/>
      <protection locked="0"/>
    </xf>
    <xf numFmtId="4" fontId="2" fillId="0" borderId="57" xfId="0" applyNumberFormat="1" applyFont="1" applyBorder="1" applyAlignment="1" applyProtection="1">
      <alignment vertical="center"/>
      <protection locked="0"/>
    </xf>
    <xf numFmtId="0" fontId="24" fillId="0" borderId="18" xfId="4" applyFont="1" applyBorder="1" applyAlignment="1">
      <alignment horizontal="centerContinuous" vertical="center" wrapText="1"/>
    </xf>
    <xf numFmtId="0" fontId="15" fillId="0" borderId="2" xfId="4" applyFont="1" applyBorder="1" applyAlignment="1">
      <alignment horizontal="centerContinuous" vertical="center" wrapText="1"/>
    </xf>
    <xf numFmtId="0" fontId="24" fillId="0" borderId="16" xfId="4" applyFont="1" applyBorder="1" applyAlignment="1">
      <alignment horizontal="centerContinuous" vertical="center" wrapText="1"/>
    </xf>
    <xf numFmtId="0" fontId="24" fillId="0" borderId="4" xfId="4" applyFont="1" applyBorder="1" applyAlignment="1">
      <alignment horizontal="centerContinuous" vertical="center" wrapText="1"/>
    </xf>
    <xf numFmtId="0" fontId="24" fillId="0" borderId="1" xfId="4" applyFont="1" applyBorder="1" applyAlignment="1">
      <alignment horizontal="centerContinuous" vertical="center" wrapText="1"/>
    </xf>
    <xf numFmtId="0" fontId="15" fillId="0" borderId="4" xfId="4" applyFont="1" applyBorder="1" applyAlignment="1">
      <alignment horizontal="centerContinuous" vertical="center" wrapText="1"/>
    </xf>
    <xf numFmtId="0" fontId="15" fillId="0" borderId="1" xfId="4" applyFont="1" applyBorder="1" applyAlignment="1">
      <alignment horizontal="centerContinuous" vertical="center" wrapText="1"/>
    </xf>
    <xf numFmtId="173" fontId="2" fillId="0" borderId="2" xfId="0" applyNumberFormat="1" applyFont="1" applyFill="1" applyBorder="1" applyAlignment="1" applyProtection="1">
      <alignment horizontal="right" vertical="center"/>
      <protection locked="0"/>
    </xf>
    <xf numFmtId="4" fontId="2" fillId="9" borderId="2" xfId="0" applyNumberFormat="1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Alignment="1" applyProtection="1"/>
    <xf numFmtId="0" fontId="4" fillId="0" borderId="0" xfId="0" applyFont="1" applyFill="1" applyBorder="1" applyAlignment="1" applyProtection="1"/>
    <xf numFmtId="0" fontId="4" fillId="0" borderId="49" xfId="0" applyFont="1" applyFill="1" applyBorder="1" applyAlignment="1" applyProtection="1"/>
    <xf numFmtId="0" fontId="13" fillId="0" borderId="0" xfId="0" applyFont="1" applyFill="1" applyBorder="1" applyProtection="1"/>
    <xf numFmtId="0" fontId="13" fillId="0" borderId="49" xfId="0" applyFont="1" applyFill="1" applyBorder="1" applyProtection="1"/>
    <xf numFmtId="0" fontId="0" fillId="0" borderId="49" xfId="0" applyFill="1" applyBorder="1" applyProtection="1"/>
    <xf numFmtId="0" fontId="13" fillId="12" borderId="0" xfId="0" applyFont="1" applyFill="1" applyBorder="1" applyProtection="1">
      <protection locked="0"/>
    </xf>
    <xf numFmtId="9" fontId="12" fillId="12" borderId="0" xfId="5" applyFont="1" applyFill="1" applyBorder="1" applyProtection="1">
      <protection locked="0"/>
    </xf>
    <xf numFmtId="10" fontId="0" fillId="12" borderId="0" xfId="0" applyNumberFormat="1" applyFill="1" applyBorder="1" applyProtection="1">
      <protection locked="0"/>
    </xf>
    <xf numFmtId="2" fontId="51" fillId="0" borderId="2" xfId="4" applyNumberFormat="1" applyFont="1" applyBorder="1" applyAlignment="1">
      <alignment horizontal="right" vertical="center"/>
    </xf>
    <xf numFmtId="180" fontId="2" fillId="0" borderId="2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89" xfId="0" applyNumberFormat="1" applyFont="1" applyFill="1" applyBorder="1" applyAlignment="1" applyProtection="1">
      <alignment horizontal="center" vertical="center"/>
    </xf>
    <xf numFmtId="0" fontId="8" fillId="0" borderId="91" xfId="0" applyNumberFormat="1" applyFont="1" applyFill="1" applyBorder="1" applyAlignment="1" applyProtection="1">
      <alignment horizontal="center" vertical="center"/>
    </xf>
    <xf numFmtId="10" fontId="2" fillId="0" borderId="90" xfId="5" applyNumberFormat="1" applyFont="1" applyBorder="1" applyAlignment="1" applyProtection="1">
      <alignment horizontal="center" vertical="center" wrapText="1"/>
    </xf>
    <xf numFmtId="4" fontId="6" fillId="0" borderId="91" xfId="0" applyNumberFormat="1" applyFont="1" applyFill="1" applyBorder="1" applyAlignment="1" applyProtection="1">
      <alignment horizontal="center" vertical="center"/>
    </xf>
    <xf numFmtId="0" fontId="0" fillId="0" borderId="93" xfId="0" applyBorder="1" applyAlignment="1" applyProtection="1">
      <alignment horizontal="center" vertical="center"/>
    </xf>
    <xf numFmtId="0" fontId="2" fillId="0" borderId="93" xfId="0" applyFont="1" applyBorder="1" applyAlignment="1" applyProtection="1">
      <alignment horizontal="center" vertical="center"/>
    </xf>
    <xf numFmtId="10" fontId="2" fillId="0" borderId="90" xfId="5" applyNumberFormat="1" applyFont="1" applyFill="1" applyBorder="1" applyAlignment="1" applyProtection="1">
      <alignment horizontal="center" vertical="center"/>
    </xf>
    <xf numFmtId="0" fontId="6" fillId="0" borderId="91" xfId="0" applyNumberFormat="1" applyFont="1" applyFill="1" applyBorder="1" applyAlignment="1" applyProtection="1">
      <alignment horizontal="center" vertical="center"/>
    </xf>
    <xf numFmtId="0" fontId="1" fillId="0" borderId="95" xfId="0" applyNumberFormat="1" applyFont="1" applyFill="1" applyBorder="1" applyAlignment="1" applyProtection="1">
      <alignment horizontal="justify" vertical="center" wrapText="1"/>
    </xf>
    <xf numFmtId="0" fontId="6" fillId="0" borderId="96" xfId="0" applyNumberFormat="1" applyFont="1" applyFill="1" applyBorder="1" applyAlignment="1" applyProtection="1">
      <alignment horizontal="justify" vertical="center" wrapText="1"/>
    </xf>
    <xf numFmtId="0" fontId="6" fillId="0" borderId="78" xfId="0" applyNumberFormat="1" applyFont="1" applyFill="1" applyBorder="1" applyAlignment="1" applyProtection="1">
      <alignment horizontal="justify" vertical="center" wrapText="1"/>
    </xf>
    <xf numFmtId="0" fontId="6" fillId="0" borderId="87" xfId="0" applyNumberFormat="1" applyFont="1" applyFill="1" applyBorder="1" applyAlignment="1" applyProtection="1">
      <alignment horizontal="centerContinuous" vertical="center"/>
    </xf>
    <xf numFmtId="0" fontId="8" fillId="0" borderId="88" xfId="0" applyNumberFormat="1" applyFont="1" applyFill="1" applyBorder="1" applyAlignment="1" applyProtection="1">
      <alignment horizontal="centerContinuous" vertical="center"/>
    </xf>
    <xf numFmtId="0" fontId="8" fillId="0" borderId="87" xfId="0" applyNumberFormat="1" applyFont="1" applyFill="1" applyBorder="1" applyAlignment="1" applyProtection="1">
      <alignment horizontal="centerContinuous" vertical="center"/>
    </xf>
    <xf numFmtId="4" fontId="8" fillId="0" borderId="88" xfId="0" applyNumberFormat="1" applyFont="1" applyFill="1" applyBorder="1" applyAlignment="1" applyProtection="1">
      <alignment horizontal="centerContinuous" vertical="center"/>
    </xf>
    <xf numFmtId="4" fontId="8" fillId="0" borderId="87" xfId="0" applyNumberFormat="1" applyFont="1" applyFill="1" applyBorder="1" applyAlignment="1" applyProtection="1">
      <alignment horizontal="centerContinuous" vertical="center"/>
    </xf>
    <xf numFmtId="0" fontId="6" fillId="0" borderId="94" xfId="0" applyFont="1" applyBorder="1" applyAlignment="1" applyProtection="1">
      <alignment horizontal="centerContinuous" vertical="center"/>
    </xf>
    <xf numFmtId="0" fontId="8" fillId="0" borderId="94" xfId="0" applyFont="1" applyBorder="1" applyAlignment="1" applyProtection="1">
      <alignment horizontal="centerContinuous" vertical="center"/>
    </xf>
    <xf numFmtId="4" fontId="8" fillId="0" borderId="88" xfId="0" applyNumberFormat="1" applyFont="1" applyBorder="1" applyAlignment="1" applyProtection="1">
      <alignment horizontal="centerContinuous" vertical="center" wrapText="1"/>
    </xf>
    <xf numFmtId="9" fontId="8" fillId="0" borderId="92" xfId="5" applyFont="1" applyFill="1" applyBorder="1" applyAlignment="1" applyProtection="1">
      <alignment horizontal="center" vertical="center"/>
    </xf>
    <xf numFmtId="9" fontId="8" fillId="0" borderId="92" xfId="5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horizontal="left" vertical="center" wrapText="1"/>
    </xf>
    <xf numFmtId="173" fontId="2" fillId="9" borderId="2" xfId="0" applyNumberFormat="1" applyFont="1" applyFill="1" applyBorder="1" applyAlignment="1" applyProtection="1">
      <alignment horizontal="right" vertical="center"/>
    </xf>
    <xf numFmtId="4" fontId="6" fillId="0" borderId="0" xfId="0" applyNumberFormat="1" applyFont="1" applyAlignment="1" applyProtection="1">
      <alignment vertical="center"/>
    </xf>
    <xf numFmtId="4" fontId="53" fillId="0" borderId="2" xfId="0" applyNumberFormat="1" applyFont="1" applyBorder="1" applyAlignment="1" applyProtection="1">
      <alignment vertical="center" wrapText="1"/>
      <protection locked="0"/>
    </xf>
    <xf numFmtId="4" fontId="53" fillId="0" borderId="2" xfId="0" applyNumberFormat="1" applyFont="1" applyBorder="1" applyAlignment="1" applyProtection="1">
      <alignment vertical="center"/>
      <protection locked="0"/>
    </xf>
    <xf numFmtId="0" fontId="1" fillId="4" borderId="2" xfId="0" applyFont="1" applyFill="1" applyBorder="1" applyAlignment="1" applyProtection="1">
      <alignment horizontal="justify" vertical="center" wrapText="1"/>
    </xf>
    <xf numFmtId="4" fontId="2" fillId="9" borderId="2" xfId="0" applyNumberFormat="1" applyFont="1" applyFill="1" applyBorder="1" applyAlignment="1" applyProtection="1">
      <alignment horizontal="right" vertical="center"/>
    </xf>
    <xf numFmtId="0" fontId="0" fillId="9" borderId="0" xfId="0" applyFill="1" applyBorder="1" applyAlignment="1" applyProtection="1">
      <alignment vertical="center"/>
    </xf>
    <xf numFmtId="0" fontId="2" fillId="9" borderId="40" xfId="0" applyFont="1" applyFill="1" applyBorder="1" applyAlignment="1" applyProtection="1">
      <alignment vertical="center"/>
    </xf>
    <xf numFmtId="4" fontId="2" fillId="9" borderId="80" xfId="0" applyNumberFormat="1" applyFont="1" applyFill="1" applyBorder="1" applyAlignment="1" applyProtection="1">
      <alignment vertical="center"/>
    </xf>
    <xf numFmtId="4" fontId="2" fillId="9" borderId="2" xfId="0" applyNumberFormat="1" applyFont="1" applyFill="1" applyBorder="1" applyAlignment="1" applyProtection="1">
      <alignment vertical="center"/>
    </xf>
    <xf numFmtId="4" fontId="2" fillId="9" borderId="2" xfId="0" applyNumberFormat="1" applyFont="1" applyFill="1" applyBorder="1" applyAlignment="1" applyProtection="1">
      <alignment vertical="center"/>
      <protection locked="0"/>
    </xf>
    <xf numFmtId="4" fontId="2" fillId="9" borderId="2" xfId="1" applyNumberFormat="1" applyFont="1" applyFill="1" applyBorder="1" applyAlignment="1" applyProtection="1">
      <alignment vertical="center"/>
    </xf>
    <xf numFmtId="4" fontId="0" fillId="9" borderId="2" xfId="1" applyNumberFormat="1" applyFont="1" applyFill="1" applyBorder="1" applyAlignment="1" applyProtection="1">
      <alignment vertical="center"/>
    </xf>
    <xf numFmtId="0" fontId="0" fillId="9" borderId="0" xfId="0" applyFill="1" applyAlignment="1" applyProtection="1">
      <alignment vertical="center"/>
    </xf>
    <xf numFmtId="4" fontId="6" fillId="9" borderId="0" xfId="0" applyNumberFormat="1" applyFont="1" applyFill="1" applyAlignment="1" applyProtection="1">
      <alignment vertical="center"/>
    </xf>
    <xf numFmtId="173" fontId="44" fillId="0" borderId="2" xfId="0" applyNumberFormat="1" applyFont="1" applyFill="1" applyBorder="1" applyAlignment="1" applyProtection="1">
      <alignment horizontal="right" vertical="center"/>
    </xf>
    <xf numFmtId="173" fontId="1" fillId="0" borderId="2" xfId="0" applyNumberFormat="1" applyFont="1" applyFill="1" applyBorder="1" applyAlignment="1" applyProtection="1">
      <alignment horizontal="right" vertical="center"/>
      <protection locked="0"/>
    </xf>
    <xf numFmtId="4" fontId="44" fillId="0" borderId="0" xfId="0" applyNumberFormat="1" applyFont="1" applyFill="1" applyBorder="1" applyAlignment="1" applyProtection="1">
      <alignment vertical="center"/>
      <protection locked="0"/>
    </xf>
    <xf numFmtId="4" fontId="2" fillId="0" borderId="2" xfId="1" applyNumberFormat="1" applyFont="1" applyBorder="1" applyAlignment="1" applyProtection="1">
      <alignment horizontal="center" vertical="center"/>
    </xf>
    <xf numFmtId="4" fontId="1" fillId="0" borderId="0" xfId="0" applyNumberFormat="1" applyFont="1" applyFill="1" applyBorder="1" applyAlignment="1" applyProtection="1">
      <alignment vertical="center"/>
    </xf>
    <xf numFmtId="49" fontId="13" fillId="12" borderId="0" xfId="0" applyNumberFormat="1" applyFont="1" applyFill="1" applyBorder="1" applyProtection="1">
      <protection locked="0"/>
    </xf>
    <xf numFmtId="0" fontId="13" fillId="9" borderId="0" xfId="0" applyFont="1" applyFill="1" applyBorder="1" applyAlignment="1" applyProtection="1">
      <alignment vertical="center" wrapText="1"/>
    </xf>
    <xf numFmtId="0" fontId="13" fillId="9" borderId="49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/>
    <xf numFmtId="0" fontId="1" fillId="0" borderId="2" xfId="0" applyNumberFormat="1" applyFont="1" applyFill="1" applyBorder="1" applyAlignment="1" applyProtection="1">
      <alignment horizontal="center" vertical="center"/>
    </xf>
    <xf numFmtId="4" fontId="1" fillId="0" borderId="4" xfId="2" applyNumberFormat="1" applyBorder="1" applyAlignment="1">
      <alignment horizontal="left"/>
    </xf>
    <xf numFmtId="10" fontId="1" fillId="0" borderId="1" xfId="5" applyNumberFormat="1" applyFont="1" applyFill="1" applyBorder="1" applyAlignment="1">
      <alignment horizontal="center"/>
    </xf>
    <xf numFmtId="4" fontId="1" fillId="0" borderId="2" xfId="2" applyNumberFormat="1" applyFont="1" applyFill="1" applyBorder="1" applyAlignment="1">
      <alignment horizontal="right" vertical="center"/>
    </xf>
    <xf numFmtId="0" fontId="55" fillId="0" borderId="0" xfId="4" applyFont="1" applyAlignment="1">
      <alignment vertical="center" wrapText="1"/>
    </xf>
    <xf numFmtId="0" fontId="55" fillId="0" borderId="0" xfId="4" applyFont="1"/>
    <xf numFmtId="0" fontId="55" fillId="0" borderId="0" xfId="4" applyFont="1" applyAlignment="1">
      <alignment horizontal="center" vertical="center"/>
    </xf>
    <xf numFmtId="0" fontId="55" fillId="0" borderId="0" xfId="4" applyFont="1" applyAlignment="1">
      <alignment vertical="center"/>
    </xf>
    <xf numFmtId="0" fontId="55" fillId="0" borderId="0" xfId="4" applyFont="1" applyAlignment="1">
      <alignment horizontal="right"/>
    </xf>
    <xf numFmtId="0" fontId="55" fillId="0" borderId="0" xfId="4" applyFont="1" applyAlignment="1">
      <alignment horizontal="left"/>
    </xf>
    <xf numFmtId="173" fontId="2" fillId="7" borderId="0" xfId="0" applyNumberFormat="1" applyFont="1" applyFill="1" applyBorder="1" applyAlignment="1" applyProtection="1">
      <alignment horizontal="right" vertical="center"/>
    </xf>
    <xf numFmtId="0" fontId="1" fillId="0" borderId="2" xfId="4" applyFill="1" applyBorder="1"/>
    <xf numFmtId="0" fontId="1" fillId="0" borderId="2" xfId="4" applyFont="1" applyFill="1" applyBorder="1"/>
    <xf numFmtId="181" fontId="1" fillId="0" borderId="1" xfId="2" applyNumberFormat="1" applyFill="1" applyBorder="1" applyAlignment="1">
      <alignment horizontal="right" vertical="center" wrapText="1"/>
    </xf>
    <xf numFmtId="4" fontId="1" fillId="0" borderId="2" xfId="4" applyNumberFormat="1" applyFill="1" applyBorder="1"/>
    <xf numFmtId="0" fontId="0" fillId="0" borderId="2" xfId="4" applyFont="1" applyFill="1" applyBorder="1"/>
    <xf numFmtId="0" fontId="6" fillId="0" borderId="0" xfId="4" applyFont="1" applyBorder="1" applyAlignment="1">
      <alignment wrapText="1"/>
    </xf>
    <xf numFmtId="0" fontId="1" fillId="0" borderId="3" xfId="4" applyFill="1" applyBorder="1"/>
    <xf numFmtId="0" fontId="1" fillId="0" borderId="4" xfId="4" applyFill="1" applyBorder="1"/>
    <xf numFmtId="0" fontId="1" fillId="0" borderId="1" xfId="4" applyFill="1" applyBorder="1"/>
    <xf numFmtId="4" fontId="1" fillId="0" borderId="1" xfId="4" applyNumberFormat="1" applyFill="1" applyBorder="1"/>
    <xf numFmtId="10" fontId="1" fillId="0" borderId="1" xfId="4" applyNumberFormat="1" applyFill="1" applyBorder="1" applyAlignment="1">
      <alignment horizontal="center"/>
    </xf>
    <xf numFmtId="4" fontId="1" fillId="0" borderId="2" xfId="2" applyNumberFormat="1" applyFill="1" applyBorder="1" applyAlignment="1">
      <alignment horizontal="right" wrapText="1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/>
    <xf numFmtId="0" fontId="17" fillId="0" borderId="0" xfId="4" applyFont="1" applyFill="1" applyBorder="1" applyAlignment="1">
      <alignment vertical="center" wrapText="1"/>
    </xf>
    <xf numFmtId="4" fontId="3" fillId="0" borderId="2" xfId="0" applyNumberFormat="1" applyFont="1" applyFill="1" applyBorder="1"/>
    <xf numFmtId="4" fontId="0" fillId="0" borderId="2" xfId="0" applyNumberFormat="1" applyFill="1" applyBorder="1"/>
    <xf numFmtId="4" fontId="0" fillId="0" borderId="3" xfId="0" applyNumberFormat="1" applyFill="1" applyBorder="1"/>
    <xf numFmtId="4" fontId="0" fillId="0" borderId="4" xfId="0" quotePrefix="1" applyNumberFormat="1" applyFill="1" applyBorder="1" applyAlignment="1">
      <alignment horizontal="center"/>
    </xf>
    <xf numFmtId="9" fontId="10" fillId="0" borderId="1" xfId="5" applyFont="1" applyFill="1" applyBorder="1"/>
    <xf numFmtId="4" fontId="0" fillId="0" borderId="4" xfId="0" quotePrefix="1" applyNumberFormat="1" applyFill="1" applyBorder="1"/>
    <xf numFmtId="0" fontId="0" fillId="0" borderId="2" xfId="0" applyFill="1" applyBorder="1"/>
    <xf numFmtId="0" fontId="10" fillId="0" borderId="2" xfId="0" applyFont="1" applyFill="1" applyBorder="1"/>
    <xf numFmtId="0" fontId="6" fillId="0" borderId="0" xfId="0" applyFont="1" applyFill="1"/>
    <xf numFmtId="0" fontId="1" fillId="0" borderId="2" xfId="0" applyFont="1" applyFill="1" applyBorder="1"/>
    <xf numFmtId="0" fontId="6" fillId="0" borderId="2" xfId="0" applyFont="1" applyFill="1" applyBorder="1"/>
    <xf numFmtId="10" fontId="0" fillId="0" borderId="2" xfId="0" applyNumberFormat="1" applyFill="1" applyBorder="1"/>
    <xf numFmtId="4" fontId="0" fillId="0" borderId="0" xfId="0" applyNumberFormat="1" applyFill="1"/>
    <xf numFmtId="0" fontId="1" fillId="0" borderId="0" xfId="0" applyFont="1" applyFill="1"/>
    <xf numFmtId="9" fontId="0" fillId="0" borderId="0" xfId="5" applyFont="1" applyFill="1"/>
    <xf numFmtId="10" fontId="0" fillId="0" borderId="0" xfId="0" applyNumberFormat="1" applyFill="1"/>
    <xf numFmtId="4" fontId="1" fillId="0" borderId="2" xfId="2" applyNumberFormat="1" applyFont="1" applyBorder="1" applyAlignment="1">
      <alignment horizontal="centerContinuous"/>
    </xf>
    <xf numFmtId="0" fontId="19" fillId="0" borderId="0" xfId="0" applyFont="1" applyAlignment="1">
      <alignment horizontal="left" vertical="center"/>
    </xf>
    <xf numFmtId="4" fontId="1" fillId="0" borderId="3" xfId="2" applyNumberFormat="1" applyBorder="1" applyAlignment="1">
      <alignment horizontal="center"/>
    </xf>
    <xf numFmtId="0" fontId="0" fillId="0" borderId="4" xfId="0" applyBorder="1"/>
    <xf numFmtId="168" fontId="1" fillId="0" borderId="3" xfId="2" applyBorder="1" applyAlignment="1">
      <alignment horizontal="right" vertical="center" wrapText="1"/>
    </xf>
    <xf numFmtId="168" fontId="1" fillId="0" borderId="3" xfId="2" applyFill="1" applyBorder="1" applyAlignment="1">
      <alignment horizontal="right" vertical="center" wrapText="1"/>
    </xf>
    <xf numFmtId="0" fontId="1" fillId="0" borderId="2" xfId="4" applyBorder="1" applyAlignment="1">
      <alignment horizontal="center"/>
    </xf>
    <xf numFmtId="4" fontId="19" fillId="3" borderId="2" xfId="0" applyNumberFormat="1" applyFont="1" applyFill="1" applyBorder="1" applyAlignment="1" applyProtection="1">
      <alignment horizontal="center" vertical="center"/>
    </xf>
    <xf numFmtId="0" fontId="6" fillId="0" borderId="2" xfId="0" applyNumberFormat="1" applyFont="1" applyFill="1" applyBorder="1" applyAlignment="1" applyProtection="1">
      <alignment horizontal="center" vertical="center"/>
    </xf>
    <xf numFmtId="0" fontId="1" fillId="0" borderId="2" xfId="4" applyFill="1" applyBorder="1" applyAlignment="1">
      <alignment horizontal="center"/>
    </xf>
    <xf numFmtId="0" fontId="1" fillId="0" borderId="18" xfId="4" applyBorder="1" applyAlignment="1">
      <alignment horizontal="left"/>
    </xf>
    <xf numFmtId="0" fontId="1" fillId="0" borderId="2" xfId="4" applyBorder="1" applyAlignment="1">
      <alignment horizontal="left"/>
    </xf>
    <xf numFmtId="0" fontId="31" fillId="0" borderId="16" xfId="4" applyFont="1" applyBorder="1" applyAlignment="1">
      <alignment horizontal="left"/>
    </xf>
    <xf numFmtId="0" fontId="1" fillId="0" borderId="1" xfId="4" applyBorder="1" applyAlignment="1">
      <alignment horizontal="center"/>
    </xf>
    <xf numFmtId="0" fontId="31" fillId="7" borderId="4" xfId="4" applyFont="1" applyFill="1" applyBorder="1" applyAlignment="1">
      <alignment horizontal="left"/>
    </xf>
    <xf numFmtId="0" fontId="31" fillId="0" borderId="23" xfId="4" applyFont="1" applyBorder="1" applyAlignment="1">
      <alignment horizontal="left"/>
    </xf>
    <xf numFmtId="0" fontId="1" fillId="0" borderId="13" xfId="4" applyBorder="1" applyAlignment="1">
      <alignment horizontal="left"/>
    </xf>
    <xf numFmtId="0" fontId="27" fillId="7" borderId="18" xfId="4" applyFont="1" applyFill="1" applyBorder="1" applyAlignment="1">
      <alignment horizontal="left"/>
    </xf>
    <xf numFmtId="0" fontId="27" fillId="7" borderId="2" xfId="4" applyFont="1" applyFill="1" applyBorder="1" applyAlignment="1">
      <alignment horizontal="left"/>
    </xf>
    <xf numFmtId="0" fontId="26" fillId="8" borderId="2" xfId="4" applyFont="1" applyFill="1" applyBorder="1" applyAlignment="1">
      <alignment horizontal="center" vertical="center"/>
    </xf>
    <xf numFmtId="0" fontId="26" fillId="8" borderId="2" xfId="4" applyFont="1" applyFill="1" applyBorder="1" applyAlignment="1">
      <alignment horizontal="center" vertical="center" wrapText="1"/>
    </xf>
    <xf numFmtId="0" fontId="1" fillId="0" borderId="16" xfId="4" applyFont="1" applyBorder="1" applyAlignment="1">
      <alignment horizontal="left"/>
    </xf>
    <xf numFmtId="0" fontId="1" fillId="0" borderId="4" xfId="4" applyFont="1" applyBorder="1" applyAlignment="1">
      <alignment horizontal="left"/>
    </xf>
    <xf numFmtId="0" fontId="1" fillId="0" borderId="1" xfId="4" applyFont="1" applyBorder="1" applyAlignment="1">
      <alignment horizontal="left"/>
    </xf>
    <xf numFmtId="0" fontId="1" fillId="4" borderId="2" xfId="4" applyFill="1" applyBorder="1" applyAlignment="1">
      <alignment horizontal="center"/>
    </xf>
    <xf numFmtId="0" fontId="47" fillId="0" borderId="2" xfId="7" applyFont="1" applyBorder="1" applyAlignment="1">
      <alignment horizontal="left" vertical="top" wrapText="1"/>
    </xf>
    <xf numFmtId="0" fontId="46" fillId="0" borderId="56" xfId="7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1" fillId="0" borderId="16" xfId="4" applyBorder="1" applyAlignment="1">
      <alignment horizontal="left"/>
    </xf>
    <xf numFmtId="0" fontId="1" fillId="0" borderId="4" xfId="4" applyBorder="1" applyAlignment="1">
      <alignment horizontal="left"/>
    </xf>
    <xf numFmtId="0" fontId="1" fillId="0" borderId="1" xfId="4" applyBorder="1" applyAlignment="1">
      <alignment horizontal="left"/>
    </xf>
    <xf numFmtId="0" fontId="1" fillId="8" borderId="5" xfId="4" applyFill="1" applyBorder="1" applyAlignment="1">
      <alignment horizontal="center" vertical="center" wrapText="1"/>
    </xf>
    <xf numFmtId="0" fontId="27" fillId="7" borderId="16" xfId="4" applyFont="1" applyFill="1" applyBorder="1" applyAlignment="1">
      <alignment horizontal="left"/>
    </xf>
    <xf numFmtId="0" fontId="27" fillId="7" borderId="4" xfId="4" applyFont="1" applyFill="1" applyBorder="1" applyAlignment="1">
      <alignment horizontal="left"/>
    </xf>
    <xf numFmtId="0" fontId="27" fillId="7" borderId="11" xfId="4" applyFont="1" applyFill="1" applyBorder="1" applyAlignment="1">
      <alignment horizontal="left"/>
    </xf>
    <xf numFmtId="2" fontId="1" fillId="0" borderId="3" xfId="4" applyNumberFormat="1" applyBorder="1" applyAlignment="1">
      <alignment horizontal="center"/>
    </xf>
    <xf numFmtId="0" fontId="26" fillId="8" borderId="3" xfId="4" applyFont="1" applyFill="1" applyBorder="1" applyAlignment="1">
      <alignment horizontal="center" vertical="center" wrapText="1"/>
    </xf>
    <xf numFmtId="0" fontId="31" fillId="0" borderId="18" xfId="4" applyFont="1" applyBorder="1" applyAlignment="1">
      <alignment horizontal="left"/>
    </xf>
    <xf numFmtId="0" fontId="26" fillId="8" borderId="5" xfId="4" applyFont="1" applyFill="1" applyBorder="1" applyAlignment="1">
      <alignment horizontal="center" vertical="center" wrapText="1"/>
    </xf>
    <xf numFmtId="0" fontId="31" fillId="0" borderId="2" xfId="4" applyFont="1" applyBorder="1" applyAlignment="1">
      <alignment horizontal="left"/>
    </xf>
    <xf numFmtId="0" fontId="26" fillId="8" borderId="5" xfId="4" applyFont="1" applyFill="1" applyBorder="1" applyAlignment="1">
      <alignment horizontal="center" vertical="center"/>
    </xf>
    <xf numFmtId="0" fontId="31" fillId="9" borderId="18" xfId="4" applyFont="1" applyFill="1" applyBorder="1" applyAlignment="1">
      <alignment horizontal="left"/>
    </xf>
    <xf numFmtId="0" fontId="31" fillId="9" borderId="2" xfId="4" applyFont="1" applyFill="1" applyBorder="1" applyAlignment="1">
      <alignment horizontal="left"/>
    </xf>
    <xf numFmtId="0" fontId="26" fillId="9" borderId="2" xfId="4" applyFont="1" applyFill="1" applyBorder="1" applyAlignment="1">
      <alignment horizontal="left"/>
    </xf>
    <xf numFmtId="0" fontId="31" fillId="9" borderId="23" xfId="4" applyFont="1" applyFill="1" applyBorder="1" applyAlignment="1">
      <alignment horizontal="left"/>
    </xf>
    <xf numFmtId="0" fontId="31" fillId="9" borderId="13" xfId="4" applyFont="1" applyFill="1" applyBorder="1" applyAlignment="1">
      <alignment horizontal="left"/>
    </xf>
    <xf numFmtId="0" fontId="3" fillId="0" borderId="16" xfId="4" applyFont="1" applyBorder="1" applyAlignment="1">
      <alignment horizontal="left"/>
    </xf>
    <xf numFmtId="0" fontId="1" fillId="0" borderId="16" xfId="4" applyBorder="1" applyAlignment="1"/>
    <xf numFmtId="0" fontId="1" fillId="0" borderId="18" xfId="4" applyBorder="1" applyAlignment="1">
      <alignment horizontal="left" vertical="center"/>
    </xf>
    <xf numFmtId="0" fontId="1" fillId="0" borderId="2" xfId="4" applyBorder="1" applyAlignment="1">
      <alignment horizontal="left" vertical="center"/>
    </xf>
    <xf numFmtId="0" fontId="31" fillId="9" borderId="4" xfId="4" applyFont="1" applyFill="1" applyBorder="1" applyAlignment="1">
      <alignment horizontal="left"/>
    </xf>
    <xf numFmtId="0" fontId="31" fillId="9" borderId="1" xfId="4" applyFont="1" applyFill="1" applyBorder="1" applyAlignment="1">
      <alignment horizontal="left"/>
    </xf>
    <xf numFmtId="0" fontId="1" fillId="9" borderId="2" xfId="4" applyFill="1" applyBorder="1" applyAlignment="1">
      <alignment horizontal="left"/>
    </xf>
    <xf numFmtId="0" fontId="31" fillId="9" borderId="16" xfId="4" applyFont="1" applyFill="1" applyBorder="1" applyAlignment="1">
      <alignment horizontal="left"/>
    </xf>
    <xf numFmtId="0" fontId="1" fillId="9" borderId="4" xfId="4" applyFill="1" applyBorder="1" applyAlignment="1">
      <alignment horizontal="left"/>
    </xf>
    <xf numFmtId="0" fontId="1" fillId="9" borderId="1" xfId="4" applyFill="1" applyBorder="1" applyAlignment="1">
      <alignment horizontal="left"/>
    </xf>
    <xf numFmtId="0" fontId="6" fillId="0" borderId="16" xfId="4" applyFont="1" applyBorder="1" applyAlignment="1">
      <alignment horizontal="left"/>
    </xf>
    <xf numFmtId="0" fontId="6" fillId="0" borderId="4" xfId="4" applyFont="1" applyBorder="1" applyAlignment="1">
      <alignment horizontal="left"/>
    </xf>
    <xf numFmtId="0" fontId="6" fillId="0" borderId="11" xfId="4" applyFont="1" applyBorder="1" applyAlignment="1">
      <alignment horizontal="left"/>
    </xf>
    <xf numFmtId="0" fontId="6" fillId="7" borderId="4" xfId="4" applyFont="1" applyFill="1" applyBorder="1" applyAlignment="1">
      <alignment horizontal="left"/>
    </xf>
    <xf numFmtId="0" fontId="6" fillId="7" borderId="11" xfId="4" applyFont="1" applyFill="1" applyBorder="1" applyAlignment="1">
      <alignment horizontal="left"/>
    </xf>
    <xf numFmtId="0" fontId="1" fillId="0" borderId="3" xfId="4" applyBorder="1" applyAlignment="1">
      <alignment horizontal="center"/>
    </xf>
    <xf numFmtId="0" fontId="1" fillId="0" borderId="23" xfId="4" applyBorder="1" applyAlignment="1">
      <alignment horizontal="left"/>
    </xf>
    <xf numFmtId="0" fontId="1" fillId="0" borderId="5" xfId="4" applyBorder="1" applyAlignment="1">
      <alignment horizontal="center" vertical="center" wrapText="1"/>
    </xf>
    <xf numFmtId="10" fontId="1" fillId="0" borderId="0" xfId="0" applyNumberFormat="1" applyFont="1" applyBorder="1" applyProtection="1"/>
    <xf numFmtId="0" fontId="1" fillId="0" borderId="48" xfId="0" applyFont="1" applyBorder="1" applyAlignment="1" applyProtection="1"/>
    <xf numFmtId="10" fontId="1" fillId="0" borderId="2" xfId="0" applyNumberFormat="1" applyFont="1" applyFill="1" applyBorder="1"/>
    <xf numFmtId="0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justify" vertical="center" wrapText="1"/>
    </xf>
    <xf numFmtId="0" fontId="1" fillId="0" borderId="0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4" fontId="1" fillId="0" borderId="2" xfId="0" applyNumberFormat="1" applyFont="1" applyBorder="1" applyAlignment="1" applyProtection="1">
      <alignment horizontal="right" vertical="center"/>
    </xf>
    <xf numFmtId="0" fontId="1" fillId="9" borderId="2" xfId="0" applyFont="1" applyFill="1" applyBorder="1" applyAlignment="1" applyProtection="1">
      <alignment horizontal="center" vertical="center"/>
    </xf>
    <xf numFmtId="4" fontId="1" fillId="9" borderId="2" xfId="0" applyNumberFormat="1" applyFont="1" applyFill="1" applyBorder="1" applyAlignment="1" applyProtection="1">
      <alignment horizontal="right" vertical="center"/>
    </xf>
    <xf numFmtId="4" fontId="1" fillId="0" borderId="2" xfId="0" applyNumberFormat="1" applyFont="1" applyBorder="1" applyAlignment="1" applyProtection="1">
      <alignment horizontal="center" vertical="center"/>
    </xf>
    <xf numFmtId="4" fontId="1" fillId="0" borderId="2" xfId="0" applyNumberFormat="1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justify" vertical="center" wrapText="1"/>
    </xf>
    <xf numFmtId="0" fontId="1" fillId="0" borderId="0" xfId="0" applyFont="1" applyFill="1" applyBorder="1" applyAlignment="1" applyProtection="1">
      <alignment vertical="center"/>
    </xf>
    <xf numFmtId="0" fontId="1" fillId="0" borderId="18" xfId="0" applyFont="1" applyBorder="1" applyAlignment="1" applyProtection="1">
      <alignment horizontal="center" vertical="center"/>
    </xf>
    <xf numFmtId="0" fontId="1" fillId="0" borderId="64" xfId="0" applyFont="1" applyBorder="1" applyAlignment="1" applyProtection="1">
      <alignment horizontal="center" vertical="center"/>
    </xf>
    <xf numFmtId="0" fontId="1" fillId="0" borderId="57" xfId="0" applyFont="1" applyBorder="1" applyAlignment="1" applyProtection="1">
      <alignment horizontal="justify" vertical="center" wrapText="1"/>
    </xf>
    <xf numFmtId="0" fontId="1" fillId="0" borderId="57" xfId="0" applyFont="1" applyBorder="1" applyAlignment="1" applyProtection="1">
      <alignment horizontal="center" vertical="center"/>
    </xf>
    <xf numFmtId="4" fontId="1" fillId="0" borderId="0" xfId="0" applyNumberFormat="1" applyFont="1" applyFill="1" applyBorder="1" applyAlignment="1" applyProtection="1">
      <alignment horizontal="right" vertical="center"/>
    </xf>
    <xf numFmtId="0" fontId="1" fillId="0" borderId="89" xfId="0" applyNumberFormat="1" applyFont="1" applyFill="1" applyBorder="1" applyAlignment="1" applyProtection="1">
      <alignment horizontal="center" vertical="center"/>
    </xf>
    <xf numFmtId="4" fontId="1" fillId="0" borderId="89" xfId="0" applyNumberFormat="1" applyFont="1" applyFill="1" applyBorder="1" applyAlignment="1" applyProtection="1">
      <alignment horizontal="center" vertical="center"/>
    </xf>
    <xf numFmtId="2" fontId="1" fillId="7" borderId="0" xfId="0" applyNumberFormat="1" applyFont="1" applyFill="1" applyBorder="1" applyAlignment="1" applyProtection="1">
      <alignment horizontal="center" vertical="center"/>
    </xf>
    <xf numFmtId="0" fontId="1" fillId="7" borderId="0" xfId="0" applyFont="1" applyFill="1" applyBorder="1" applyAlignment="1" applyProtection="1">
      <alignment horizontal="justify" vertical="center" wrapText="1"/>
    </xf>
    <xf numFmtId="0" fontId="1" fillId="7" borderId="0" xfId="0" applyFont="1" applyFill="1" applyBorder="1" applyAlignment="1" applyProtection="1">
      <alignment horizontal="center" vertical="center"/>
    </xf>
    <xf numFmtId="0" fontId="1" fillId="0" borderId="57" xfId="0" applyNumberFormat="1" applyFont="1" applyFill="1" applyBorder="1" applyAlignment="1" applyProtection="1">
      <alignment vertical="top" wrapText="1"/>
    </xf>
    <xf numFmtId="3" fontId="1" fillId="0" borderId="18" xfId="0" applyNumberFormat="1" applyFont="1" applyFill="1" applyBorder="1" applyAlignment="1" applyProtection="1">
      <alignment horizontal="center" vertical="center"/>
    </xf>
    <xf numFmtId="3" fontId="1" fillId="0" borderId="2" xfId="0" applyNumberFormat="1" applyFont="1" applyFill="1" applyBorder="1" applyAlignment="1" applyProtection="1">
      <alignment horizontal="left" vertical="center" wrapText="1"/>
    </xf>
    <xf numFmtId="3" fontId="1" fillId="0" borderId="23" xfId="0" applyNumberFormat="1" applyFont="1" applyFill="1" applyBorder="1" applyAlignment="1" applyProtection="1">
      <alignment horizontal="center" vertical="center"/>
    </xf>
    <xf numFmtId="3" fontId="1" fillId="0" borderId="13" xfId="0" applyNumberFormat="1" applyFont="1" applyFill="1" applyBorder="1" applyAlignment="1" applyProtection="1">
      <alignment horizontal="left" vertical="center" wrapText="1"/>
    </xf>
    <xf numFmtId="168" fontId="1" fillId="7" borderId="22" xfId="2" applyFont="1" applyFill="1" applyBorder="1" applyAlignment="1">
      <alignment horizontal="right" wrapText="1"/>
    </xf>
    <xf numFmtId="168" fontId="1" fillId="7" borderId="19" xfId="4" applyNumberFormat="1" applyFont="1" applyFill="1" applyBorder="1" applyAlignment="1">
      <alignment horizontal="right" wrapText="1"/>
    </xf>
    <xf numFmtId="0" fontId="1" fillId="9" borderId="2" xfId="4" applyFont="1" applyFill="1" applyBorder="1" applyAlignment="1">
      <alignment horizontal="center"/>
    </xf>
    <xf numFmtId="4" fontId="1" fillId="9" borderId="2" xfId="4" applyNumberFormat="1" applyFont="1" applyFill="1" applyBorder="1" applyAlignment="1">
      <alignment horizontal="right"/>
    </xf>
    <xf numFmtId="4" fontId="1" fillId="9" borderId="2" xfId="2" applyNumberFormat="1" applyFont="1" applyFill="1" applyBorder="1" applyAlignment="1">
      <alignment horizontal="centerContinuous"/>
    </xf>
    <xf numFmtId="168" fontId="1" fillId="9" borderId="2" xfId="2" applyFont="1" applyFill="1" applyBorder="1" applyAlignment="1">
      <alignment horizontal="right" wrapText="1"/>
    </xf>
    <xf numFmtId="168" fontId="1" fillId="9" borderId="22" xfId="4" applyNumberFormat="1" applyFont="1" applyFill="1" applyBorder="1" applyAlignment="1">
      <alignment horizontal="right" wrapText="1"/>
    </xf>
    <xf numFmtId="0" fontId="3" fillId="0" borderId="16" xfId="4" applyFont="1" applyBorder="1" applyAlignment="1"/>
    <xf numFmtId="0" fontId="3" fillId="0" borderId="18" xfId="4" applyFont="1" applyBorder="1" applyAlignment="1"/>
    <xf numFmtId="4" fontId="1" fillId="7" borderId="19" xfId="4" applyNumberFormat="1" applyFont="1" applyFill="1" applyBorder="1" applyAlignment="1"/>
    <xf numFmtId="4" fontId="1" fillId="9" borderId="21" xfId="4" applyNumberFormat="1" applyFont="1" applyFill="1" applyBorder="1" applyAlignment="1"/>
    <xf numFmtId="4" fontId="1" fillId="0" borderId="21" xfId="4" applyNumberFormat="1" applyFont="1" applyBorder="1" applyAlignment="1"/>
    <xf numFmtId="4" fontId="1" fillId="9" borderId="22" xfId="4" applyNumberFormat="1" applyFont="1" applyFill="1" applyBorder="1" applyAlignment="1"/>
    <xf numFmtId="4" fontId="1" fillId="7" borderId="22" xfId="2" applyNumberFormat="1" applyFont="1" applyFill="1" applyBorder="1" applyAlignment="1">
      <alignment horizontal="right" wrapText="1"/>
    </xf>
    <xf numFmtId="0" fontId="1" fillId="0" borderId="21" xfId="4" applyFont="1" applyBorder="1" applyAlignment="1"/>
    <xf numFmtId="0" fontId="1" fillId="9" borderId="21" xfId="4" applyFont="1" applyFill="1" applyBorder="1" applyAlignment="1"/>
    <xf numFmtId="0" fontId="1" fillId="0" borderId="22" xfId="4" applyFont="1" applyFill="1" applyBorder="1" applyAlignment="1"/>
    <xf numFmtId="168" fontId="1" fillId="7" borderId="22" xfId="4" applyNumberFormat="1" applyFont="1" applyFill="1" applyBorder="1" applyAlignment="1">
      <alignment horizontal="right" wrapText="1"/>
    </xf>
    <xf numFmtId="4" fontId="1" fillId="0" borderId="21" xfId="4" applyNumberFormat="1" applyFont="1" applyFill="1" applyBorder="1" applyAlignment="1"/>
    <xf numFmtId="168" fontId="1" fillId="7" borderId="19" xfId="2" applyFont="1" applyFill="1" applyBorder="1" applyAlignment="1">
      <alignment horizontal="right" wrapText="1"/>
    </xf>
    <xf numFmtId="168" fontId="1" fillId="0" borderId="22" xfId="4" applyNumberFormat="1" applyFont="1" applyBorder="1" applyAlignment="1">
      <alignment horizontal="right" wrapText="1"/>
    </xf>
    <xf numFmtId="0" fontId="1" fillId="0" borderId="21" xfId="4" applyFont="1" applyFill="1" applyBorder="1" applyAlignment="1"/>
    <xf numFmtId="0" fontId="1" fillId="9" borderId="22" xfId="4" applyFont="1" applyFill="1" applyBorder="1" applyAlignment="1"/>
    <xf numFmtId="0" fontId="1" fillId="9" borderId="2" xfId="4" applyFont="1" applyFill="1" applyBorder="1" applyAlignment="1">
      <alignment horizontal="left"/>
    </xf>
    <xf numFmtId="0" fontId="1" fillId="9" borderId="3" xfId="4" applyFont="1" applyFill="1" applyBorder="1" applyAlignment="1">
      <alignment horizontal="left"/>
    </xf>
    <xf numFmtId="0" fontId="1" fillId="9" borderId="4" xfId="4" applyFont="1" applyFill="1" applyBorder="1" applyAlignment="1">
      <alignment horizontal="left"/>
    </xf>
    <xf numFmtId="0" fontId="1" fillId="9" borderId="1" xfId="4" applyFont="1" applyFill="1" applyBorder="1" applyAlignment="1">
      <alignment horizontal="left"/>
    </xf>
    <xf numFmtId="168" fontId="1" fillId="6" borderId="22" xfId="2" applyFont="1" applyFill="1" applyBorder="1" applyAlignment="1">
      <alignment horizontal="right" wrapText="1"/>
    </xf>
    <xf numFmtId="4" fontId="1" fillId="9" borderId="3" xfId="4" applyNumberFormat="1" applyFont="1" applyFill="1" applyBorder="1" applyAlignment="1">
      <alignment horizontal="centerContinuous"/>
    </xf>
    <xf numFmtId="4" fontId="1" fillId="9" borderId="1" xfId="4" applyNumberFormat="1" applyFont="1" applyFill="1" applyBorder="1" applyAlignment="1">
      <alignment horizontal="centerContinuous"/>
    </xf>
    <xf numFmtId="2" fontId="1" fillId="9" borderId="2" xfId="4" applyNumberFormat="1" applyFont="1" applyFill="1" applyBorder="1" applyAlignment="1">
      <alignment horizontal="right"/>
    </xf>
    <xf numFmtId="4" fontId="1" fillId="0" borderId="3" xfId="4" applyNumberFormat="1" applyFont="1" applyBorder="1" applyAlignment="1">
      <alignment horizontal="centerContinuous"/>
    </xf>
    <xf numFmtId="4" fontId="1" fillId="0" borderId="1" xfId="4" applyNumberFormat="1" applyFont="1" applyBorder="1" applyAlignment="1">
      <alignment horizontal="centerContinuous"/>
    </xf>
    <xf numFmtId="2" fontId="1" fillId="0" borderId="2" xfId="4" applyNumberFormat="1" applyFont="1" applyBorder="1" applyAlignment="1">
      <alignment horizontal="right"/>
    </xf>
    <xf numFmtId="4" fontId="1" fillId="0" borderId="2" xfId="4" applyNumberFormat="1" applyFont="1" applyBorder="1" applyAlignment="1">
      <alignment horizontal="centerContinuous"/>
    </xf>
    <xf numFmtId="0" fontId="1" fillId="9" borderId="13" xfId="4" applyFont="1" applyFill="1" applyBorder="1" applyAlignment="1">
      <alignment horizontal="left"/>
    </xf>
    <xf numFmtId="4" fontId="1" fillId="7" borderId="19" xfId="2" applyNumberFormat="1" applyFont="1" applyFill="1" applyBorder="1" applyAlignment="1">
      <alignment horizontal="right" wrapText="1"/>
    </xf>
    <xf numFmtId="0" fontId="1" fillId="9" borderId="2" xfId="4" applyFont="1" applyFill="1" applyBorder="1" applyAlignment="1">
      <alignment horizontal="centerContinuous"/>
    </xf>
    <xf numFmtId="9" fontId="1" fillId="9" borderId="2" xfId="5" applyFont="1" applyFill="1" applyBorder="1" applyAlignment="1">
      <alignment horizontal="center"/>
    </xf>
    <xf numFmtId="0" fontId="1" fillId="9" borderId="23" xfId="4" applyFont="1" applyFill="1" applyBorder="1" applyAlignment="1"/>
    <xf numFmtId="168" fontId="1" fillId="9" borderId="19" xfId="2" applyFont="1" applyFill="1" applyBorder="1" applyAlignment="1">
      <alignment horizontal="right" wrapText="1"/>
    </xf>
    <xf numFmtId="9" fontId="1" fillId="0" borderId="2" xfId="5" applyFont="1" applyBorder="1" applyAlignment="1">
      <alignment horizontal="center"/>
    </xf>
    <xf numFmtId="0" fontId="1" fillId="0" borderId="3" xfId="4" applyFont="1" applyBorder="1" applyAlignment="1">
      <alignment horizontal="centerContinuous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13" fillId="0" borderId="14" xfId="0" applyFont="1" applyBorder="1" applyAlignment="1" applyProtection="1">
      <alignment horizontal="left"/>
    </xf>
    <xf numFmtId="0" fontId="13" fillId="9" borderId="0" xfId="0" applyFont="1" applyFill="1" applyBorder="1" applyAlignment="1" applyProtection="1">
      <alignment horizontal="left" vertical="center" wrapText="1"/>
    </xf>
    <xf numFmtId="0" fontId="6" fillId="0" borderId="14" xfId="4" applyFont="1" applyBorder="1" applyAlignment="1">
      <alignment horizontal="left" wrapText="1"/>
    </xf>
    <xf numFmtId="0" fontId="6" fillId="0" borderId="0" xfId="4" applyFont="1" applyAlignment="1">
      <alignment horizontal="left" wrapText="1"/>
    </xf>
    <xf numFmtId="0" fontId="19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4" fontId="1" fillId="0" borderId="3" xfId="2" applyNumberFormat="1" applyBorder="1" applyAlignment="1">
      <alignment horizontal="center"/>
    </xf>
    <xf numFmtId="4" fontId="1" fillId="0" borderId="4" xfId="2" applyNumberFormat="1" applyBorder="1" applyAlignment="1">
      <alignment horizontal="center"/>
    </xf>
    <xf numFmtId="4" fontId="1" fillId="0" borderId="1" xfId="2" applyNumberFormat="1" applyBorder="1" applyAlignment="1">
      <alignment horizontal="center"/>
    </xf>
    <xf numFmtId="0" fontId="1" fillId="2" borderId="3" xfId="4" applyFill="1" applyBorder="1" applyAlignment="1">
      <alignment horizontal="center"/>
    </xf>
    <xf numFmtId="0" fontId="1" fillId="2" borderId="4" xfId="4" applyFill="1" applyBorder="1" applyAlignment="1">
      <alignment horizontal="center"/>
    </xf>
    <xf numFmtId="0" fontId="1" fillId="2" borderId="1" xfId="4" applyFill="1" applyBorder="1" applyAlignment="1">
      <alignment horizontal="center"/>
    </xf>
    <xf numFmtId="0" fontId="6" fillId="0" borderId="0" xfId="4" applyFont="1" applyBorder="1" applyAlignment="1">
      <alignment horizontal="center" vertical="center"/>
    </xf>
    <xf numFmtId="0" fontId="0" fillId="0" borderId="4" xfId="0" applyBorder="1" applyAlignment="1"/>
    <xf numFmtId="0" fontId="0" fillId="0" borderId="1" xfId="0" applyBorder="1" applyAlignment="1"/>
    <xf numFmtId="0" fontId="6" fillId="0" borderId="0" xfId="4" applyFont="1" applyBorder="1" applyAlignment="1">
      <alignment horizontal="left" wrapText="1"/>
    </xf>
    <xf numFmtId="4" fontId="0" fillId="0" borderId="2" xfId="0" applyNumberFormat="1" applyFill="1" applyBorder="1" applyAlignment="1">
      <alignment horizontal="center"/>
    </xf>
    <xf numFmtId="0" fontId="11" fillId="0" borderId="2" xfId="0" applyFont="1" applyFill="1" applyBorder="1" applyAlignment="1">
      <alignment horizontal="left"/>
    </xf>
    <xf numFmtId="182" fontId="0" fillId="0" borderId="3" xfId="0" applyNumberFormat="1" applyFill="1" applyBorder="1" applyAlignment="1">
      <alignment horizontal="center"/>
    </xf>
    <xf numFmtId="182" fontId="0" fillId="0" borderId="4" xfId="0" applyNumberFormat="1" applyFill="1" applyBorder="1" applyAlignment="1">
      <alignment horizontal="center"/>
    </xf>
    <xf numFmtId="170" fontId="10" fillId="0" borderId="4" xfId="0" applyNumberFormat="1" applyFont="1" applyFill="1" applyBorder="1" applyAlignment="1">
      <alignment horizontal="center"/>
    </xf>
    <xf numFmtId="170" fontId="10" fillId="0" borderId="1" xfId="0" applyNumberFormat="1" applyFont="1" applyFill="1" applyBorder="1" applyAlignment="1">
      <alignment horizontal="center"/>
    </xf>
    <xf numFmtId="165" fontId="0" fillId="0" borderId="4" xfId="1" applyNumberFormat="1" applyFont="1" applyFill="1" applyBorder="1" applyAlignment="1">
      <alignment horizontal="center"/>
    </xf>
    <xf numFmtId="165" fontId="0" fillId="0" borderId="1" xfId="1" applyNumberFormat="1" applyFont="1" applyFill="1" applyBorder="1" applyAlignment="1">
      <alignment horizontal="center"/>
    </xf>
    <xf numFmtId="170" fontId="0" fillId="0" borderId="4" xfId="0" applyNumberFormat="1" applyFill="1" applyBorder="1" applyAlignment="1">
      <alignment horizontal="center"/>
    </xf>
    <xf numFmtId="170" fontId="0" fillId="0" borderId="1" xfId="0" applyNumberForma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10" fontId="10" fillId="0" borderId="2" xfId="5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" fontId="0" fillId="0" borderId="4" xfId="0" applyNumberFormat="1" applyFill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4" fontId="10" fillId="0" borderId="4" xfId="0" applyNumberFormat="1" applyFont="1" applyFill="1" applyBorder="1" applyAlignment="1">
      <alignment horizontal="center"/>
    </xf>
    <xf numFmtId="4" fontId="10" fillId="0" borderId="1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1" fontId="0" fillId="0" borderId="3" xfId="0" applyNumberFormat="1" applyFill="1" applyBorder="1" applyAlignment="1">
      <alignment horizontal="center"/>
    </xf>
    <xf numFmtId="171" fontId="0" fillId="0" borderId="4" xfId="0" applyNumberFormat="1" applyFill="1" applyBorder="1" applyAlignment="1">
      <alignment horizontal="center"/>
    </xf>
    <xf numFmtId="0" fontId="43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6" fillId="0" borderId="51" xfId="4" applyFont="1" applyBorder="1" applyAlignment="1">
      <alignment horizontal="left" wrapText="1"/>
    </xf>
    <xf numFmtId="0" fontId="6" fillId="0" borderId="0" xfId="0" applyFont="1" applyAlignment="1">
      <alignment horizontal="center" vertical="center" wrapText="1"/>
    </xf>
    <xf numFmtId="168" fontId="1" fillId="0" borderId="3" xfId="2" applyFill="1" applyBorder="1" applyAlignment="1">
      <alignment horizontal="right" vertical="center" wrapText="1"/>
    </xf>
    <xf numFmtId="168" fontId="1" fillId="0" borderId="1" xfId="2" applyFill="1" applyBorder="1" applyAlignment="1">
      <alignment horizontal="right" vertical="center" wrapText="1"/>
    </xf>
    <xf numFmtId="0" fontId="19" fillId="2" borderId="3" xfId="4" applyFont="1" applyFill="1" applyBorder="1" applyAlignment="1">
      <alignment horizontal="center" vertical="center" wrapText="1"/>
    </xf>
    <xf numFmtId="0" fontId="19" fillId="2" borderId="1" xfId="4" applyFont="1" applyFill="1" applyBorder="1" applyAlignment="1">
      <alignment horizontal="center" vertical="center" wrapText="1"/>
    </xf>
    <xf numFmtId="168" fontId="1" fillId="0" borderId="3" xfId="2" applyBorder="1" applyAlignment="1">
      <alignment horizontal="right" vertical="center" wrapText="1"/>
    </xf>
    <xf numFmtId="168" fontId="1" fillId="0" borderId="1" xfId="2" applyBorder="1" applyAlignment="1">
      <alignment horizontal="right" vertical="center" wrapText="1"/>
    </xf>
    <xf numFmtId="0" fontId="19" fillId="0" borderId="0" xfId="0" applyFont="1" applyAlignment="1">
      <alignment horizontal="justify" vertical="center" wrapText="1"/>
    </xf>
    <xf numFmtId="0" fontId="19" fillId="0" borderId="3" xfId="4" applyFont="1" applyBorder="1" applyAlignment="1">
      <alignment horizontal="center"/>
    </xf>
    <xf numFmtId="0" fontId="19" fillId="0" borderId="4" xfId="4" applyFont="1" applyBorder="1" applyAlignment="1">
      <alignment horizontal="center"/>
    </xf>
    <xf numFmtId="0" fontId="19" fillId="0" borderId="1" xfId="4" applyFont="1" applyBorder="1" applyAlignment="1">
      <alignment horizontal="center"/>
    </xf>
    <xf numFmtId="0" fontId="3" fillId="0" borderId="3" xfId="4" applyFont="1" applyFill="1" applyBorder="1" applyAlignment="1">
      <alignment horizontal="center"/>
    </xf>
    <xf numFmtId="0" fontId="3" fillId="0" borderId="1" xfId="4" applyFont="1" applyFill="1" applyBorder="1" applyAlignment="1">
      <alignment horizontal="center"/>
    </xf>
    <xf numFmtId="0" fontId="1" fillId="0" borderId="2" xfId="4" applyBorder="1" applyAlignment="1">
      <alignment horizontal="center"/>
    </xf>
    <xf numFmtId="49" fontId="50" fillId="0" borderId="0" xfId="0" applyNumberFormat="1" applyFont="1" applyFill="1" applyBorder="1" applyAlignment="1" applyProtection="1">
      <alignment horizontal="center" vertical="center" wrapText="1"/>
    </xf>
    <xf numFmtId="49" fontId="49" fillId="0" borderId="0" xfId="0" applyNumberFormat="1" applyFont="1" applyFill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4" fontId="8" fillId="0" borderId="2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 wrapText="1"/>
    </xf>
    <xf numFmtId="4" fontId="6" fillId="0" borderId="2" xfId="0" applyNumberFormat="1" applyFont="1" applyFill="1" applyBorder="1" applyAlignment="1" applyProtection="1">
      <alignment horizontal="right" vertical="center"/>
    </xf>
    <xf numFmtId="0" fontId="6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4" fontId="2" fillId="0" borderId="2" xfId="0" applyNumberFormat="1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left" vertical="center" wrapText="1"/>
    </xf>
    <xf numFmtId="0" fontId="6" fillId="3" borderId="2" xfId="0" applyFont="1" applyFill="1" applyBorder="1" applyAlignment="1" applyProtection="1">
      <alignment horizontal="justify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3" borderId="97" xfId="0" applyFont="1" applyFill="1" applyBorder="1" applyAlignment="1" applyProtection="1">
      <alignment horizontal="justify" vertical="center" wrapText="1"/>
    </xf>
    <xf numFmtId="0" fontId="6" fillId="3" borderId="31" xfId="0" applyFont="1" applyFill="1" applyBorder="1" applyAlignment="1" applyProtection="1">
      <alignment horizontal="justify" vertical="center" wrapText="1"/>
    </xf>
    <xf numFmtId="0" fontId="6" fillId="3" borderId="71" xfId="0" applyFont="1" applyFill="1" applyBorder="1" applyAlignment="1" applyProtection="1">
      <alignment horizontal="justify" vertical="center" wrapText="1"/>
    </xf>
    <xf numFmtId="4" fontId="19" fillId="3" borderId="13" xfId="0" applyNumberFormat="1" applyFont="1" applyFill="1" applyBorder="1" applyAlignment="1" applyProtection="1">
      <alignment horizontal="center" vertical="center" wrapText="1"/>
    </xf>
    <xf numFmtId="4" fontId="19" fillId="3" borderId="5" xfId="0" applyNumberFormat="1" applyFont="1" applyFill="1" applyBorder="1" applyAlignment="1" applyProtection="1">
      <alignment horizontal="center" vertical="center" wrapText="1"/>
    </xf>
    <xf numFmtId="0" fontId="19" fillId="3" borderId="13" xfId="0" applyFont="1" applyFill="1" applyBorder="1" applyAlignment="1" applyProtection="1">
      <alignment horizontal="center" vertical="center" wrapText="1"/>
    </xf>
    <xf numFmtId="0" fontId="19" fillId="3" borderId="5" xfId="0" applyFont="1" applyFill="1" applyBorder="1" applyAlignment="1" applyProtection="1">
      <alignment horizontal="center" vertical="center" wrapText="1"/>
    </xf>
    <xf numFmtId="4" fontId="19" fillId="3" borderId="2" xfId="0" applyNumberFormat="1" applyFont="1" applyFill="1" applyBorder="1" applyAlignment="1" applyProtection="1">
      <alignment horizontal="center" vertical="center" wrapText="1"/>
    </xf>
    <xf numFmtId="4" fontId="19" fillId="3" borderId="43" xfId="0" applyNumberFormat="1" applyFont="1" applyFill="1" applyBorder="1" applyAlignment="1" applyProtection="1">
      <alignment horizontal="center" vertical="center" wrapText="1"/>
    </xf>
    <xf numFmtId="0" fontId="19" fillId="3" borderId="58" xfId="0" applyFont="1" applyFill="1" applyBorder="1" applyAlignment="1" applyProtection="1">
      <alignment horizontal="center" vertical="center" wrapText="1"/>
    </xf>
    <xf numFmtId="0" fontId="3" fillId="3" borderId="18" xfId="0" applyFont="1" applyFill="1" applyBorder="1" applyAlignment="1" applyProtection="1">
      <alignment horizontal="center" vertical="center" wrapText="1"/>
    </xf>
    <xf numFmtId="0" fontId="19" fillId="3" borderId="70" xfId="0" applyFont="1" applyFill="1" applyBorder="1" applyAlignment="1" applyProtection="1">
      <alignment horizontal="center" vertical="center" wrapText="1"/>
    </xf>
    <xf numFmtId="0" fontId="19" fillId="3" borderId="53" xfId="0" applyFont="1" applyFill="1" applyBorder="1" applyAlignment="1" applyProtection="1">
      <alignment horizontal="center" vertical="center" wrapText="1"/>
    </xf>
    <xf numFmtId="0" fontId="19" fillId="3" borderId="6" xfId="0" applyFont="1" applyFill="1" applyBorder="1" applyAlignment="1" applyProtection="1">
      <alignment horizontal="center" vertical="center" wrapText="1"/>
    </xf>
    <xf numFmtId="0" fontId="19" fillId="3" borderId="3" xfId="0" applyFont="1" applyFill="1" applyBorder="1" applyAlignment="1" applyProtection="1">
      <alignment horizontal="center" vertical="center" wrapText="1"/>
    </xf>
    <xf numFmtId="0" fontId="19" fillId="3" borderId="1" xfId="0" applyFont="1" applyFill="1" applyBorder="1" applyAlignment="1" applyProtection="1">
      <alignment horizontal="center" vertical="center" wrapText="1"/>
    </xf>
    <xf numFmtId="171" fontId="6" fillId="3" borderId="2" xfId="0" applyNumberFormat="1" applyFont="1" applyFill="1" applyBorder="1" applyAlignment="1" applyProtection="1">
      <alignment horizontal="center" vertical="center"/>
    </xf>
    <xf numFmtId="171" fontId="19" fillId="3" borderId="2" xfId="0" applyNumberFormat="1" applyFont="1" applyFill="1" applyBorder="1" applyAlignment="1" applyProtection="1">
      <alignment horizontal="center" vertical="center"/>
    </xf>
    <xf numFmtId="4" fontId="19" fillId="3" borderId="2" xfId="0" applyNumberFormat="1" applyFont="1" applyFill="1" applyBorder="1" applyAlignment="1" applyProtection="1">
      <alignment horizontal="center" vertical="center"/>
    </xf>
    <xf numFmtId="172" fontId="19" fillId="3" borderId="2" xfId="0" applyNumberFormat="1" applyFont="1" applyFill="1" applyBorder="1" applyAlignment="1" applyProtection="1">
      <alignment horizontal="center" vertical="center" wrapText="1"/>
    </xf>
    <xf numFmtId="172" fontId="19" fillId="3" borderId="43" xfId="0" applyNumberFormat="1" applyFont="1" applyFill="1" applyBorder="1" applyAlignment="1" applyProtection="1">
      <alignment horizontal="center" vertical="center" wrapText="1"/>
    </xf>
    <xf numFmtId="0" fontId="6" fillId="3" borderId="3" xfId="0" applyFont="1" applyFill="1" applyBorder="1" applyAlignment="1" applyProtection="1">
      <alignment horizontal="justify" vertical="center" wrapText="1"/>
    </xf>
    <xf numFmtId="0" fontId="6" fillId="3" borderId="4" xfId="0" applyFont="1" applyFill="1" applyBorder="1" applyAlignment="1" applyProtection="1">
      <alignment horizontal="justify" vertical="center" wrapText="1"/>
    </xf>
    <xf numFmtId="0" fontId="6" fillId="3" borderId="1" xfId="0" applyFont="1" applyFill="1" applyBorder="1" applyAlignment="1" applyProtection="1">
      <alignment horizontal="justify" vertical="center" wrapText="1"/>
    </xf>
    <xf numFmtId="0" fontId="19" fillId="3" borderId="2" xfId="0" applyFont="1" applyFill="1" applyBorder="1" applyAlignment="1" applyProtection="1">
      <alignment horizontal="center" vertical="center" wrapText="1"/>
    </xf>
    <xf numFmtId="172" fontId="19" fillId="3" borderId="13" xfId="0" applyNumberFormat="1" applyFont="1" applyFill="1" applyBorder="1" applyAlignment="1" applyProtection="1">
      <alignment horizontal="center" vertical="center" wrapText="1"/>
    </xf>
    <xf numFmtId="172" fontId="19" fillId="3" borderId="5" xfId="0" applyNumberFormat="1" applyFont="1" applyFill="1" applyBorder="1" applyAlignment="1" applyProtection="1">
      <alignment horizontal="center" vertical="center" wrapText="1"/>
    </xf>
    <xf numFmtId="168" fontId="1" fillId="0" borderId="3" xfId="2" applyBorder="1" applyAlignment="1">
      <alignment horizontal="center"/>
    </xf>
    <xf numFmtId="168" fontId="1" fillId="0" borderId="4" xfId="2" applyBorder="1" applyAlignment="1">
      <alignment horizontal="center"/>
    </xf>
    <xf numFmtId="168" fontId="1" fillId="0" borderId="1" xfId="2" applyBorder="1" applyAlignment="1">
      <alignment horizontal="center"/>
    </xf>
    <xf numFmtId="43" fontId="1" fillId="0" borderId="3" xfId="4" applyNumberFormat="1" applyBorder="1" applyAlignment="1">
      <alignment horizontal="center"/>
    </xf>
    <xf numFmtId="43" fontId="1" fillId="0" borderId="1" xfId="4" applyNumberFormat="1" applyBorder="1" applyAlignment="1">
      <alignment horizontal="center"/>
    </xf>
    <xf numFmtId="49" fontId="8" fillId="0" borderId="0" xfId="0" applyNumberFormat="1" applyFont="1" applyFill="1" applyBorder="1" applyAlignment="1" applyProtection="1">
      <alignment horizontal="center"/>
    </xf>
    <xf numFmtId="0" fontId="1" fillId="0" borderId="18" xfId="4" applyBorder="1" applyAlignment="1">
      <alignment horizontal="left"/>
    </xf>
    <xf numFmtId="0" fontId="1" fillId="0" borderId="2" xfId="4" applyBorder="1" applyAlignment="1">
      <alignment horizontal="left"/>
    </xf>
    <xf numFmtId="168" fontId="1" fillId="0" borderId="2" xfId="2" applyBorder="1" applyAlignment="1">
      <alignment horizontal="center" wrapText="1"/>
    </xf>
    <xf numFmtId="2" fontId="1" fillId="0" borderId="2" xfId="4" applyNumberFormat="1" applyBorder="1" applyAlignment="1">
      <alignment horizontal="center"/>
    </xf>
    <xf numFmtId="0" fontId="31" fillId="0" borderId="16" xfId="4" applyFont="1" applyBorder="1" applyAlignment="1">
      <alignment horizontal="left"/>
    </xf>
    <xf numFmtId="0" fontId="31" fillId="0" borderId="4" xfId="4" applyFont="1" applyBorder="1" applyAlignment="1">
      <alignment horizontal="left"/>
    </xf>
    <xf numFmtId="0" fontId="1" fillId="0" borderId="16" xfId="4" applyBorder="1" applyAlignment="1">
      <alignment horizontal="center"/>
    </xf>
    <xf numFmtId="0" fontId="1" fillId="0" borderId="4" xfId="4" applyBorder="1" applyAlignment="1">
      <alignment horizontal="center"/>
    </xf>
    <xf numFmtId="0" fontId="1" fillId="0" borderId="11" xfId="4" applyBorder="1" applyAlignment="1">
      <alignment horizontal="center"/>
    </xf>
    <xf numFmtId="0" fontId="27" fillId="0" borderId="16" xfId="4" applyFont="1" applyBorder="1" applyAlignment="1">
      <alignment horizontal="left"/>
    </xf>
    <xf numFmtId="0" fontId="27" fillId="0" borderId="4" xfId="4" applyFont="1" applyBorder="1" applyAlignment="1">
      <alignment horizontal="left"/>
    </xf>
    <xf numFmtId="0" fontId="27" fillId="0" borderId="65" xfId="4" applyFont="1" applyBorder="1" applyAlignment="1">
      <alignment horizontal="left"/>
    </xf>
    <xf numFmtId="0" fontId="27" fillId="0" borderId="37" xfId="4" applyFont="1" applyBorder="1" applyAlignment="1">
      <alignment horizontal="left"/>
    </xf>
    <xf numFmtId="0" fontId="35" fillId="8" borderId="75" xfId="4" applyFont="1" applyFill="1" applyBorder="1" applyAlignment="1">
      <alignment horizontal="left" vertical="center"/>
    </xf>
    <xf numFmtId="0" fontId="35" fillId="8" borderId="14" xfId="4" applyFont="1" applyFill="1" applyBorder="1" applyAlignment="1">
      <alignment horizontal="left" vertical="center"/>
    </xf>
    <xf numFmtId="0" fontId="4" fillId="0" borderId="72" xfId="4" applyFont="1" applyBorder="1" applyAlignment="1">
      <alignment horizontal="left" vertical="center"/>
    </xf>
    <xf numFmtId="0" fontId="4" fillId="0" borderId="7" xfId="4" applyFont="1" applyBorder="1" applyAlignment="1">
      <alignment horizontal="left" vertical="center"/>
    </xf>
    <xf numFmtId="9" fontId="1" fillId="0" borderId="74" xfId="5" applyBorder="1" applyAlignment="1">
      <alignment horizontal="center" vertical="center"/>
    </xf>
    <xf numFmtId="9" fontId="1" fillId="0" borderId="73" xfId="5" applyBorder="1" applyAlignment="1">
      <alignment horizontal="center" vertical="center"/>
    </xf>
    <xf numFmtId="43" fontId="1" fillId="0" borderId="7" xfId="4" applyNumberFormat="1" applyBorder="1" applyAlignment="1">
      <alignment horizontal="center" vertical="center"/>
    </xf>
    <xf numFmtId="43" fontId="1" fillId="0" borderId="8" xfId="4" applyNumberFormat="1" applyBorder="1" applyAlignment="1">
      <alignment horizontal="center" vertical="center"/>
    </xf>
    <xf numFmtId="0" fontId="4" fillId="0" borderId="65" xfId="4" applyFont="1" applyBorder="1" applyAlignment="1">
      <alignment horizontal="left" vertical="center"/>
    </xf>
    <xf numFmtId="0" fontId="4" fillId="0" borderId="37" xfId="4" applyFont="1" applyBorder="1" applyAlignment="1">
      <alignment horizontal="left" vertical="center"/>
    </xf>
    <xf numFmtId="0" fontId="31" fillId="7" borderId="3" xfId="4" applyFont="1" applyFill="1" applyBorder="1" applyAlignment="1">
      <alignment horizontal="left"/>
    </xf>
    <xf numFmtId="0" fontId="31" fillId="7" borderId="1" xfId="4" applyFont="1" applyFill="1" applyBorder="1" applyAlignment="1">
      <alignment horizontal="left"/>
    </xf>
    <xf numFmtId="0" fontId="31" fillId="7" borderId="4" xfId="4" applyFont="1" applyFill="1" applyBorder="1" applyAlignment="1">
      <alignment horizontal="left"/>
    </xf>
    <xf numFmtId="0" fontId="31" fillId="0" borderId="23" xfId="4" applyFont="1" applyBorder="1" applyAlignment="1">
      <alignment horizontal="left"/>
    </xf>
    <xf numFmtId="0" fontId="1" fillId="0" borderId="13" xfId="4" applyBorder="1" applyAlignment="1">
      <alignment horizontal="left"/>
    </xf>
    <xf numFmtId="0" fontId="1" fillId="0" borderId="18" xfId="4" applyBorder="1" applyAlignment="1">
      <alignment horizontal="center"/>
    </xf>
    <xf numFmtId="0" fontId="1" fillId="0" borderId="19" xfId="4" applyBorder="1" applyAlignment="1">
      <alignment horizontal="center"/>
    </xf>
    <xf numFmtId="0" fontId="27" fillId="7" borderId="18" xfId="4" applyFont="1" applyFill="1" applyBorder="1" applyAlignment="1">
      <alignment horizontal="left"/>
    </xf>
    <xf numFmtId="0" fontId="27" fillId="7" borderId="2" xfId="4" applyFont="1" applyFill="1" applyBorder="1" applyAlignment="1">
      <alignment horizontal="left"/>
    </xf>
    <xf numFmtId="0" fontId="27" fillId="7" borderId="19" xfId="4" applyFont="1" applyFill="1" applyBorder="1" applyAlignment="1">
      <alignment horizontal="left"/>
    </xf>
    <xf numFmtId="0" fontId="26" fillId="8" borderId="18" xfId="4" applyFont="1" applyFill="1" applyBorder="1" applyAlignment="1">
      <alignment horizontal="center" vertical="center"/>
    </xf>
    <xf numFmtId="0" fontId="26" fillId="8" borderId="2" xfId="4" applyFont="1" applyFill="1" applyBorder="1" applyAlignment="1">
      <alignment horizontal="center" vertical="center"/>
    </xf>
    <xf numFmtId="0" fontId="26" fillId="8" borderId="2" xfId="4" applyFont="1" applyFill="1" applyBorder="1" applyAlignment="1">
      <alignment horizontal="center" vertical="center" wrapText="1"/>
    </xf>
    <xf numFmtId="0" fontId="1" fillId="0" borderId="16" xfId="4" applyBorder="1" applyAlignment="1">
      <alignment horizontal="left" wrapText="1"/>
    </xf>
    <xf numFmtId="0" fontId="1" fillId="0" borderId="4" xfId="4" applyBorder="1" applyAlignment="1">
      <alignment horizontal="left" wrapText="1"/>
    </xf>
    <xf numFmtId="0" fontId="1" fillId="0" borderId="1" xfId="4" applyBorder="1" applyAlignment="1">
      <alignment horizontal="left" wrapText="1"/>
    </xf>
    <xf numFmtId="0" fontId="1" fillId="0" borderId="1" xfId="4" applyBorder="1" applyAlignment="1">
      <alignment horizontal="center"/>
    </xf>
    <xf numFmtId="0" fontId="1" fillId="0" borderId="18" xfId="4" applyFont="1" applyBorder="1" applyAlignment="1">
      <alignment horizontal="left"/>
    </xf>
    <xf numFmtId="0" fontId="1" fillId="0" borderId="2" xfId="4" applyFont="1" applyBorder="1" applyAlignment="1">
      <alignment horizontal="left"/>
    </xf>
    <xf numFmtId="0" fontId="1" fillId="0" borderId="16" xfId="4" applyFont="1" applyBorder="1" applyAlignment="1">
      <alignment horizontal="left"/>
    </xf>
    <xf numFmtId="0" fontId="1" fillId="0" borderId="4" xfId="4" applyFont="1" applyBorder="1" applyAlignment="1">
      <alignment horizontal="left"/>
    </xf>
    <xf numFmtId="0" fontId="1" fillId="0" borderId="1" xfId="4" applyFont="1" applyBorder="1" applyAlignment="1">
      <alignment horizontal="left"/>
    </xf>
    <xf numFmtId="0" fontId="1" fillId="4" borderId="18" xfId="4" applyFill="1" applyBorder="1" applyAlignment="1">
      <alignment horizontal="left"/>
    </xf>
    <xf numFmtId="0" fontId="1" fillId="4" borderId="2" xfId="4" applyFill="1" applyBorder="1" applyAlignment="1">
      <alignment horizontal="left"/>
    </xf>
    <xf numFmtId="0" fontId="31" fillId="7" borderId="4" xfId="4" applyFont="1" applyFill="1" applyBorder="1" applyAlignment="1">
      <alignment horizontal="center"/>
    </xf>
    <xf numFmtId="0" fontId="31" fillId="7" borderId="1" xfId="4" applyFont="1" applyFill="1" applyBorder="1" applyAlignment="1">
      <alignment horizontal="center"/>
    </xf>
    <xf numFmtId="0" fontId="17" fillId="0" borderId="31" xfId="4" applyFont="1" applyBorder="1" applyAlignment="1">
      <alignment horizontal="center" vertical="center" wrapText="1"/>
    </xf>
    <xf numFmtId="0" fontId="17" fillId="0" borderId="32" xfId="4" applyFont="1" applyBorder="1" applyAlignment="1">
      <alignment horizontal="center" vertical="center" wrapText="1"/>
    </xf>
    <xf numFmtId="0" fontId="16" fillId="0" borderId="30" xfId="4" applyFont="1" applyBorder="1" applyAlignment="1">
      <alignment horizontal="center" vertical="center" wrapText="1"/>
    </xf>
    <xf numFmtId="0" fontId="16" fillId="0" borderId="31" xfId="4" applyFont="1" applyBorder="1" applyAlignment="1">
      <alignment horizontal="center" vertical="center" wrapText="1"/>
    </xf>
    <xf numFmtId="0" fontId="31" fillId="0" borderId="1" xfId="4" applyFont="1" applyBorder="1" applyAlignment="1">
      <alignment horizontal="left"/>
    </xf>
    <xf numFmtId="0" fontId="1" fillId="0" borderId="16" xfId="4" applyFont="1" applyBorder="1" applyAlignment="1">
      <alignment horizontal="left" wrapText="1"/>
    </xf>
    <xf numFmtId="0" fontId="1" fillId="0" borderId="4" xfId="4" applyFont="1" applyBorder="1" applyAlignment="1">
      <alignment horizontal="left" wrapText="1"/>
    </xf>
    <xf numFmtId="0" fontId="1" fillId="0" borderId="1" xfId="4" applyFont="1" applyBorder="1" applyAlignment="1">
      <alignment horizontal="left" wrapText="1"/>
    </xf>
    <xf numFmtId="0" fontId="1" fillId="0" borderId="18" xfId="4" applyFont="1" applyFill="1" applyBorder="1" applyAlignment="1">
      <alignment horizontal="left"/>
    </xf>
    <xf numFmtId="0" fontId="1" fillId="0" borderId="2" xfId="4" applyFont="1" applyFill="1" applyBorder="1" applyAlignment="1">
      <alignment horizontal="left"/>
    </xf>
    <xf numFmtId="0" fontId="1" fillId="0" borderId="16" xfId="4" applyFont="1" applyFill="1" applyBorder="1" applyAlignment="1">
      <alignment horizontal="left"/>
    </xf>
    <xf numFmtId="0" fontId="1" fillId="0" borderId="4" xfId="4" applyFont="1" applyFill="1" applyBorder="1" applyAlignment="1">
      <alignment horizontal="left"/>
    </xf>
    <xf numFmtId="0" fontId="1" fillId="0" borderId="1" xfId="4" applyFont="1" applyFill="1" applyBorder="1" applyAlignment="1">
      <alignment horizontal="left"/>
    </xf>
    <xf numFmtId="0" fontId="1" fillId="0" borderId="18" xfId="4" applyFill="1" applyBorder="1" applyAlignment="1">
      <alignment horizontal="left"/>
    </xf>
    <xf numFmtId="0" fontId="1" fillId="0" borderId="2" xfId="4" applyFill="1" applyBorder="1" applyAlignment="1">
      <alignment horizontal="left"/>
    </xf>
    <xf numFmtId="0" fontId="3" fillId="0" borderId="0" xfId="0" applyFont="1" applyAlignment="1">
      <alignment horizontal="justify" vertical="top" wrapText="1"/>
    </xf>
    <xf numFmtId="0" fontId="46" fillId="0" borderId="2" xfId="7" applyFont="1" applyBorder="1" applyAlignment="1">
      <alignment horizontal="left" vertical="top" wrapText="1"/>
    </xf>
    <xf numFmtId="0" fontId="0" fillId="0" borderId="0" xfId="0" applyBorder="1" applyAlignment="1">
      <alignment horizontal="center" vertical="top" wrapText="1"/>
    </xf>
    <xf numFmtId="0" fontId="47" fillId="0" borderId="2" xfId="7" applyFont="1" applyFill="1" applyBorder="1" applyAlignment="1">
      <alignment horizontal="left" vertical="top" wrapText="1"/>
    </xf>
    <xf numFmtId="0" fontId="47" fillId="0" borderId="2" xfId="7" applyFont="1" applyBorder="1" applyAlignment="1">
      <alignment horizontal="left" vertical="top" wrapText="1"/>
    </xf>
    <xf numFmtId="0" fontId="47" fillId="4" borderId="2" xfId="7" applyFont="1" applyFill="1" applyBorder="1" applyAlignment="1">
      <alignment horizontal="left" vertical="top" wrapText="1"/>
    </xf>
    <xf numFmtId="0" fontId="46" fillId="0" borderId="56" xfId="7" applyFont="1" applyBorder="1" applyAlignment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1" fillId="0" borderId="18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6" fillId="7" borderId="64" xfId="0" applyFont="1" applyFill="1" applyBorder="1" applyAlignment="1">
      <alignment horizontal="justify" vertical="center" wrapText="1"/>
    </xf>
    <xf numFmtId="0" fontId="6" fillId="7" borderId="57" xfId="0" applyFont="1" applyFill="1" applyBorder="1" applyAlignment="1">
      <alignment horizontal="justify" vertical="center" wrapText="1"/>
    </xf>
    <xf numFmtId="0" fontId="6" fillId="7" borderId="13" xfId="0" applyNumberFormat="1" applyFont="1" applyFill="1" applyBorder="1" applyAlignment="1" applyProtection="1">
      <alignment horizontal="center" vertical="center" wrapText="1"/>
    </xf>
    <xf numFmtId="0" fontId="6" fillId="7" borderId="5" xfId="0" applyNumberFormat="1" applyFont="1" applyFill="1" applyBorder="1" applyAlignment="1" applyProtection="1">
      <alignment horizontal="center" vertical="center" wrapText="1"/>
    </xf>
    <xf numFmtId="0" fontId="6" fillId="7" borderId="20" xfId="0" applyNumberFormat="1" applyFont="1" applyFill="1" applyBorder="1" applyAlignment="1" applyProtection="1">
      <alignment horizontal="center" vertical="center" wrapText="1"/>
    </xf>
    <xf numFmtId="0" fontId="6" fillId="7" borderId="22" xfId="0" applyNumberFormat="1" applyFont="1" applyFill="1" applyBorder="1" applyAlignment="1" applyProtection="1">
      <alignment horizontal="center" vertical="center" wrapText="1"/>
    </xf>
    <xf numFmtId="0" fontId="6" fillId="7" borderId="18" xfId="0" applyNumberFormat="1" applyFont="1" applyFill="1" applyBorder="1" applyAlignment="1" applyProtection="1">
      <alignment horizontal="center" vertical="center" wrapText="1"/>
    </xf>
    <xf numFmtId="0" fontId="6" fillId="7" borderId="2" xfId="0" applyNumberFormat="1" applyFont="1" applyFill="1" applyBorder="1" applyAlignment="1" applyProtection="1">
      <alignment horizontal="center" vertical="center" wrapText="1"/>
    </xf>
    <xf numFmtId="0" fontId="42" fillId="11" borderId="87" xfId="0" applyFont="1" applyFill="1" applyBorder="1" applyAlignment="1">
      <alignment horizontal="center" vertical="center"/>
    </xf>
    <xf numFmtId="0" fontId="42" fillId="11" borderId="88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  <xf numFmtId="0" fontId="22" fillId="0" borderId="75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7" borderId="58" xfId="0" applyFont="1" applyFill="1" applyBorder="1" applyAlignment="1">
      <alignment horizontal="center" vertical="center"/>
    </xf>
    <xf numFmtId="0" fontId="6" fillId="7" borderId="56" xfId="0" applyFont="1" applyFill="1" applyBorder="1" applyAlignment="1">
      <alignment horizontal="center" vertical="center"/>
    </xf>
    <xf numFmtId="0" fontId="6" fillId="7" borderId="59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6" fillId="7" borderId="72" xfId="0" applyFont="1" applyFill="1" applyBorder="1" applyAlignment="1">
      <alignment horizontal="left" vertical="center"/>
    </xf>
    <xf numFmtId="0" fontId="6" fillId="7" borderId="73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6" fillId="7" borderId="23" xfId="0" applyNumberFormat="1" applyFont="1" applyFill="1" applyBorder="1" applyAlignment="1" applyProtection="1">
      <alignment horizontal="center" vertical="center" wrapText="1"/>
    </xf>
    <xf numFmtId="0" fontId="6" fillId="7" borderId="25" xfId="0" applyNumberFormat="1" applyFont="1" applyFill="1" applyBorder="1" applyAlignment="1" applyProtection="1">
      <alignment horizontal="center" vertical="center" wrapText="1"/>
    </xf>
    <xf numFmtId="43" fontId="9" fillId="0" borderId="7" xfId="4" applyNumberFormat="1" applyFont="1" applyBorder="1" applyAlignment="1">
      <alignment horizontal="center" vertical="center"/>
    </xf>
    <xf numFmtId="43" fontId="9" fillId="0" borderId="8" xfId="4" applyNumberFormat="1" applyFont="1" applyBorder="1" applyAlignment="1">
      <alignment horizontal="center" vertical="center"/>
    </xf>
    <xf numFmtId="0" fontId="27" fillId="0" borderId="61" xfId="4" applyFont="1" applyBorder="1" applyAlignment="1">
      <alignment horizontal="left"/>
    </xf>
    <xf numFmtId="0" fontId="27" fillId="0" borderId="62" xfId="4" applyFont="1" applyBorder="1" applyAlignment="1">
      <alignment horizontal="left"/>
    </xf>
    <xf numFmtId="0" fontId="35" fillId="8" borderId="72" xfId="4" applyFont="1" applyFill="1" applyBorder="1" applyAlignment="1">
      <alignment horizontal="left" vertical="center"/>
    </xf>
    <xf numFmtId="0" fontId="35" fillId="8" borderId="7" xfId="4" applyFont="1" applyFill="1" applyBorder="1" applyAlignment="1">
      <alignment horizontal="left" vertical="center"/>
    </xf>
    <xf numFmtId="0" fontId="1" fillId="8" borderId="5" xfId="4" applyFill="1" applyBorder="1" applyAlignment="1">
      <alignment horizontal="center" vertical="center" wrapText="1"/>
    </xf>
    <xf numFmtId="0" fontId="1" fillId="8" borderId="25" xfId="4" applyFill="1" applyBorder="1" applyAlignment="1">
      <alignment horizontal="center" vertical="center"/>
    </xf>
    <xf numFmtId="0" fontId="1" fillId="8" borderId="5" xfId="4" applyFill="1" applyBorder="1" applyAlignment="1">
      <alignment horizontal="center" vertical="center"/>
    </xf>
    <xf numFmtId="0" fontId="27" fillId="7" borderId="16" xfId="4" applyFont="1" applyFill="1" applyBorder="1" applyAlignment="1">
      <alignment horizontal="left"/>
    </xf>
    <xf numFmtId="0" fontId="27" fillId="7" borderId="4" xfId="4" applyFont="1" applyFill="1" applyBorder="1" applyAlignment="1">
      <alignment horizontal="left"/>
    </xf>
    <xf numFmtId="0" fontId="27" fillId="7" borderId="11" xfId="4" applyFont="1" applyFill="1" applyBorder="1" applyAlignment="1">
      <alignment horizontal="left"/>
    </xf>
    <xf numFmtId="0" fontId="31" fillId="0" borderId="13" xfId="4" applyFont="1" applyBorder="1" applyAlignment="1">
      <alignment horizontal="left"/>
    </xf>
    <xf numFmtId="0" fontId="13" fillId="0" borderId="16" xfId="0" applyNumberFormat="1" applyFont="1" applyBorder="1" applyAlignment="1">
      <alignment horizontal="center"/>
    </xf>
    <xf numFmtId="0" fontId="13" fillId="0" borderId="4" xfId="0" applyNumberFormat="1" applyFont="1" applyBorder="1" applyAlignment="1">
      <alignment horizontal="center"/>
    </xf>
    <xf numFmtId="0" fontId="13" fillId="0" borderId="11" xfId="0" applyNumberFormat="1" applyFont="1" applyBorder="1" applyAlignment="1">
      <alignment horizontal="center"/>
    </xf>
    <xf numFmtId="0" fontId="15" fillId="6" borderId="16" xfId="4" applyFont="1" applyFill="1" applyBorder="1" applyAlignment="1">
      <alignment horizontal="center" vertical="center"/>
    </xf>
    <xf numFmtId="0" fontId="15" fillId="6" borderId="4" xfId="4" applyFont="1" applyFill="1" applyBorder="1" applyAlignment="1">
      <alignment horizontal="center" vertical="center"/>
    </xf>
    <xf numFmtId="0" fontId="15" fillId="6" borderId="11" xfId="4" applyFont="1" applyFill="1" applyBorder="1" applyAlignment="1">
      <alignment horizontal="center" vertical="center"/>
    </xf>
    <xf numFmtId="0" fontId="3" fillId="0" borderId="16" xfId="4" applyFont="1" applyBorder="1" applyAlignment="1">
      <alignment horizontal="left"/>
    </xf>
    <xf numFmtId="0" fontId="3" fillId="0" borderId="4" xfId="4" applyFont="1" applyBorder="1" applyAlignment="1">
      <alignment horizontal="left"/>
    </xf>
    <xf numFmtId="0" fontId="3" fillId="0" borderId="1" xfId="4" applyFont="1" applyBorder="1" applyAlignment="1">
      <alignment horizontal="left"/>
    </xf>
    <xf numFmtId="0" fontId="3" fillId="0" borderId="18" xfId="4" applyFont="1" applyBorder="1" applyAlignment="1">
      <alignment horizontal="left"/>
    </xf>
    <xf numFmtId="0" fontId="3" fillId="0" borderId="2" xfId="4" applyFont="1" applyBorder="1" applyAlignment="1">
      <alignment horizontal="left"/>
    </xf>
    <xf numFmtId="0" fontId="1" fillId="0" borderId="16" xfId="4" applyBorder="1" applyAlignment="1">
      <alignment horizontal="left"/>
    </xf>
    <xf numFmtId="0" fontId="1" fillId="0" borderId="4" xfId="4" applyBorder="1" applyAlignment="1">
      <alignment horizontal="left"/>
    </xf>
    <xf numFmtId="0" fontId="1" fillId="0" borderId="1" xfId="4" applyBorder="1" applyAlignment="1">
      <alignment horizontal="left"/>
    </xf>
    <xf numFmtId="0" fontId="3" fillId="0" borderId="18" xfId="4" applyFont="1" applyBorder="1" applyAlignment="1">
      <alignment horizontal="left" wrapText="1"/>
    </xf>
    <xf numFmtId="0" fontId="3" fillId="0" borderId="2" xfId="4" applyFont="1" applyBorder="1" applyAlignment="1">
      <alignment horizontal="left" wrapText="1"/>
    </xf>
    <xf numFmtId="0" fontId="16" fillId="0" borderId="31" xfId="4" applyFont="1" applyBorder="1" applyAlignment="1">
      <alignment horizontal="center" vertical="center"/>
    </xf>
    <xf numFmtId="2" fontId="1" fillId="0" borderId="3" xfId="4" applyNumberFormat="1" applyBorder="1" applyAlignment="1">
      <alignment horizontal="center"/>
    </xf>
    <xf numFmtId="2" fontId="1" fillId="0" borderId="1" xfId="4" applyNumberFormat="1" applyBorder="1" applyAlignment="1">
      <alignment horizontal="center"/>
    </xf>
    <xf numFmtId="0" fontId="26" fillId="8" borderId="3" xfId="4" applyFont="1" applyFill="1" applyBorder="1" applyAlignment="1">
      <alignment horizontal="center" vertical="center" wrapText="1"/>
    </xf>
    <xf numFmtId="0" fontId="26" fillId="8" borderId="1" xfId="4" applyFont="1" applyFill="1" applyBorder="1" applyAlignment="1">
      <alignment horizontal="center" vertical="center" wrapText="1"/>
    </xf>
    <xf numFmtId="168" fontId="1" fillId="0" borderId="3" xfId="2" applyBorder="1" applyAlignment="1">
      <alignment horizontal="center" wrapText="1"/>
    </xf>
    <xf numFmtId="168" fontId="1" fillId="0" borderId="1" xfId="2" applyBorder="1" applyAlignment="1">
      <alignment horizontal="center" wrapText="1"/>
    </xf>
    <xf numFmtId="0" fontId="34" fillId="0" borderId="4" xfId="4" applyFont="1" applyBorder="1" applyAlignment="1">
      <alignment horizontal="center"/>
    </xf>
    <xf numFmtId="0" fontId="34" fillId="0" borderId="11" xfId="4" applyFont="1" applyBorder="1" applyAlignment="1">
      <alignment horizontal="center"/>
    </xf>
    <xf numFmtId="0" fontId="26" fillId="8" borderId="16" xfId="4" applyFont="1" applyFill="1" applyBorder="1" applyAlignment="1">
      <alignment horizontal="center" vertical="center"/>
    </xf>
    <xf numFmtId="0" fontId="26" fillId="8" borderId="4" xfId="4" applyFont="1" applyFill="1" applyBorder="1" applyAlignment="1">
      <alignment horizontal="center" vertical="center"/>
    </xf>
    <xf numFmtId="0" fontId="26" fillId="8" borderId="1" xfId="4" applyFont="1" applyFill="1" applyBorder="1" applyAlignment="1">
      <alignment horizontal="center" vertical="center"/>
    </xf>
    <xf numFmtId="0" fontId="4" fillId="0" borderId="73" xfId="4" applyFont="1" applyBorder="1" applyAlignment="1">
      <alignment horizontal="left" vertical="center"/>
    </xf>
    <xf numFmtId="43" fontId="1" fillId="0" borderId="74" xfId="4" applyNumberFormat="1" applyBorder="1" applyAlignment="1">
      <alignment horizontal="center" vertical="center"/>
    </xf>
    <xf numFmtId="0" fontId="56" fillId="0" borderId="0" xfId="0" applyNumberFormat="1" applyFont="1" applyFill="1" applyBorder="1" applyAlignment="1" applyProtection="1">
      <alignment horizontal="center" vertical="center" wrapText="1"/>
    </xf>
    <xf numFmtId="0" fontId="24" fillId="0" borderId="16" xfId="4" applyFont="1" applyBorder="1" applyAlignment="1">
      <alignment horizontal="center" vertical="center" wrapText="1"/>
    </xf>
    <xf numFmtId="0" fontId="24" fillId="0" borderId="4" xfId="4" applyFont="1" applyBorder="1" applyAlignment="1">
      <alignment horizontal="center" vertical="center" wrapText="1"/>
    </xf>
    <xf numFmtId="0" fontId="24" fillId="0" borderId="1" xfId="4" applyFont="1" applyBorder="1" applyAlignment="1">
      <alignment horizontal="center" vertical="center" wrapText="1"/>
    </xf>
    <xf numFmtId="175" fontId="1" fillId="0" borderId="16" xfId="4" applyNumberFormat="1" applyBorder="1" applyAlignment="1">
      <alignment horizontal="center"/>
    </xf>
    <xf numFmtId="175" fontId="1" fillId="0" borderId="4" xfId="4" applyNumberFormat="1" applyBorder="1" applyAlignment="1">
      <alignment horizontal="center"/>
    </xf>
    <xf numFmtId="175" fontId="1" fillId="0" borderId="11" xfId="4" applyNumberFormat="1" applyBorder="1" applyAlignment="1">
      <alignment horizontal="center"/>
    </xf>
    <xf numFmtId="0" fontId="1" fillId="0" borderId="16" xfId="4" applyBorder="1" applyAlignment="1">
      <alignment horizontal="left" vertical="center" wrapText="1"/>
    </xf>
    <xf numFmtId="0" fontId="1" fillId="0" borderId="4" xfId="4" applyBorder="1" applyAlignment="1">
      <alignment horizontal="left" vertical="center" wrapText="1"/>
    </xf>
    <xf numFmtId="0" fontId="1" fillId="0" borderId="1" xfId="4" applyBorder="1" applyAlignment="1">
      <alignment horizontal="left" vertical="center" wrapText="1"/>
    </xf>
    <xf numFmtId="0" fontId="3" fillId="0" borderId="18" xfId="4" applyFont="1" applyFill="1" applyBorder="1" applyAlignment="1">
      <alignment horizontal="left" wrapText="1"/>
    </xf>
    <xf numFmtId="0" fontId="3" fillId="0" borderId="2" xfId="4" applyFont="1" applyFill="1" applyBorder="1" applyAlignment="1">
      <alignment horizontal="left" wrapText="1"/>
    </xf>
    <xf numFmtId="0" fontId="26" fillId="8" borderId="25" xfId="4" applyFont="1" applyFill="1" applyBorder="1" applyAlignment="1">
      <alignment horizontal="center" vertical="center"/>
    </xf>
    <xf numFmtId="0" fontId="26" fillId="8" borderId="5" xfId="4" applyFont="1" applyFill="1" applyBorder="1" applyAlignment="1">
      <alignment horizontal="center" vertical="center"/>
    </xf>
    <xf numFmtId="0" fontId="26" fillId="8" borderId="5" xfId="4" applyFont="1" applyFill="1" applyBorder="1" applyAlignment="1">
      <alignment horizontal="center" vertical="center" wrapText="1"/>
    </xf>
    <xf numFmtId="0" fontId="1" fillId="0" borderId="16" xfId="4" applyFill="1" applyBorder="1" applyAlignment="1">
      <alignment horizontal="left"/>
    </xf>
    <xf numFmtId="0" fontId="1" fillId="0" borderId="4" xfId="4" applyFill="1" applyBorder="1" applyAlignment="1">
      <alignment horizontal="left"/>
    </xf>
    <xf numFmtId="0" fontId="1" fillId="0" borderId="1" xfId="4" applyFill="1" applyBorder="1" applyAlignment="1">
      <alignment horizontal="left"/>
    </xf>
    <xf numFmtId="0" fontId="31" fillId="9" borderId="16" xfId="4" applyFont="1" applyFill="1" applyBorder="1" applyAlignment="1">
      <alignment horizontal="center"/>
    </xf>
    <xf numFmtId="0" fontId="31" fillId="9" borderId="4" xfId="4" applyFont="1" applyFill="1" applyBorder="1" applyAlignment="1">
      <alignment horizontal="center"/>
    </xf>
    <xf numFmtId="0" fontId="31" fillId="9" borderId="11" xfId="4" applyFont="1" applyFill="1" applyBorder="1" applyAlignment="1">
      <alignment horizontal="center"/>
    </xf>
    <xf numFmtId="168" fontId="31" fillId="0" borderId="2" xfId="2" applyFont="1" applyBorder="1" applyAlignment="1">
      <alignment horizontal="center" wrapText="1"/>
    </xf>
    <xf numFmtId="0" fontId="31" fillId="0" borderId="18" xfId="4" applyFont="1" applyBorder="1" applyAlignment="1">
      <alignment horizontal="left"/>
    </xf>
    <xf numFmtId="0" fontId="31" fillId="0" borderId="2" xfId="4" applyFont="1" applyBorder="1" applyAlignment="1">
      <alignment horizontal="left"/>
    </xf>
    <xf numFmtId="0" fontId="27" fillId="9" borderId="61" xfId="4" applyFont="1" applyFill="1" applyBorder="1" applyAlignment="1">
      <alignment horizontal="left"/>
    </xf>
    <xf numFmtId="0" fontId="27" fillId="9" borderId="62" xfId="4" applyFont="1" applyFill="1" applyBorder="1" applyAlignment="1">
      <alignment horizontal="left"/>
    </xf>
    <xf numFmtId="0" fontId="31" fillId="0" borderId="16" xfId="4" applyFont="1" applyBorder="1" applyAlignment="1">
      <alignment horizontal="center"/>
    </xf>
    <xf numFmtId="0" fontId="31" fillId="0" borderId="4" xfId="4" applyFont="1" applyBorder="1" applyAlignment="1">
      <alignment horizontal="center"/>
    </xf>
    <xf numFmtId="0" fontId="31" fillId="0" borderId="11" xfId="4" applyFont="1" applyBorder="1" applyAlignment="1">
      <alignment horizontal="center"/>
    </xf>
    <xf numFmtId="0" fontId="4" fillId="8" borderId="72" xfId="4" applyFont="1" applyFill="1" applyBorder="1" applyAlignment="1">
      <alignment horizontal="left" vertical="center"/>
    </xf>
    <xf numFmtId="0" fontId="4" fillId="8" borderId="7" xfId="4" applyFont="1" applyFill="1" applyBorder="1" applyAlignment="1">
      <alignment horizontal="left" vertical="center"/>
    </xf>
    <xf numFmtId="2" fontId="31" fillId="0" borderId="2" xfId="4" applyNumberFormat="1" applyFont="1" applyBorder="1" applyAlignment="1">
      <alignment horizontal="center"/>
    </xf>
    <xf numFmtId="0" fontId="31" fillId="7" borderId="4" xfId="4" applyFont="1" applyFill="1" applyBorder="1" applyAlignment="1">
      <alignment horizontal="left" vertical="center"/>
    </xf>
    <xf numFmtId="0" fontId="31" fillId="7" borderId="1" xfId="4" applyFont="1" applyFill="1" applyBorder="1" applyAlignment="1">
      <alignment horizontal="left" vertical="center"/>
    </xf>
    <xf numFmtId="4" fontId="1" fillId="0" borderId="3" xfId="4" applyNumberFormat="1" applyBorder="1" applyAlignment="1">
      <alignment horizontal="center"/>
    </xf>
    <xf numFmtId="4" fontId="1" fillId="0" borderId="1" xfId="4" applyNumberFormat="1" applyBorder="1" applyAlignment="1">
      <alignment horizontal="center"/>
    </xf>
    <xf numFmtId="0" fontId="26" fillId="8" borderId="63" xfId="4" applyFont="1" applyFill="1" applyBorder="1" applyAlignment="1">
      <alignment horizontal="center" vertical="center"/>
    </xf>
    <xf numFmtId="0" fontId="26" fillId="8" borderId="51" xfId="4" applyFont="1" applyFill="1" applyBorder="1" applyAlignment="1">
      <alignment horizontal="center" vertical="center"/>
    </xf>
    <xf numFmtId="0" fontId="26" fillId="8" borderId="52" xfId="4" applyFont="1" applyFill="1" applyBorder="1" applyAlignment="1">
      <alignment horizontal="center" vertical="center"/>
    </xf>
    <xf numFmtId="0" fontId="27" fillId="9" borderId="16" xfId="4" applyFont="1" applyFill="1" applyBorder="1" applyAlignment="1">
      <alignment horizontal="left"/>
    </xf>
    <xf numFmtId="0" fontId="27" fillId="9" borderId="4" xfId="4" applyFont="1" applyFill="1" applyBorder="1" applyAlignment="1">
      <alignment horizontal="left"/>
    </xf>
    <xf numFmtId="0" fontId="26" fillId="9" borderId="16" xfId="4" applyFont="1" applyFill="1" applyBorder="1" applyAlignment="1">
      <alignment horizontal="center"/>
    </xf>
    <xf numFmtId="0" fontId="26" fillId="9" borderId="4" xfId="4" applyFont="1" applyFill="1" applyBorder="1" applyAlignment="1">
      <alignment horizontal="center"/>
    </xf>
    <xf numFmtId="0" fontId="1" fillId="9" borderId="11" xfId="4" applyFill="1" applyBorder="1" applyAlignment="1">
      <alignment horizontal="center"/>
    </xf>
    <xf numFmtId="0" fontId="27" fillId="7" borderId="63" xfId="4" applyFont="1" applyFill="1" applyBorder="1" applyAlignment="1">
      <alignment horizontal="left"/>
    </xf>
    <xf numFmtId="0" fontId="27" fillId="7" borderId="51" xfId="4" applyFont="1" applyFill="1" applyBorder="1" applyAlignment="1">
      <alignment horizontal="left"/>
    </xf>
    <xf numFmtId="0" fontId="15" fillId="8" borderId="16" xfId="4" applyFont="1" applyFill="1" applyBorder="1" applyAlignment="1">
      <alignment horizontal="center" vertical="center"/>
    </xf>
    <xf numFmtId="0" fontId="15" fillId="8" borderId="4" xfId="4" applyFont="1" applyFill="1" applyBorder="1" applyAlignment="1">
      <alignment horizontal="center" vertical="center"/>
    </xf>
    <xf numFmtId="0" fontId="15" fillId="8" borderId="11" xfId="4" applyFont="1" applyFill="1" applyBorder="1" applyAlignment="1">
      <alignment horizontal="center" vertical="center"/>
    </xf>
    <xf numFmtId="0" fontId="1" fillId="0" borderId="18" xfId="4" applyFont="1" applyBorder="1" applyAlignment="1">
      <alignment horizontal="left" wrapText="1"/>
    </xf>
    <xf numFmtId="0" fontId="1" fillId="0" borderId="2" xfId="4" applyFont="1" applyBorder="1" applyAlignment="1">
      <alignment horizontal="left" wrapText="1"/>
    </xf>
    <xf numFmtId="0" fontId="26" fillId="9" borderId="18" xfId="4" applyFont="1" applyFill="1" applyBorder="1" applyAlignment="1">
      <alignment horizontal="left"/>
    </xf>
    <xf numFmtId="0" fontId="26" fillId="9" borderId="2" xfId="4" applyFont="1" applyFill="1" applyBorder="1" applyAlignment="1">
      <alignment horizontal="left"/>
    </xf>
    <xf numFmtId="0" fontId="1" fillId="9" borderId="16" xfId="4" applyFont="1" applyFill="1" applyBorder="1" applyAlignment="1">
      <alignment horizontal="left"/>
    </xf>
    <xf numFmtId="0" fontId="1" fillId="9" borderId="4" xfId="4" applyFont="1" applyFill="1" applyBorder="1" applyAlignment="1">
      <alignment horizontal="left"/>
    </xf>
    <xf numFmtId="0" fontId="1" fillId="9" borderId="1" xfId="4" applyFont="1" applyFill="1" applyBorder="1" applyAlignment="1">
      <alignment horizontal="left"/>
    </xf>
    <xf numFmtId="0" fontId="31" fillId="9" borderId="23" xfId="4" applyFont="1" applyFill="1" applyBorder="1" applyAlignment="1">
      <alignment horizontal="left"/>
    </xf>
    <xf numFmtId="0" fontId="31" fillId="9" borderId="13" xfId="4" applyFont="1" applyFill="1" applyBorder="1" applyAlignment="1">
      <alignment horizontal="left"/>
    </xf>
    <xf numFmtId="0" fontId="31" fillId="9" borderId="1" xfId="4" applyFont="1" applyFill="1" applyBorder="1" applyAlignment="1">
      <alignment horizontal="center"/>
    </xf>
    <xf numFmtId="0" fontId="31" fillId="9" borderId="18" xfId="4" applyFont="1" applyFill="1" applyBorder="1" applyAlignment="1">
      <alignment horizontal="left"/>
    </xf>
    <xf numFmtId="0" fontId="31" fillId="9" borderId="2" xfId="4" applyFont="1" applyFill="1" applyBorder="1" applyAlignment="1">
      <alignment horizontal="left"/>
    </xf>
    <xf numFmtId="0" fontId="34" fillId="0" borderId="3" xfId="4" applyFont="1" applyBorder="1" applyAlignment="1">
      <alignment horizontal="center" wrapText="1"/>
    </xf>
    <xf numFmtId="0" fontId="34" fillId="0" borderId="4" xfId="4" applyFont="1" applyBorder="1" applyAlignment="1">
      <alignment horizontal="center" wrapText="1"/>
    </xf>
    <xf numFmtId="0" fontId="34" fillId="0" borderId="11" xfId="4" applyFont="1" applyBorder="1" applyAlignment="1">
      <alignment horizontal="center" wrapText="1"/>
    </xf>
    <xf numFmtId="0" fontId="40" fillId="7" borderId="1" xfId="4" applyFont="1" applyFill="1" applyBorder="1" applyAlignment="1">
      <alignment horizontal="left"/>
    </xf>
    <xf numFmtId="0" fontId="43" fillId="0" borderId="16" xfId="4" applyFont="1" applyBorder="1" applyAlignment="1">
      <alignment horizontal="left"/>
    </xf>
    <xf numFmtId="0" fontId="43" fillId="0" borderId="4" xfId="4" applyFont="1" applyBorder="1" applyAlignment="1">
      <alignment horizontal="left"/>
    </xf>
    <xf numFmtId="0" fontId="43" fillId="0" borderId="1" xfId="4" applyFont="1" applyBorder="1" applyAlignment="1">
      <alignment horizontal="left"/>
    </xf>
    <xf numFmtId="2" fontId="1" fillId="0" borderId="3" xfId="4" applyNumberFormat="1" applyFont="1" applyBorder="1" applyAlignment="1">
      <alignment horizontal="center"/>
    </xf>
    <xf numFmtId="0" fontId="1" fillId="0" borderId="16" xfId="4" applyFont="1" applyBorder="1" applyAlignment="1">
      <alignment horizontal="left" vertical="center" wrapText="1"/>
    </xf>
    <xf numFmtId="0" fontId="1" fillId="0" borderId="4" xfId="4" applyFont="1" applyBorder="1" applyAlignment="1">
      <alignment horizontal="left" vertical="center" wrapText="1"/>
    </xf>
    <xf numFmtId="0" fontId="1" fillId="0" borderId="1" xfId="4" applyFont="1" applyBorder="1" applyAlignment="1">
      <alignment horizontal="left" vertical="center" wrapText="1"/>
    </xf>
    <xf numFmtId="0" fontId="1" fillId="0" borderId="16" xfId="4" applyBorder="1" applyAlignment="1"/>
    <xf numFmtId="0" fontId="1" fillId="0" borderId="4" xfId="4" applyBorder="1" applyAlignment="1"/>
    <xf numFmtId="0" fontId="1" fillId="0" borderId="1" xfId="4" applyBorder="1" applyAlignment="1"/>
    <xf numFmtId="43" fontId="32" fillId="8" borderId="7" xfId="4" applyNumberFormat="1" applyFont="1" applyFill="1" applyBorder="1" applyAlignment="1">
      <alignment horizontal="right" vertical="center" wrapText="1"/>
    </xf>
    <xf numFmtId="43" fontId="32" fillId="8" borderId="8" xfId="4" applyNumberFormat="1" applyFont="1" applyFill="1" applyBorder="1" applyAlignment="1">
      <alignment horizontal="right" vertical="center" wrapText="1"/>
    </xf>
    <xf numFmtId="0" fontId="0" fillId="0" borderId="16" xfId="4" applyFont="1" applyBorder="1" applyAlignment="1">
      <alignment horizontal="left"/>
    </xf>
    <xf numFmtId="0" fontId="34" fillId="0" borderId="3" xfId="4" applyFont="1" applyBorder="1" applyAlignment="1">
      <alignment horizontal="left" vertical="center" wrapText="1"/>
    </xf>
    <xf numFmtId="0" fontId="34" fillId="0" borderId="4" xfId="4" applyFont="1" applyBorder="1" applyAlignment="1">
      <alignment horizontal="left" vertical="center" wrapText="1"/>
    </xf>
    <xf numFmtId="0" fontId="34" fillId="0" borderId="11" xfId="4" applyFont="1" applyBorder="1" applyAlignment="1">
      <alignment horizontal="left" vertical="center" wrapText="1"/>
    </xf>
    <xf numFmtId="0" fontId="1" fillId="0" borderId="18" xfId="4" applyBorder="1" applyAlignment="1">
      <alignment horizontal="left" vertical="center"/>
    </xf>
    <xf numFmtId="0" fontId="1" fillId="0" borderId="2" xfId="4" applyBorder="1" applyAlignment="1">
      <alignment horizontal="left" vertical="center"/>
    </xf>
    <xf numFmtId="0" fontId="1" fillId="0" borderId="18" xfId="4" applyFont="1" applyBorder="1" applyAlignment="1">
      <alignment horizontal="left" vertical="center" wrapText="1"/>
    </xf>
    <xf numFmtId="0" fontId="1" fillId="0" borderId="2" xfId="4" applyFont="1" applyBorder="1" applyAlignment="1">
      <alignment horizontal="left" vertical="center" wrapText="1"/>
    </xf>
    <xf numFmtId="0" fontId="1" fillId="0" borderId="18" xfId="4" applyBorder="1" applyAlignment="1">
      <alignment horizontal="left" vertical="center" wrapText="1"/>
    </xf>
    <xf numFmtId="0" fontId="1" fillId="0" borderId="2" xfId="4" applyBorder="1" applyAlignment="1">
      <alignment horizontal="left" vertical="center" wrapText="1"/>
    </xf>
    <xf numFmtId="0" fontId="1" fillId="0" borderId="16" xfId="4" applyBorder="1" applyAlignment="1">
      <alignment horizontal="left" vertical="top" wrapText="1"/>
    </xf>
    <xf numFmtId="0" fontId="1" fillId="0" borderId="4" xfId="4" applyBorder="1" applyAlignment="1">
      <alignment horizontal="left" vertical="top" wrapText="1"/>
    </xf>
    <xf numFmtId="0" fontId="1" fillId="0" borderId="1" xfId="4" applyBorder="1" applyAlignment="1">
      <alignment horizontal="left" vertical="top" wrapText="1"/>
    </xf>
    <xf numFmtId="0" fontId="23" fillId="0" borderId="18" xfId="4" applyFont="1" applyBorder="1" applyAlignment="1">
      <alignment horizontal="left"/>
    </xf>
    <xf numFmtId="0" fontId="23" fillId="0" borderId="2" xfId="4" applyFont="1" applyBorder="1" applyAlignment="1">
      <alignment horizontal="left"/>
    </xf>
    <xf numFmtId="0" fontId="31" fillId="0" borderId="27" xfId="4" applyFont="1" applyBorder="1" applyAlignment="1">
      <alignment horizontal="center"/>
    </xf>
    <xf numFmtId="169" fontId="52" fillId="0" borderId="3" xfId="4" applyNumberFormat="1" applyFont="1" applyBorder="1" applyAlignment="1">
      <alignment horizontal="center" vertical="center"/>
    </xf>
    <xf numFmtId="169" fontId="52" fillId="0" borderId="4" xfId="4" applyNumberFormat="1" applyFont="1" applyBorder="1" applyAlignment="1">
      <alignment horizontal="center" vertical="center"/>
    </xf>
    <xf numFmtId="169" fontId="52" fillId="0" borderId="11" xfId="4" applyNumberFormat="1" applyFont="1" applyBorder="1" applyAlignment="1">
      <alignment horizontal="center" vertical="center"/>
    </xf>
    <xf numFmtId="0" fontId="1" fillId="0" borderId="18" xfId="4" applyFont="1" applyFill="1" applyBorder="1" applyAlignment="1">
      <alignment horizontal="left" wrapText="1"/>
    </xf>
    <xf numFmtId="0" fontId="1" fillId="0" borderId="2" xfId="4" applyFont="1" applyFill="1" applyBorder="1" applyAlignment="1">
      <alignment horizontal="left" wrapText="1"/>
    </xf>
    <xf numFmtId="0" fontId="31" fillId="7" borderId="9" xfId="4" applyFont="1" applyFill="1" applyBorder="1" applyAlignment="1">
      <alignment horizontal="left" vertical="center"/>
    </xf>
    <xf numFmtId="0" fontId="31" fillId="7" borderId="10" xfId="4" applyFont="1" applyFill="1" applyBorder="1" applyAlignment="1">
      <alignment horizontal="left" vertical="center"/>
    </xf>
    <xf numFmtId="0" fontId="31" fillId="7" borderId="9" xfId="4" applyFont="1" applyFill="1" applyBorder="1" applyAlignment="1">
      <alignment horizontal="center"/>
    </xf>
    <xf numFmtId="0" fontId="1" fillId="0" borderId="16" xfId="4" applyFill="1" applyBorder="1" applyAlignment="1">
      <alignment horizontal="left" vertical="center" wrapText="1"/>
    </xf>
    <xf numFmtId="0" fontId="1" fillId="0" borderId="4" xfId="4" applyFill="1" applyBorder="1" applyAlignment="1">
      <alignment horizontal="left" vertical="center" wrapText="1"/>
    </xf>
    <xf numFmtId="0" fontId="1" fillId="0" borderId="1" xfId="4" applyFill="1" applyBorder="1" applyAlignment="1">
      <alignment horizontal="left" vertical="center" wrapText="1"/>
    </xf>
    <xf numFmtId="4" fontId="1" fillId="0" borderId="3" xfId="2" applyNumberFormat="1" applyBorder="1" applyAlignment="1">
      <alignment horizontal="center" vertical="center" wrapText="1"/>
    </xf>
    <xf numFmtId="4" fontId="1" fillId="0" borderId="1" xfId="2" applyNumberFormat="1" applyBorder="1" applyAlignment="1">
      <alignment horizontal="center" vertical="center" wrapText="1"/>
    </xf>
    <xf numFmtId="0" fontId="23" fillId="0" borderId="18" xfId="4" applyFont="1" applyFill="1" applyBorder="1" applyAlignment="1">
      <alignment horizontal="left" wrapText="1"/>
    </xf>
    <xf numFmtId="0" fontId="23" fillId="0" borderId="2" xfId="4" applyFont="1" applyFill="1" applyBorder="1" applyAlignment="1">
      <alignment horizontal="left" wrapText="1"/>
    </xf>
    <xf numFmtId="4" fontId="1" fillId="0" borderId="3" xfId="2" applyNumberFormat="1" applyBorder="1" applyAlignment="1">
      <alignment horizontal="center" vertical="center"/>
    </xf>
    <xf numFmtId="4" fontId="1" fillId="0" borderId="1" xfId="2" applyNumberFormat="1" applyBorder="1" applyAlignment="1">
      <alignment horizontal="center" vertical="center"/>
    </xf>
    <xf numFmtId="0" fontId="43" fillId="0" borderId="18" xfId="4" applyFont="1" applyFill="1" applyBorder="1" applyAlignment="1">
      <alignment horizontal="left" wrapText="1"/>
    </xf>
    <xf numFmtId="0" fontId="43" fillId="0" borderId="2" xfId="4" applyFont="1" applyFill="1" applyBorder="1" applyAlignment="1">
      <alignment horizontal="left" wrapText="1"/>
    </xf>
    <xf numFmtId="0" fontId="31" fillId="7" borderId="9" xfId="4" applyFont="1" applyFill="1" applyBorder="1" applyAlignment="1">
      <alignment horizontal="center" vertical="center"/>
    </xf>
    <xf numFmtId="0" fontId="1" fillId="0" borderId="16" xfId="4" applyFont="1" applyBorder="1" applyAlignment="1">
      <alignment horizontal="center"/>
    </xf>
    <xf numFmtId="0" fontId="1" fillId="0" borderId="4" xfId="4" applyFont="1" applyBorder="1" applyAlignment="1">
      <alignment horizontal="center"/>
    </xf>
    <xf numFmtId="0" fontId="1" fillId="0" borderId="1" xfId="4" applyFont="1" applyBorder="1" applyAlignment="1">
      <alignment horizontal="center"/>
    </xf>
    <xf numFmtId="168" fontId="1" fillId="0" borderId="2" xfId="2" applyFont="1" applyBorder="1" applyAlignment="1">
      <alignment horizontal="center" wrapText="1"/>
    </xf>
    <xf numFmtId="2" fontId="1" fillId="0" borderId="2" xfId="4" applyNumberFormat="1" applyFont="1" applyBorder="1" applyAlignment="1">
      <alignment horizontal="center"/>
    </xf>
    <xf numFmtId="0" fontId="31" fillId="9" borderId="4" xfId="4" applyFont="1" applyFill="1" applyBorder="1" applyAlignment="1">
      <alignment horizontal="left"/>
    </xf>
    <xf numFmtId="0" fontId="31" fillId="9" borderId="1" xfId="4" applyFont="1" applyFill="1" applyBorder="1" applyAlignment="1">
      <alignment horizontal="left"/>
    </xf>
    <xf numFmtId="0" fontId="27" fillId="7" borderId="63" xfId="4" applyFont="1" applyFill="1" applyBorder="1" applyAlignment="1">
      <alignment horizontal="center"/>
    </xf>
    <xf numFmtId="0" fontId="27" fillId="7" borderId="51" xfId="4" applyFont="1" applyFill="1" applyBorder="1" applyAlignment="1">
      <alignment horizontal="center"/>
    </xf>
    <xf numFmtId="0" fontId="35" fillId="0" borderId="72" xfId="4" applyFont="1" applyBorder="1" applyAlignment="1">
      <alignment horizontal="left" vertical="center"/>
    </xf>
    <xf numFmtId="0" fontId="35" fillId="0" borderId="7" xfId="4" applyFont="1" applyBorder="1" applyAlignment="1">
      <alignment horizontal="left" vertical="center"/>
    </xf>
    <xf numFmtId="43" fontId="41" fillId="0" borderId="7" xfId="4" applyNumberFormat="1" applyFont="1" applyBorder="1" applyAlignment="1">
      <alignment horizontal="center" vertical="center"/>
    </xf>
    <xf numFmtId="43" fontId="41" fillId="0" borderId="8" xfId="4" applyNumberFormat="1" applyFont="1" applyBorder="1" applyAlignment="1">
      <alignment horizontal="center" vertical="center"/>
    </xf>
    <xf numFmtId="9" fontId="31" fillId="0" borderId="74" xfId="5" applyFont="1" applyBorder="1" applyAlignment="1">
      <alignment horizontal="center" vertical="center"/>
    </xf>
    <xf numFmtId="9" fontId="31" fillId="0" borderId="73" xfId="5" applyFont="1" applyBorder="1" applyAlignment="1">
      <alignment horizontal="center" vertical="center"/>
    </xf>
    <xf numFmtId="43" fontId="31" fillId="0" borderId="7" xfId="4" applyNumberFormat="1" applyFont="1" applyBorder="1" applyAlignment="1">
      <alignment horizontal="center" vertical="center"/>
    </xf>
    <xf numFmtId="43" fontId="31" fillId="0" borderId="8" xfId="4" applyNumberFormat="1" applyFont="1" applyBorder="1" applyAlignment="1">
      <alignment horizontal="center" vertical="center"/>
    </xf>
    <xf numFmtId="168" fontId="1" fillId="9" borderId="2" xfId="2" applyFont="1" applyFill="1" applyBorder="1" applyAlignment="1">
      <alignment horizontal="center" wrapText="1"/>
    </xf>
    <xf numFmtId="2" fontId="1" fillId="9" borderId="2" xfId="4" applyNumberFormat="1" applyFont="1" applyFill="1" applyBorder="1" applyAlignment="1">
      <alignment horizontal="center"/>
    </xf>
    <xf numFmtId="4" fontId="27" fillId="7" borderId="11" xfId="4" applyNumberFormat="1" applyFont="1" applyFill="1" applyBorder="1" applyAlignment="1">
      <alignment horizontal="left"/>
    </xf>
    <xf numFmtId="0" fontId="27" fillId="7" borderId="1" xfId="4" applyFont="1" applyFill="1" applyBorder="1" applyAlignment="1">
      <alignment horizontal="left"/>
    </xf>
    <xf numFmtId="0" fontId="31" fillId="9" borderId="16" xfId="4" applyFont="1" applyFill="1" applyBorder="1" applyAlignment="1">
      <alignment horizontal="left"/>
    </xf>
    <xf numFmtId="4" fontId="1" fillId="9" borderId="11" xfId="4" applyNumberFormat="1" applyFont="1" applyFill="1" applyBorder="1" applyAlignment="1">
      <alignment horizontal="left"/>
    </xf>
    <xf numFmtId="0" fontId="1" fillId="9" borderId="18" xfId="4" applyFill="1" applyBorder="1" applyAlignment="1">
      <alignment horizontal="left"/>
    </xf>
    <xf numFmtId="0" fontId="1" fillId="9" borderId="2" xfId="4" applyFill="1" applyBorder="1" applyAlignment="1">
      <alignment horizontal="left"/>
    </xf>
    <xf numFmtId="0" fontId="34" fillId="0" borderId="3" xfId="4" applyFont="1" applyBorder="1" applyAlignment="1">
      <alignment horizontal="center" vertical="center" wrapText="1"/>
    </xf>
    <xf numFmtId="0" fontId="34" fillId="0" borderId="4" xfId="4" applyFont="1" applyBorder="1" applyAlignment="1">
      <alignment horizontal="center" vertical="center" wrapText="1"/>
    </xf>
    <xf numFmtId="0" fontId="34" fillId="0" borderId="11" xfId="4" applyFont="1" applyBorder="1" applyAlignment="1">
      <alignment horizontal="center" vertical="center" wrapText="1"/>
    </xf>
    <xf numFmtId="0" fontId="35" fillId="10" borderId="72" xfId="4" applyFont="1" applyFill="1" applyBorder="1" applyAlignment="1">
      <alignment horizontal="left" vertical="center"/>
    </xf>
    <xf numFmtId="0" fontId="35" fillId="10" borderId="7" xfId="4" applyFont="1" applyFill="1" applyBorder="1" applyAlignment="1">
      <alignment horizontal="left" vertical="center"/>
    </xf>
    <xf numFmtId="0" fontId="1" fillId="9" borderId="18" xfId="4" applyFont="1" applyFill="1" applyBorder="1" applyAlignment="1">
      <alignment horizontal="left"/>
    </xf>
    <xf numFmtId="0" fontId="1" fillId="9" borderId="2" xfId="4" applyFont="1" applyFill="1" applyBorder="1" applyAlignment="1">
      <alignment horizontal="left"/>
    </xf>
    <xf numFmtId="0" fontId="1" fillId="9" borderId="4" xfId="4" applyFill="1" applyBorder="1" applyAlignment="1">
      <alignment horizontal="left"/>
    </xf>
    <xf numFmtId="0" fontId="1" fillId="9" borderId="1" xfId="4" applyFill="1" applyBorder="1" applyAlignment="1">
      <alignment horizontal="left"/>
    </xf>
    <xf numFmtId="0" fontId="31" fillId="9" borderId="63" xfId="4" applyFont="1" applyFill="1" applyBorder="1" applyAlignment="1">
      <alignment horizontal="left"/>
    </xf>
    <xf numFmtId="0" fontId="31" fillId="9" borderId="51" xfId="4" applyFont="1" applyFill="1" applyBorder="1" applyAlignment="1">
      <alignment horizontal="left"/>
    </xf>
    <xf numFmtId="0" fontId="31" fillId="9" borderId="52" xfId="4" applyFont="1" applyFill="1" applyBorder="1" applyAlignment="1">
      <alignment horizontal="left"/>
    </xf>
    <xf numFmtId="0" fontId="40" fillId="9" borderId="16" xfId="4" applyFont="1" applyFill="1" applyBorder="1" applyAlignment="1">
      <alignment horizontal="left"/>
    </xf>
    <xf numFmtId="0" fontId="3" fillId="9" borderId="4" xfId="4" applyFont="1" applyFill="1" applyBorder="1" applyAlignment="1">
      <alignment horizontal="left"/>
    </xf>
    <xf numFmtId="0" fontId="3" fillId="9" borderId="1" xfId="4" applyFont="1" applyFill="1" applyBorder="1" applyAlignment="1">
      <alignment horizontal="left"/>
    </xf>
    <xf numFmtId="0" fontId="6" fillId="0" borderId="16" xfId="4" applyFont="1" applyBorder="1" applyAlignment="1">
      <alignment horizontal="left"/>
    </xf>
    <xf numFmtId="0" fontId="6" fillId="0" borderId="4" xfId="4" applyFont="1" applyBorder="1" applyAlignment="1">
      <alignment horizontal="left"/>
    </xf>
    <xf numFmtId="0" fontId="6" fillId="0" borderId="11" xfId="4" applyFont="1" applyBorder="1" applyAlignment="1">
      <alignment horizontal="left"/>
    </xf>
    <xf numFmtId="0" fontId="31" fillId="0" borderId="18" xfId="4" applyFont="1" applyFill="1" applyBorder="1" applyAlignment="1">
      <alignment horizontal="left"/>
    </xf>
    <xf numFmtId="0" fontId="31" fillId="0" borderId="2" xfId="4" applyFont="1" applyFill="1" applyBorder="1" applyAlignment="1">
      <alignment horizontal="left"/>
    </xf>
    <xf numFmtId="0" fontId="26" fillId="0" borderId="18" xfId="4" applyFont="1" applyFill="1" applyBorder="1" applyAlignment="1">
      <alignment horizontal="left"/>
    </xf>
    <xf numFmtId="0" fontId="26" fillId="0" borderId="2" xfId="4" applyFont="1" applyFill="1" applyBorder="1" applyAlignment="1">
      <alignment horizontal="left"/>
    </xf>
    <xf numFmtId="0" fontId="6" fillId="7" borderId="16" xfId="4" applyFont="1" applyFill="1" applyBorder="1" applyAlignment="1">
      <alignment horizontal="left"/>
    </xf>
    <xf numFmtId="0" fontId="6" fillId="7" borderId="4" xfId="4" applyFont="1" applyFill="1" applyBorder="1" applyAlignment="1">
      <alignment horizontal="left"/>
    </xf>
    <xf numFmtId="0" fontId="6" fillId="7" borderId="11" xfId="4" applyFont="1" applyFill="1" applyBorder="1" applyAlignment="1">
      <alignment horizontal="left"/>
    </xf>
    <xf numFmtId="0" fontId="3" fillId="9" borderId="18" xfId="4" applyFont="1" applyFill="1" applyBorder="1" applyAlignment="1">
      <alignment horizontal="left"/>
    </xf>
    <xf numFmtId="0" fontId="3" fillId="9" borderId="2" xfId="4" applyFont="1" applyFill="1" applyBorder="1" applyAlignment="1">
      <alignment horizontal="left"/>
    </xf>
    <xf numFmtId="179" fontId="1" fillId="0" borderId="2" xfId="4" applyNumberFormat="1" applyBorder="1" applyAlignment="1">
      <alignment horizontal="center"/>
    </xf>
    <xf numFmtId="0" fontId="44" fillId="0" borderId="18" xfId="4" applyFont="1" applyBorder="1" applyAlignment="1">
      <alignment horizontal="left" wrapText="1"/>
    </xf>
    <xf numFmtId="0" fontId="44" fillId="0" borderId="2" xfId="4" applyFont="1" applyBorder="1" applyAlignment="1">
      <alignment horizontal="left" wrapText="1"/>
    </xf>
    <xf numFmtId="0" fontId="3" fillId="0" borderId="16" xfId="4" applyFont="1" applyBorder="1" applyAlignment="1">
      <alignment horizontal="left" wrapText="1"/>
    </xf>
    <xf numFmtId="0" fontId="3" fillId="0" borderId="4" xfId="4" applyFont="1" applyBorder="1" applyAlignment="1">
      <alignment horizontal="left" wrapText="1"/>
    </xf>
    <xf numFmtId="0" fontId="3" fillId="0" borderId="1" xfId="4" applyFont="1" applyBorder="1" applyAlignment="1">
      <alignment horizontal="left" wrapText="1"/>
    </xf>
    <xf numFmtId="0" fontId="31" fillId="7" borderId="2" xfId="4" applyFont="1" applyFill="1" applyBorder="1" applyAlignment="1">
      <alignment horizontal="left"/>
    </xf>
    <xf numFmtId="0" fontId="3" fillId="4" borderId="18" xfId="4" applyFont="1" applyFill="1" applyBorder="1" applyAlignment="1">
      <alignment horizontal="left"/>
    </xf>
    <xf numFmtId="0" fontId="3" fillId="4" borderId="2" xfId="4" applyFont="1" applyFill="1" applyBorder="1" applyAlignment="1">
      <alignment horizontal="left"/>
    </xf>
    <xf numFmtId="0" fontId="3" fillId="4" borderId="18" xfId="4" applyFont="1" applyFill="1" applyBorder="1" applyAlignment="1">
      <alignment horizontal="left" wrapText="1"/>
    </xf>
    <xf numFmtId="0" fontId="3" fillId="4" borderId="2" xfId="4" applyFont="1" applyFill="1" applyBorder="1" applyAlignment="1">
      <alignment horizontal="left" wrapText="1"/>
    </xf>
    <xf numFmtId="0" fontId="1" fillId="0" borderId="16" xfId="4" applyBorder="1" applyAlignment="1">
      <alignment horizontal="left" wrapText="1" shrinkToFit="1"/>
    </xf>
    <xf numFmtId="0" fontId="1" fillId="0" borderId="4" xfId="4" applyBorder="1" applyAlignment="1">
      <alignment horizontal="left" wrapText="1" shrinkToFit="1"/>
    </xf>
    <xf numFmtId="0" fontId="1" fillId="0" borderId="1" xfId="4" applyBorder="1" applyAlignment="1">
      <alignment horizontal="left" wrapText="1" shrinkToFit="1"/>
    </xf>
    <xf numFmtId="0" fontId="1" fillId="0" borderId="3" xfId="4" applyBorder="1" applyAlignment="1">
      <alignment horizontal="center"/>
    </xf>
    <xf numFmtId="2" fontId="31" fillId="9" borderId="2" xfId="4" applyNumberFormat="1" applyFont="1" applyFill="1" applyBorder="1" applyAlignment="1">
      <alignment horizontal="center"/>
    </xf>
    <xf numFmtId="168" fontId="31" fillId="9" borderId="2" xfId="2" applyFont="1" applyFill="1" applyBorder="1" applyAlignment="1">
      <alignment horizontal="center" wrapText="1"/>
    </xf>
    <xf numFmtId="168" fontId="1" fillId="9" borderId="2" xfId="2" applyFill="1" applyBorder="1" applyAlignment="1">
      <alignment horizontal="center" wrapText="1"/>
    </xf>
    <xf numFmtId="2" fontId="1" fillId="9" borderId="2" xfId="4" applyNumberFormat="1" applyFill="1" applyBorder="1" applyAlignment="1">
      <alignment horizontal="center"/>
    </xf>
    <xf numFmtId="0" fontId="23" fillId="0" borderId="16" xfId="4" applyFont="1" applyBorder="1" applyAlignment="1">
      <alignment wrapText="1"/>
    </xf>
    <xf numFmtId="0" fontId="23" fillId="0" borderId="4" xfId="4" applyFont="1" applyBorder="1" applyAlignment="1">
      <alignment wrapText="1"/>
    </xf>
    <xf numFmtId="0" fontId="23" fillId="0" borderId="1" xfId="4" applyFont="1" applyBorder="1" applyAlignment="1">
      <alignment wrapText="1"/>
    </xf>
    <xf numFmtId="0" fontId="1" fillId="0" borderId="16" xfId="4" applyFont="1" applyBorder="1" applyAlignment="1">
      <alignment horizontal="justify" wrapText="1"/>
    </xf>
    <xf numFmtId="0" fontId="1" fillId="0" borderId="4" xfId="4" applyFont="1" applyBorder="1" applyAlignment="1">
      <alignment horizontal="justify" wrapText="1"/>
    </xf>
    <xf numFmtId="0" fontId="1" fillId="0" borderId="1" xfId="4" applyFont="1" applyBorder="1" applyAlignment="1">
      <alignment horizontal="justify" wrapText="1"/>
    </xf>
    <xf numFmtId="0" fontId="1" fillId="0" borderId="16" xfId="4" applyFont="1" applyBorder="1" applyAlignment="1">
      <alignment wrapText="1"/>
    </xf>
    <xf numFmtId="0" fontId="1" fillId="0" borderId="4" xfId="4" applyFont="1" applyBorder="1" applyAlignment="1">
      <alignment wrapText="1"/>
    </xf>
    <xf numFmtId="0" fontId="1" fillId="0" borderId="1" xfId="4" applyFont="1" applyBorder="1" applyAlignment="1">
      <alignment wrapText="1"/>
    </xf>
    <xf numFmtId="0" fontId="1" fillId="0" borderId="16" xfId="4" applyBorder="1" applyAlignment="1">
      <alignment horizontal="left" vertical="center" wrapText="1" shrinkToFit="1"/>
    </xf>
    <xf numFmtId="0" fontId="1" fillId="0" borderId="4" xfId="4" applyBorder="1" applyAlignment="1">
      <alignment horizontal="left" vertical="center" wrapText="1" shrinkToFit="1"/>
    </xf>
    <xf numFmtId="0" fontId="1" fillId="0" borderId="1" xfId="4" applyBorder="1" applyAlignment="1">
      <alignment horizontal="left" vertical="center" wrapText="1" shrinkToFit="1"/>
    </xf>
    <xf numFmtId="0" fontId="3" fillId="0" borderId="16" xfId="4" applyFont="1" applyBorder="1" applyAlignment="1">
      <alignment horizontal="left" vertical="center"/>
    </xf>
    <xf numFmtId="0" fontId="3" fillId="0" borderId="4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6" fillId="0" borderId="61" xfId="4" applyFont="1" applyBorder="1" applyAlignment="1">
      <alignment horizontal="left"/>
    </xf>
    <xf numFmtId="0" fontId="6" fillId="0" borderId="62" xfId="4" applyFont="1" applyBorder="1" applyAlignment="1">
      <alignment horizontal="left"/>
    </xf>
    <xf numFmtId="0" fontId="1" fillId="0" borderId="5" xfId="4" applyBorder="1" applyAlignment="1">
      <alignment horizontal="center" vertical="center" wrapText="1"/>
    </xf>
    <xf numFmtId="0" fontId="1" fillId="0" borderId="25" xfId="4" applyBorder="1" applyAlignment="1">
      <alignment horizontal="center" vertical="center"/>
    </xf>
    <xf numFmtId="0" fontId="1" fillId="0" borderId="5" xfId="4" applyBorder="1" applyAlignment="1">
      <alignment horizontal="center" vertical="center"/>
    </xf>
    <xf numFmtId="0" fontId="1" fillId="0" borderId="23" xfId="4" applyBorder="1" applyAlignment="1">
      <alignment horizontal="left"/>
    </xf>
    <xf numFmtId="2" fontId="19" fillId="3" borderId="2" xfId="0" applyNumberFormat="1" applyFont="1" applyFill="1" applyBorder="1" applyAlignment="1" applyProtection="1">
      <alignment vertical="center" wrapText="1"/>
    </xf>
    <xf numFmtId="172" fontId="19" fillId="3" borderId="2" xfId="0" applyNumberFormat="1" applyFont="1" applyFill="1" applyBorder="1" applyAlignment="1" applyProtection="1">
      <alignment vertical="center" wrapText="1"/>
    </xf>
    <xf numFmtId="4" fontId="19" fillId="3" borderId="2" xfId="0" applyNumberFormat="1" applyFont="1" applyFill="1" applyBorder="1" applyAlignment="1" applyProtection="1">
      <alignment vertical="center" wrapText="1"/>
    </xf>
    <xf numFmtId="2" fontId="58" fillId="3" borderId="2" xfId="0" applyNumberFormat="1" applyFont="1" applyFill="1" applyBorder="1" applyAlignment="1" applyProtection="1">
      <alignment vertical="center" wrapText="1"/>
    </xf>
    <xf numFmtId="172" fontId="58" fillId="3" borderId="2" xfId="0" applyNumberFormat="1" applyFont="1" applyFill="1" applyBorder="1" applyAlignment="1" applyProtection="1">
      <alignment vertical="center" wrapText="1"/>
    </xf>
    <xf numFmtId="4" fontId="58" fillId="3" borderId="2" xfId="0" applyNumberFormat="1" applyFont="1" applyFill="1" applyBorder="1" applyAlignment="1" applyProtection="1">
      <alignment vertical="center" wrapText="1"/>
    </xf>
    <xf numFmtId="2" fontId="58" fillId="3" borderId="2" xfId="0" applyNumberFormat="1" applyFont="1" applyFill="1" applyBorder="1" applyAlignment="1" applyProtection="1">
      <alignment horizontal="center" vertical="center"/>
    </xf>
    <xf numFmtId="0" fontId="58" fillId="3" borderId="2" xfId="0" applyFont="1" applyFill="1" applyBorder="1" applyAlignment="1" applyProtection="1">
      <alignment vertical="center" wrapText="1"/>
    </xf>
    <xf numFmtId="2" fontId="58" fillId="4" borderId="2" xfId="0" applyNumberFormat="1" applyFont="1" applyFill="1" applyBorder="1" applyAlignment="1" applyProtection="1">
      <alignment horizontal="center" vertical="center"/>
    </xf>
    <xf numFmtId="0" fontId="58" fillId="4" borderId="2" xfId="0" applyFont="1" applyFill="1" applyBorder="1" applyAlignment="1" applyProtection="1">
      <alignment horizontal="justify" vertical="center" wrapText="1"/>
    </xf>
    <xf numFmtId="2" fontId="59" fillId="0" borderId="2" xfId="0" applyNumberFormat="1" applyFont="1" applyBorder="1" applyAlignment="1" applyProtection="1">
      <alignment horizontal="center" vertical="center"/>
    </xf>
    <xf numFmtId="0" fontId="59" fillId="0" borderId="2" xfId="0" applyFont="1" applyBorder="1" applyAlignment="1" applyProtection="1">
      <alignment horizontal="justify" vertical="center" wrapText="1"/>
    </xf>
    <xf numFmtId="0" fontId="59" fillId="0" borderId="2" xfId="0" applyFont="1" applyBorder="1" applyAlignment="1" applyProtection="1">
      <alignment horizontal="center" vertical="center"/>
    </xf>
    <xf numFmtId="173" fontId="59" fillId="0" borderId="2" xfId="0" applyNumberFormat="1" applyFont="1" applyFill="1" applyBorder="1" applyAlignment="1" applyProtection="1">
      <alignment horizontal="right" vertical="center"/>
    </xf>
    <xf numFmtId="0" fontId="59" fillId="0" borderId="2" xfId="0" applyFont="1" applyFill="1" applyBorder="1" applyAlignment="1" applyProtection="1">
      <alignment horizontal="center" vertical="center"/>
    </xf>
    <xf numFmtId="2" fontId="59" fillId="0" borderId="2" xfId="0" applyNumberFormat="1" applyFont="1" applyFill="1" applyBorder="1" applyAlignment="1" applyProtection="1">
      <alignment horizontal="center" vertical="center"/>
    </xf>
    <xf numFmtId="0" fontId="59" fillId="0" borderId="2" xfId="0" applyFont="1" applyFill="1" applyBorder="1" applyAlignment="1" applyProtection="1">
      <alignment horizontal="justify" vertical="center" wrapText="1"/>
    </xf>
    <xf numFmtId="0" fontId="58" fillId="3" borderId="3" xfId="0" applyFont="1" applyFill="1" applyBorder="1" applyAlignment="1" applyProtection="1">
      <alignment vertical="center" wrapText="1"/>
    </xf>
    <xf numFmtId="0" fontId="58" fillId="3" borderId="4" xfId="0" applyFont="1" applyFill="1" applyBorder="1" applyAlignment="1" applyProtection="1">
      <alignment vertical="center" wrapText="1"/>
    </xf>
    <xf numFmtId="0" fontId="59" fillId="0" borderId="2" xfId="0" applyNumberFormat="1" applyFont="1" applyFill="1" applyBorder="1" applyAlignment="1" applyProtection="1">
      <alignment horizontal="justify" vertical="center" wrapText="1"/>
    </xf>
    <xf numFmtId="0" fontId="59" fillId="0" borderId="2" xfId="0" applyNumberFormat="1" applyFont="1" applyFill="1" applyBorder="1" applyAlignment="1" applyProtection="1">
      <alignment horizontal="center" vertical="center"/>
    </xf>
    <xf numFmtId="0" fontId="59" fillId="0" borderId="4" xfId="0" applyNumberFormat="1" applyFont="1" applyFill="1" applyBorder="1" applyAlignment="1" applyProtection="1">
      <alignment horizontal="center" vertical="center"/>
    </xf>
    <xf numFmtId="2" fontId="19" fillId="13" borderId="2" xfId="0" applyNumberFormat="1" applyFont="1" applyFill="1" applyBorder="1" applyAlignment="1" applyProtection="1">
      <alignment horizontal="center" vertical="center"/>
    </xf>
    <xf numFmtId="0" fontId="19" fillId="13" borderId="3" xfId="0" applyNumberFormat="1" applyFont="1" applyFill="1" applyBorder="1" applyAlignment="1" applyProtection="1">
      <alignment horizontal="justify" vertical="center" wrapText="1"/>
    </xf>
    <xf numFmtId="0" fontId="3" fillId="13" borderId="4" xfId="0" applyNumberFormat="1" applyFont="1" applyFill="1" applyBorder="1" applyAlignment="1" applyProtection="1">
      <alignment horizontal="center" vertical="center"/>
    </xf>
    <xf numFmtId="0" fontId="3" fillId="13" borderId="4" xfId="0" applyNumberFormat="1" applyFont="1" applyFill="1" applyBorder="1" applyAlignment="1" applyProtection="1">
      <alignment vertical="center"/>
    </xf>
    <xf numFmtId="2" fontId="19" fillId="4" borderId="2" xfId="0" applyNumberFormat="1" applyFont="1" applyFill="1" applyBorder="1" applyAlignment="1" applyProtection="1">
      <alignment horizontal="center" vertical="center"/>
    </xf>
    <xf numFmtId="0" fontId="19" fillId="4" borderId="2" xfId="0" applyFont="1" applyFill="1" applyBorder="1" applyAlignment="1" applyProtection="1">
      <alignment horizontal="justify" vertical="center" wrapText="1"/>
    </xf>
    <xf numFmtId="2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justify" vertical="center" wrapText="1"/>
    </xf>
    <xf numFmtId="0" fontId="3" fillId="0" borderId="2" xfId="0" applyNumberFormat="1" applyFont="1" applyFill="1" applyBorder="1" applyAlignment="1" applyProtection="1">
      <alignment horizontal="center" vertical="center"/>
    </xf>
    <xf numFmtId="173" fontId="3" fillId="0" borderId="2" xfId="0" applyNumberFormat="1" applyFont="1" applyFill="1" applyBorder="1" applyAlignment="1" applyProtection="1">
      <alignment horizontal="right" vertical="center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3" xfId="0" applyNumberFormat="1" applyFont="1" applyFill="1" applyBorder="1" applyAlignment="1" applyProtection="1">
      <alignment horizontal="right" vertical="center" wrapText="1"/>
    </xf>
    <xf numFmtId="0" fontId="6" fillId="0" borderId="4" xfId="0" applyNumberFormat="1" applyFont="1" applyFill="1" applyBorder="1" applyAlignment="1" applyProtection="1">
      <alignment horizontal="right" vertical="center" wrapText="1"/>
    </xf>
    <xf numFmtId="0" fontId="6" fillId="0" borderId="1" xfId="0" applyNumberFormat="1" applyFont="1" applyFill="1" applyBorder="1" applyAlignment="1" applyProtection="1">
      <alignment horizontal="right" vertical="center" wrapText="1"/>
    </xf>
    <xf numFmtId="0" fontId="8" fillId="0" borderId="9" xfId="0" applyNumberFormat="1" applyFont="1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8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0" applyNumberFormat="1" applyFont="1" applyFill="1" applyBorder="1" applyAlignment="1" applyProtection="1">
      <alignment vertical="center" wrapText="1"/>
      <protection locked="0"/>
    </xf>
    <xf numFmtId="0" fontId="4" fillId="0" borderId="4" xfId="0" applyNumberFormat="1" applyFont="1" applyFill="1" applyBorder="1" applyAlignment="1" applyProtection="1">
      <alignment vertical="center" wrapText="1"/>
      <protection locked="0"/>
    </xf>
    <xf numFmtId="0" fontId="4" fillId="0" borderId="1" xfId="0" applyNumberFormat="1" applyFont="1" applyFill="1" applyBorder="1" applyAlignment="1" applyProtection="1">
      <alignment vertical="center" wrapText="1"/>
      <protection locked="0"/>
    </xf>
    <xf numFmtId="4" fontId="58" fillId="3" borderId="2" xfId="0" applyNumberFormat="1" applyFont="1" applyFill="1" applyBorder="1" applyAlignment="1" applyProtection="1">
      <alignment vertical="center" wrapText="1"/>
      <protection locked="0"/>
    </xf>
    <xf numFmtId="4" fontId="58" fillId="3" borderId="13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58" fillId="3" borderId="2" xfId="0" applyFont="1" applyFill="1" applyBorder="1" applyAlignment="1" applyProtection="1">
      <alignment vertical="center" wrapText="1"/>
      <protection locked="0"/>
    </xf>
    <xf numFmtId="4" fontId="58" fillId="3" borderId="2" xfId="0" applyNumberFormat="1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58" fillId="4" borderId="2" xfId="0" applyFont="1" applyFill="1" applyBorder="1" applyAlignment="1" applyProtection="1">
      <alignment horizontal="justify" vertical="center" wrapText="1"/>
      <protection locked="0"/>
    </xf>
    <xf numFmtId="171" fontId="58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58" fillId="4" borderId="2" xfId="0" applyNumberFormat="1" applyFont="1" applyFill="1" applyBorder="1" applyAlignment="1" applyProtection="1">
      <alignment vertical="center"/>
      <protection locked="0"/>
    </xf>
    <xf numFmtId="0" fontId="0" fillId="0" borderId="2" xfId="0" applyBorder="1" applyAlignment="1" applyProtection="1">
      <alignment horizontal="right" vertical="center"/>
      <protection locked="0"/>
    </xf>
    <xf numFmtId="4" fontId="59" fillId="9" borderId="2" xfId="0" applyNumberFormat="1" applyFont="1" applyFill="1" applyBorder="1" applyAlignment="1" applyProtection="1">
      <alignment horizontal="right" vertical="center"/>
      <protection locked="0"/>
    </xf>
    <xf numFmtId="0" fontId="7" fillId="0" borderId="0" xfId="0" applyFont="1" applyAlignment="1" applyProtection="1">
      <alignment vertical="center"/>
      <protection locked="0"/>
    </xf>
    <xf numFmtId="4" fontId="60" fillId="9" borderId="2" xfId="0" applyNumberFormat="1" applyFont="1" applyFill="1" applyBorder="1" applyAlignment="1" applyProtection="1">
      <alignment horizontal="right" vertical="center"/>
      <protection locked="0"/>
    </xf>
    <xf numFmtId="0" fontId="31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58" fillId="3" borderId="4" xfId="0" applyFont="1" applyFill="1" applyBorder="1" applyAlignment="1" applyProtection="1">
      <alignment vertical="center" wrapText="1"/>
      <protection locked="0"/>
    </xf>
    <xf numFmtId="0" fontId="58" fillId="3" borderId="1" xfId="0" applyFont="1" applyFill="1" applyBorder="1" applyAlignment="1" applyProtection="1">
      <alignment vertical="center" wrapText="1"/>
      <protection locked="0"/>
    </xf>
    <xf numFmtId="4" fontId="60" fillId="9" borderId="2" xfId="0" applyNumberFormat="1" applyFont="1" applyFill="1" applyBorder="1" applyAlignment="1" applyProtection="1">
      <alignment vertical="center"/>
      <protection locked="0"/>
    </xf>
    <xf numFmtId="2" fontId="1" fillId="7" borderId="0" xfId="0" applyNumberFormat="1" applyFont="1" applyFill="1" applyBorder="1" applyAlignment="1" applyProtection="1">
      <alignment horizontal="center" vertical="center"/>
      <protection locked="0"/>
    </xf>
    <xf numFmtId="0" fontId="1" fillId="7" borderId="0" xfId="0" applyFont="1" applyFill="1" applyBorder="1" applyAlignment="1" applyProtection="1">
      <alignment horizontal="justify" vertical="center" wrapText="1"/>
      <protection locked="0"/>
    </xf>
    <xf numFmtId="0" fontId="1" fillId="7" borderId="0" xfId="0" applyFont="1" applyFill="1" applyBorder="1" applyAlignment="1" applyProtection="1">
      <alignment horizontal="center" vertical="center"/>
      <protection locked="0"/>
    </xf>
    <xf numFmtId="173" fontId="2" fillId="7" borderId="0" xfId="0" applyNumberFormat="1" applyFont="1" applyFill="1" applyBorder="1" applyAlignment="1" applyProtection="1">
      <alignment horizontal="right" vertical="center"/>
      <protection locked="0"/>
    </xf>
    <xf numFmtId="4" fontId="2" fillId="7" borderId="0" xfId="0" applyNumberFormat="1" applyFont="1" applyFill="1" applyBorder="1" applyAlignment="1" applyProtection="1">
      <alignment horizontal="right" vertical="center"/>
      <protection locked="0"/>
    </xf>
    <xf numFmtId="4" fontId="1" fillId="7" borderId="0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Fill="1" applyAlignment="1" applyProtection="1">
      <alignment vertical="center"/>
      <protection locked="0"/>
    </xf>
    <xf numFmtId="0" fontId="6" fillId="0" borderId="1" xfId="0" applyNumberFormat="1" applyFont="1" applyFill="1" applyBorder="1" applyAlignment="1" applyProtection="1">
      <alignment vertical="center" wrapText="1"/>
      <protection locked="0"/>
    </xf>
    <xf numFmtId="0" fontId="6" fillId="0" borderId="2" xfId="0" applyNumberFormat="1" applyFont="1" applyFill="1" applyBorder="1" applyAlignment="1" applyProtection="1">
      <alignment vertical="center" wrapText="1"/>
      <protection locked="0"/>
    </xf>
    <xf numFmtId="171" fontId="6" fillId="0" borderId="2" xfId="0" applyNumberFormat="1" applyFont="1" applyFill="1" applyBorder="1" applyAlignment="1" applyProtection="1">
      <alignment vertical="center"/>
      <protection locked="0"/>
    </xf>
    <xf numFmtId="9" fontId="6" fillId="0" borderId="2" xfId="0" applyNumberFormat="1" applyFont="1" applyFill="1" applyBorder="1" applyAlignment="1" applyProtection="1">
      <alignment vertical="center" wrapText="1"/>
      <protection locked="0"/>
    </xf>
    <xf numFmtId="0" fontId="6" fillId="0" borderId="0" xfId="0" applyNumberFormat="1" applyFont="1" applyFill="1" applyBorder="1" applyAlignment="1" applyProtection="1">
      <alignment wrapText="1"/>
      <protection locked="0"/>
    </xf>
    <xf numFmtId="2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vertical="center"/>
      <protection locked="0"/>
    </xf>
    <xf numFmtId="4" fontId="8" fillId="0" borderId="0" xfId="0" applyNumberFormat="1" applyFont="1" applyProtection="1">
      <protection locked="0"/>
    </xf>
    <xf numFmtId="4" fontId="2" fillId="0" borderId="0" xfId="0" applyNumberFormat="1" applyFont="1" applyFill="1" applyBorder="1" applyAlignment="1" applyProtection="1">
      <alignment horizontal="right" vertical="center"/>
      <protection locked="0"/>
    </xf>
    <xf numFmtId="4" fontId="1" fillId="0" borderId="0" xfId="0" applyNumberFormat="1" applyFont="1" applyFill="1" applyBorder="1" applyAlignment="1" applyProtection="1">
      <alignment vertical="center"/>
      <protection locked="0"/>
    </xf>
    <xf numFmtId="3" fontId="8" fillId="0" borderId="0" xfId="0" applyNumberFormat="1" applyFont="1" applyProtection="1">
      <protection locked="0"/>
    </xf>
    <xf numFmtId="2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/>
    </xf>
    <xf numFmtId="4" fontId="7" fillId="0" borderId="0" xfId="0" applyNumberFormat="1" applyFont="1" applyFill="1" applyBorder="1" applyAlignment="1" applyProtection="1">
      <alignment vertical="center"/>
      <protection locked="0"/>
    </xf>
    <xf numFmtId="4" fontId="19" fillId="3" borderId="2" xfId="0" applyNumberFormat="1" applyFont="1" applyFill="1" applyBorder="1" applyAlignment="1" applyProtection="1">
      <alignment vertical="center" wrapText="1"/>
      <protection locked="0"/>
    </xf>
    <xf numFmtId="4" fontId="19" fillId="3" borderId="13" xfId="0" applyNumberFormat="1" applyFont="1" applyFill="1" applyBorder="1" applyAlignment="1" applyProtection="1">
      <alignment vertical="center" wrapText="1"/>
      <protection locked="0"/>
    </xf>
    <xf numFmtId="4" fontId="3" fillId="13" borderId="4" xfId="0" applyNumberFormat="1" applyFont="1" applyFill="1" applyBorder="1" applyAlignment="1" applyProtection="1">
      <alignment vertical="center"/>
      <protection locked="0"/>
    </xf>
    <xf numFmtId="4" fontId="3" fillId="13" borderId="1" xfId="0" applyNumberFormat="1" applyFont="1" applyFill="1" applyBorder="1" applyAlignment="1" applyProtection="1">
      <alignment horizontal="right" vertical="center"/>
      <protection locked="0"/>
    </xf>
    <xf numFmtId="4" fontId="19" fillId="3" borderId="2" xfId="0" applyNumberFormat="1" applyFont="1" applyFill="1" applyBorder="1" applyAlignment="1" applyProtection="1">
      <alignment vertical="center"/>
      <protection locked="0"/>
    </xf>
    <xf numFmtId="0" fontId="19" fillId="4" borderId="2" xfId="0" applyFont="1" applyFill="1" applyBorder="1" applyAlignment="1" applyProtection="1">
      <alignment horizontal="justify" vertical="center" wrapText="1"/>
      <protection locked="0"/>
    </xf>
    <xf numFmtId="171" fontId="19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19" fillId="4" borderId="2" xfId="0" applyNumberFormat="1" applyFont="1" applyFill="1" applyBorder="1" applyAlignment="1" applyProtection="1">
      <alignment vertical="center"/>
      <protection locked="0"/>
    </xf>
    <xf numFmtId="171" fontId="3" fillId="0" borderId="2" xfId="8" applyNumberFormat="1" applyFont="1" applyFill="1" applyBorder="1" applyAlignment="1" applyProtection="1">
      <alignment horizontal="right" vertical="center"/>
      <protection locked="0"/>
    </xf>
    <xf numFmtId="171" fontId="3" fillId="0" borderId="2" xfId="0" applyNumberFormat="1" applyFont="1" applyFill="1" applyBorder="1" applyAlignment="1" applyProtection="1">
      <alignment horizontal="right" vertical="center"/>
      <protection locked="0"/>
    </xf>
    <xf numFmtId="4" fontId="40" fillId="9" borderId="2" xfId="0" applyNumberFormat="1" applyFont="1" applyFill="1" applyBorder="1" applyAlignment="1" applyProtection="1">
      <alignment vertical="center"/>
      <protection locked="0"/>
    </xf>
    <xf numFmtId="165" fontId="1" fillId="0" borderId="0" xfId="1" applyFont="1" applyAlignment="1" applyProtection="1">
      <alignment vertical="center"/>
      <protection locked="0"/>
    </xf>
    <xf numFmtId="0" fontId="6" fillId="0" borderId="51" xfId="0" applyNumberFormat="1" applyFont="1" applyFill="1" applyBorder="1" applyAlignment="1" applyProtection="1">
      <alignment vertical="center"/>
      <protection locked="0"/>
    </xf>
    <xf numFmtId="165" fontId="0" fillId="0" borderId="0" xfId="1" applyFont="1" applyAlignment="1" applyProtection="1">
      <alignment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6" fontId="1" fillId="0" borderId="0" xfId="0" applyNumberFormat="1" applyFont="1" applyProtection="1">
      <protection locked="0"/>
    </xf>
    <xf numFmtId="0" fontId="6" fillId="0" borderId="2" xfId="0" applyFont="1" applyBorder="1" applyAlignment="1" applyProtection="1">
      <alignment horizontal="center" vertical="center"/>
    </xf>
    <xf numFmtId="183" fontId="1" fillId="0" borderId="2" xfId="0" applyNumberFormat="1" applyFont="1" applyBorder="1" applyProtection="1">
      <protection locked="0"/>
    </xf>
  </cellXfs>
  <cellStyles count="11">
    <cellStyle name="Hipervínculo" xfId="8" builtinId="8"/>
    <cellStyle name="Millares" xfId="1" builtinId="3"/>
    <cellStyle name="Millares_Cantidades y precios - La Pampa La Venta" xfId="2"/>
    <cellStyle name="Moneda" xfId="3" builtinId="4"/>
    <cellStyle name="Moneda 2" xfId="10"/>
    <cellStyle name="Normal" xfId="0" builtinId="0"/>
    <cellStyle name="Normal 2" xfId="6"/>
    <cellStyle name="Normal 2 2 2" xfId="9"/>
    <cellStyle name="Normal_Cantidades y precios - La Pampa La Venta" xfId="4"/>
    <cellStyle name="Normal_EXPERIENCIA-CONTRATO EJECUCION AIU 014-04" xfId="7"/>
    <cellStyle name="Porcentaje" xfId="5" builtinId="5"/>
  </cellStyles>
  <dxfs count="16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Light16"/>
  <colors>
    <mruColors>
      <color rgb="FF99CC00"/>
      <color rgb="FFCCFFCC"/>
      <color rgb="FF3EDA00"/>
      <color rgb="FF74FCFC"/>
      <color rgb="FF99FF99"/>
      <color rgb="FFBBF4F5"/>
      <color rgb="FF99CC50"/>
      <color rgb="FF99CC3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theme" Target="theme/theme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styles" Target="styles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sharedStrings" Target="sharedString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externalLink" Target="externalLinks/externalLink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22</xdr:row>
      <xdr:rowOff>47625</xdr:rowOff>
    </xdr:from>
    <xdr:to>
      <xdr:col>4</xdr:col>
      <xdr:colOff>76200</xdr:colOff>
      <xdr:row>27</xdr:row>
      <xdr:rowOff>152400</xdr:rowOff>
    </xdr:to>
    <xdr:sp macro="" textlink="">
      <xdr:nvSpPr>
        <xdr:cNvPr id="141325" name="Rectangle 13">
          <a:extLst>
            <a:ext uri="{FF2B5EF4-FFF2-40B4-BE49-F238E27FC236}">
              <a16:creationId xmlns="" xmlns:a16="http://schemas.microsoft.com/office/drawing/2014/main" id="{00000000-0008-0000-0000-00000D280200}"/>
            </a:ext>
          </a:extLst>
        </xdr:cNvPr>
        <xdr:cNvSpPr>
          <a:spLocks noChangeArrowheads="1"/>
        </xdr:cNvSpPr>
      </xdr:nvSpPr>
      <xdr:spPr bwMode="auto">
        <a:xfrm>
          <a:off x="5124450" y="6048375"/>
          <a:ext cx="914400" cy="914400"/>
        </a:xfrm>
        <a:prstGeom prst="rect">
          <a:avLst/>
        </a:prstGeom>
        <a:noFill/>
        <a:ln w="9525" algn="ctr">
          <a:solidFill>
            <a:srgbClr val="FFFFFF"/>
          </a:solidFill>
          <a:miter lim="800000"/>
          <a:headEnd/>
          <a:tailEnd/>
        </a:ln>
        <a:effectLst/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00713" name="Picture 9" descr="escudo blanco y negro">
          <a:extLst>
            <a:ext uri="{FF2B5EF4-FFF2-40B4-BE49-F238E27FC236}">
              <a16:creationId xmlns="" xmlns:a16="http://schemas.microsoft.com/office/drawing/2014/main" id="{00000000-0008-0000-1B00-0000091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7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7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32453" name="Picture 5" descr="escudo blanco y negro">
          <a:extLst>
            <a:ext uri="{FF2B5EF4-FFF2-40B4-BE49-F238E27FC236}">
              <a16:creationId xmlns="" xmlns:a16="http://schemas.microsoft.com/office/drawing/2014/main" id="{00000000-0008-0000-7800-0000058C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33478" name="Picture 6" descr="escudo blanco y negro">
          <a:extLst>
            <a:ext uri="{FF2B5EF4-FFF2-40B4-BE49-F238E27FC236}">
              <a16:creationId xmlns="" xmlns:a16="http://schemas.microsoft.com/office/drawing/2014/main" id="{00000000-0008-0000-7900-0000069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5" descr="escudo blanco y negro">
          <a:extLst>
            <a:ext uri="{FF2B5EF4-FFF2-40B4-BE49-F238E27FC236}">
              <a16:creationId xmlns="" xmlns:a16="http://schemas.microsoft.com/office/drawing/2014/main" id="{00000000-0008-0000-7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7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7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7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7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7" descr="escudo blanco y negro">
          <a:extLst>
            <a:ext uri="{FF2B5EF4-FFF2-40B4-BE49-F238E27FC236}">
              <a16:creationId xmlns="" xmlns:a16="http://schemas.microsoft.com/office/drawing/2014/main" id="{00000000-0008-0000-7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01735" name="Picture 7" descr="escudo blanco y negro">
          <a:extLst>
            <a:ext uri="{FF2B5EF4-FFF2-40B4-BE49-F238E27FC236}">
              <a16:creationId xmlns="" xmlns:a16="http://schemas.microsoft.com/office/drawing/2014/main" id="{00000000-0008-0000-1C00-0000071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7" descr="escudo blanco y negro">
          <a:extLst>
            <a:ext uri="{FF2B5EF4-FFF2-40B4-BE49-F238E27FC236}">
              <a16:creationId xmlns="" xmlns:a16="http://schemas.microsoft.com/office/drawing/2014/main" id="{00000000-0008-0000-8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7" descr="escudo blanco y negro">
          <a:extLst>
            <a:ext uri="{FF2B5EF4-FFF2-40B4-BE49-F238E27FC236}">
              <a16:creationId xmlns="" xmlns:a16="http://schemas.microsoft.com/office/drawing/2014/main" id="{00000000-0008-0000-8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5" descr="escudo blanco y negro">
          <a:extLst>
            <a:ext uri="{FF2B5EF4-FFF2-40B4-BE49-F238E27FC236}">
              <a16:creationId xmlns="" xmlns:a16="http://schemas.microsoft.com/office/drawing/2014/main" id="{00000000-0008-0000-8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70690" name="Picture 2" descr="escudo blanco y negro">
          <a:extLst>
            <a:ext uri="{FF2B5EF4-FFF2-40B4-BE49-F238E27FC236}">
              <a16:creationId xmlns="" xmlns:a16="http://schemas.microsoft.com/office/drawing/2014/main" id="{00000000-0008-0000-8300-000002A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81602" name="Picture 2" descr="escudo blanco y negro">
          <a:extLst>
            <a:ext uri="{FF2B5EF4-FFF2-40B4-BE49-F238E27FC236}">
              <a16:creationId xmlns="" xmlns:a16="http://schemas.microsoft.com/office/drawing/2014/main" id="{00000000-0008-0000-1D00-0000024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8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37250" name="Picture 2" descr="escudo blanco y negro">
          <a:extLst>
            <a:ext uri="{FF2B5EF4-FFF2-40B4-BE49-F238E27FC236}">
              <a16:creationId xmlns="" xmlns:a16="http://schemas.microsoft.com/office/drawing/2014/main" id="{00000000-0008-0000-9000-000002AC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38274" name="Picture 2" descr="escudo blanco y negro">
          <a:extLst>
            <a:ext uri="{FF2B5EF4-FFF2-40B4-BE49-F238E27FC236}">
              <a16:creationId xmlns="" xmlns:a16="http://schemas.microsoft.com/office/drawing/2014/main" id="{00000000-0008-0000-9100-000002B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41346" name="Picture 2" descr="escudo blanco y negro">
          <a:extLst>
            <a:ext uri="{FF2B5EF4-FFF2-40B4-BE49-F238E27FC236}">
              <a16:creationId xmlns="" xmlns:a16="http://schemas.microsoft.com/office/drawing/2014/main" id="{00000000-0008-0000-9200-000002BC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42370" name="Picture 2" descr="escudo blanco y negro">
          <a:extLst>
            <a:ext uri="{FF2B5EF4-FFF2-40B4-BE49-F238E27FC236}">
              <a16:creationId xmlns="" xmlns:a16="http://schemas.microsoft.com/office/drawing/2014/main" id="{00000000-0008-0000-9300-000002C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57378" name="Picture 2" descr="escudo blanco y negro">
          <a:extLst>
            <a:ext uri="{FF2B5EF4-FFF2-40B4-BE49-F238E27FC236}">
              <a16:creationId xmlns="" xmlns:a16="http://schemas.microsoft.com/office/drawing/2014/main" id="{00000000-0008-0000-1E00-0000027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43394" name="Picture 2" descr="escudo blanco y negro">
          <a:extLst>
            <a:ext uri="{FF2B5EF4-FFF2-40B4-BE49-F238E27FC236}">
              <a16:creationId xmlns="" xmlns:a16="http://schemas.microsoft.com/office/drawing/2014/main" id="{00000000-0008-0000-9400-000002C4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71042" name="Picture 2" descr="escudo blanco y negro">
          <a:extLst>
            <a:ext uri="{FF2B5EF4-FFF2-40B4-BE49-F238E27FC236}">
              <a16:creationId xmlns="" xmlns:a16="http://schemas.microsoft.com/office/drawing/2014/main" id="{00000000-0008-0000-9500-0000023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9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9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9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9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9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9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9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39620" name="Picture 4" descr="escudo blanco y negro">
          <a:extLst>
            <a:ext uri="{FF2B5EF4-FFF2-40B4-BE49-F238E27FC236}">
              <a16:creationId xmlns="" xmlns:a16="http://schemas.microsoft.com/office/drawing/2014/main" id="{00000000-0008-0000-9D00-000004A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58402" name="Picture 2" descr="escudo blanco y negro">
          <a:extLst>
            <a:ext uri="{FF2B5EF4-FFF2-40B4-BE49-F238E27FC236}">
              <a16:creationId xmlns="" xmlns:a16="http://schemas.microsoft.com/office/drawing/2014/main" id="{00000000-0008-0000-1F00-0000027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40643" name="Picture 3" descr="escudo blanco y negro">
          <a:extLst>
            <a:ext uri="{FF2B5EF4-FFF2-40B4-BE49-F238E27FC236}">
              <a16:creationId xmlns="" xmlns:a16="http://schemas.microsoft.com/office/drawing/2014/main" id="{00000000-0008-0000-9E00-000003AC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9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3" descr="escudo blanco y negro">
          <a:extLst>
            <a:ext uri="{FF2B5EF4-FFF2-40B4-BE49-F238E27FC236}">
              <a16:creationId xmlns="" xmlns:a16="http://schemas.microsoft.com/office/drawing/2014/main" id="{00000000-0008-0000-A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41667" name="Picture 3" descr="escudo blanco y negro">
          <a:extLst>
            <a:ext uri="{FF2B5EF4-FFF2-40B4-BE49-F238E27FC236}">
              <a16:creationId xmlns="" xmlns:a16="http://schemas.microsoft.com/office/drawing/2014/main" id="{00000000-0008-0000-A100-000003B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3" descr="escudo blanco y negro">
          <a:extLst>
            <a:ext uri="{FF2B5EF4-FFF2-40B4-BE49-F238E27FC236}">
              <a16:creationId xmlns="" xmlns:a16="http://schemas.microsoft.com/office/drawing/2014/main" id="{00000000-0008-0000-A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182290" name="Picture 18" descr="escudo blanco y negro">
          <a:extLst>
            <a:ext uri="{FF2B5EF4-FFF2-40B4-BE49-F238E27FC236}">
              <a16:creationId xmlns="" xmlns:a16="http://schemas.microsoft.com/office/drawing/2014/main" id="{00000000-0008-0000-2000-000012C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77506" name="Picture 2" descr="escudo blanco y negro">
          <a:extLst>
            <a:ext uri="{FF2B5EF4-FFF2-40B4-BE49-F238E27FC236}">
              <a16:creationId xmlns="" xmlns:a16="http://schemas.microsoft.com/office/drawing/2014/main" id="{00000000-0008-0000-AB00-0000023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A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B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B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51909" name="Picture 5" descr="escudo blanco y negro">
          <a:extLst>
            <a:ext uri="{FF2B5EF4-FFF2-40B4-BE49-F238E27FC236}">
              <a16:creationId xmlns="" xmlns:a16="http://schemas.microsoft.com/office/drawing/2014/main" id="{00000000-0008-0000-2100-000005D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B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B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B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B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B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04130" name="Picture 2" descr="escudo blanco y negro">
          <a:extLst>
            <a:ext uri="{FF2B5EF4-FFF2-40B4-BE49-F238E27FC236}">
              <a16:creationId xmlns="" xmlns:a16="http://schemas.microsoft.com/office/drawing/2014/main" id="{00000000-0008-0000-B700-000002A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05506" name="Picture 2" descr="escudo blanco y negro">
          <a:extLst>
            <a:ext uri="{FF2B5EF4-FFF2-40B4-BE49-F238E27FC236}">
              <a16:creationId xmlns="" xmlns:a16="http://schemas.microsoft.com/office/drawing/2014/main" id="{00000000-0008-0000-B800-0000023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14722" name="Picture 2" descr="escudo blanco y negro">
          <a:extLst>
            <a:ext uri="{FF2B5EF4-FFF2-40B4-BE49-F238E27FC236}">
              <a16:creationId xmlns="" xmlns:a16="http://schemas.microsoft.com/office/drawing/2014/main" id="{00000000-0008-0000-B900-00000254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15746" name="Picture 2" descr="escudo blanco y negro">
          <a:extLst>
            <a:ext uri="{FF2B5EF4-FFF2-40B4-BE49-F238E27FC236}">
              <a16:creationId xmlns="" xmlns:a16="http://schemas.microsoft.com/office/drawing/2014/main" id="{00000000-0008-0000-BA00-0000025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16770" name="Picture 2" descr="escudo blanco y negro">
          <a:extLst>
            <a:ext uri="{FF2B5EF4-FFF2-40B4-BE49-F238E27FC236}">
              <a16:creationId xmlns="" xmlns:a16="http://schemas.microsoft.com/office/drawing/2014/main" id="{00000000-0008-0000-BB00-0000025C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121876" name="Picture 20" descr="escudo blanco y negro">
          <a:extLst>
            <a:ext uri="{FF2B5EF4-FFF2-40B4-BE49-F238E27FC236}">
              <a16:creationId xmlns="" xmlns:a16="http://schemas.microsoft.com/office/drawing/2014/main" id="{00000000-0008-0000-2200-000014D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22914" name="Picture 2" descr="escudo blanco y negro">
          <a:extLst>
            <a:ext uri="{FF2B5EF4-FFF2-40B4-BE49-F238E27FC236}">
              <a16:creationId xmlns="" xmlns:a16="http://schemas.microsoft.com/office/drawing/2014/main" id="{00000000-0008-0000-BC00-00000274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27010" name="Picture 2" descr="escudo blanco y negro">
          <a:extLst>
            <a:ext uri="{FF2B5EF4-FFF2-40B4-BE49-F238E27FC236}">
              <a16:creationId xmlns="" xmlns:a16="http://schemas.microsoft.com/office/drawing/2014/main" id="{00000000-0008-0000-BD00-00000284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32130" name="Picture 2" descr="escudo blanco y negro">
          <a:extLst>
            <a:ext uri="{FF2B5EF4-FFF2-40B4-BE49-F238E27FC236}">
              <a16:creationId xmlns="" xmlns:a16="http://schemas.microsoft.com/office/drawing/2014/main" id="{00000000-0008-0000-BE00-0000029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47490" name="Picture 2" descr="escudo blanco y negro">
          <a:extLst>
            <a:ext uri="{FF2B5EF4-FFF2-40B4-BE49-F238E27FC236}">
              <a16:creationId xmlns="" xmlns:a16="http://schemas.microsoft.com/office/drawing/2014/main" id="{00000000-0008-0000-BF00-000002D4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48514" name="Picture 2" descr="escudo blanco y negro">
          <a:extLst>
            <a:ext uri="{FF2B5EF4-FFF2-40B4-BE49-F238E27FC236}">
              <a16:creationId xmlns="" xmlns:a16="http://schemas.microsoft.com/office/drawing/2014/main" id="{00000000-0008-0000-C000-000002D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49538" name="Picture 2" descr="escudo blanco y negro">
          <a:extLst>
            <a:ext uri="{FF2B5EF4-FFF2-40B4-BE49-F238E27FC236}">
              <a16:creationId xmlns="" xmlns:a16="http://schemas.microsoft.com/office/drawing/2014/main" id="{00000000-0008-0000-C100-000002DC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50562" name="Picture 2" descr="escudo blanco y negro">
          <a:extLst>
            <a:ext uri="{FF2B5EF4-FFF2-40B4-BE49-F238E27FC236}">
              <a16:creationId xmlns="" xmlns:a16="http://schemas.microsoft.com/office/drawing/2014/main" id="{00000000-0008-0000-C200-000002E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51586" name="Picture 2" descr="escudo blanco y negro">
          <a:extLst>
            <a:ext uri="{FF2B5EF4-FFF2-40B4-BE49-F238E27FC236}">
              <a16:creationId xmlns="" xmlns:a16="http://schemas.microsoft.com/office/drawing/2014/main" id="{00000000-0008-0000-C300-000002E4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52610" name="Picture 2" descr="escudo blanco y negro">
          <a:extLst>
            <a:ext uri="{FF2B5EF4-FFF2-40B4-BE49-F238E27FC236}">
              <a16:creationId xmlns="" xmlns:a16="http://schemas.microsoft.com/office/drawing/2014/main" id="{00000000-0008-0000-C400-000002E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53634" name="Picture 2" descr="escudo blanco y negro">
          <a:extLst>
            <a:ext uri="{FF2B5EF4-FFF2-40B4-BE49-F238E27FC236}">
              <a16:creationId xmlns="" xmlns:a16="http://schemas.microsoft.com/office/drawing/2014/main" id="{00000000-0008-0000-C500-000002EC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185351" name="Picture 7" descr="escudo blanco y negro">
          <a:extLst>
            <a:ext uri="{FF2B5EF4-FFF2-40B4-BE49-F238E27FC236}">
              <a16:creationId xmlns="" xmlns:a16="http://schemas.microsoft.com/office/drawing/2014/main" id="{00000000-0008-0000-2300-000007D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55682" name="Picture 2" descr="escudo blanco y negro">
          <a:extLst>
            <a:ext uri="{FF2B5EF4-FFF2-40B4-BE49-F238E27FC236}">
              <a16:creationId xmlns="" xmlns:a16="http://schemas.microsoft.com/office/drawing/2014/main" id="{00000000-0008-0000-C600-000002F4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56706" name="Picture 2" descr="escudo blanco y negro">
          <a:extLst>
            <a:ext uri="{FF2B5EF4-FFF2-40B4-BE49-F238E27FC236}">
              <a16:creationId xmlns="" xmlns:a16="http://schemas.microsoft.com/office/drawing/2014/main" id="{00000000-0008-0000-C700-000002F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57730" name="Picture 2" descr="escudo blanco y negro">
          <a:extLst>
            <a:ext uri="{FF2B5EF4-FFF2-40B4-BE49-F238E27FC236}">
              <a16:creationId xmlns="" xmlns:a16="http://schemas.microsoft.com/office/drawing/2014/main" id="{00000000-0008-0000-C800-000002FC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62850" name="Picture 2" descr="escudo blanco y negro">
          <a:extLst>
            <a:ext uri="{FF2B5EF4-FFF2-40B4-BE49-F238E27FC236}">
              <a16:creationId xmlns="" xmlns:a16="http://schemas.microsoft.com/office/drawing/2014/main" id="{00000000-0008-0000-C900-0000021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65922" name="Picture 2" descr="escudo blanco y negro">
          <a:extLst>
            <a:ext uri="{FF2B5EF4-FFF2-40B4-BE49-F238E27FC236}">
              <a16:creationId xmlns="" xmlns:a16="http://schemas.microsoft.com/office/drawing/2014/main" id="{00000000-0008-0000-CA00-0000021C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66946" name="Picture 2" descr="escudo blanco y negro">
          <a:extLst>
            <a:ext uri="{FF2B5EF4-FFF2-40B4-BE49-F238E27FC236}">
              <a16:creationId xmlns="" xmlns:a16="http://schemas.microsoft.com/office/drawing/2014/main" id="{00000000-0008-0000-CB00-0000022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67970" name="Picture 2" descr="escudo blanco y negro">
          <a:extLst>
            <a:ext uri="{FF2B5EF4-FFF2-40B4-BE49-F238E27FC236}">
              <a16:creationId xmlns="" xmlns:a16="http://schemas.microsoft.com/office/drawing/2014/main" id="{00000000-0008-0000-CC00-0000022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61474" name="Picture 2" descr="escudo blanco y negro">
          <a:extLst>
            <a:ext uri="{FF2B5EF4-FFF2-40B4-BE49-F238E27FC236}">
              <a16:creationId xmlns="" xmlns:a16="http://schemas.microsoft.com/office/drawing/2014/main" id="{00000000-0008-0000-CD00-0000028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62498" name="Picture 2" descr="escudo blanco y negro">
          <a:extLst>
            <a:ext uri="{FF2B5EF4-FFF2-40B4-BE49-F238E27FC236}">
              <a16:creationId xmlns="" xmlns:a16="http://schemas.microsoft.com/office/drawing/2014/main" id="{00000000-0008-0000-CE00-0000028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65570" name="Picture 2" descr="escudo blanco y negro">
          <a:extLst>
            <a:ext uri="{FF2B5EF4-FFF2-40B4-BE49-F238E27FC236}">
              <a16:creationId xmlns="" xmlns:a16="http://schemas.microsoft.com/office/drawing/2014/main" id="{00000000-0008-0000-CF00-0000029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190469" name="Picture 5" descr="escudo blanco y negro">
          <a:extLst>
            <a:ext uri="{FF2B5EF4-FFF2-40B4-BE49-F238E27FC236}">
              <a16:creationId xmlns="" xmlns:a16="http://schemas.microsoft.com/office/drawing/2014/main" id="{00000000-0008-0000-2400-000005E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97314" name="Picture 2" descr="escudo blanco y negro">
          <a:extLst>
            <a:ext uri="{FF2B5EF4-FFF2-40B4-BE49-F238E27FC236}">
              <a16:creationId xmlns="" xmlns:a16="http://schemas.microsoft.com/office/drawing/2014/main" id="{00000000-0008-0000-D000-0000021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02434" name="Picture 2" descr="escudo blanco y negro">
          <a:extLst>
            <a:ext uri="{FF2B5EF4-FFF2-40B4-BE49-F238E27FC236}">
              <a16:creationId xmlns="" xmlns:a16="http://schemas.microsoft.com/office/drawing/2014/main" id="{00000000-0008-0000-D100-00000224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04482" name="Picture 2" descr="escudo blanco y negro">
          <a:extLst>
            <a:ext uri="{FF2B5EF4-FFF2-40B4-BE49-F238E27FC236}">
              <a16:creationId xmlns="" xmlns:a16="http://schemas.microsoft.com/office/drawing/2014/main" id="{00000000-0008-0000-D200-0000022C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07554" name="Picture 2" descr="escudo blanco y negro">
          <a:extLst>
            <a:ext uri="{FF2B5EF4-FFF2-40B4-BE49-F238E27FC236}">
              <a16:creationId xmlns="" xmlns:a16="http://schemas.microsoft.com/office/drawing/2014/main" id="{00000000-0008-0000-D300-0000023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40322" name="Picture 2" descr="escudo blanco y negro">
          <a:extLst>
            <a:ext uri="{FF2B5EF4-FFF2-40B4-BE49-F238E27FC236}">
              <a16:creationId xmlns="" xmlns:a16="http://schemas.microsoft.com/office/drawing/2014/main" id="{00000000-0008-0000-D400-000002B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58754" name="Picture 2" descr="escudo blanco y negro">
          <a:extLst>
            <a:ext uri="{FF2B5EF4-FFF2-40B4-BE49-F238E27FC236}">
              <a16:creationId xmlns="" xmlns:a16="http://schemas.microsoft.com/office/drawing/2014/main" id="{00000000-0008-0000-D500-0000020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68994" name="Picture 2" descr="escudo blanco y negro">
          <a:extLst>
            <a:ext uri="{FF2B5EF4-FFF2-40B4-BE49-F238E27FC236}">
              <a16:creationId xmlns="" xmlns:a16="http://schemas.microsoft.com/office/drawing/2014/main" id="{00000000-0008-0000-D600-0000022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70018" name="Picture 2" descr="escudo blanco y negro">
          <a:extLst>
            <a:ext uri="{FF2B5EF4-FFF2-40B4-BE49-F238E27FC236}">
              <a16:creationId xmlns="" xmlns:a16="http://schemas.microsoft.com/office/drawing/2014/main" id="{00000000-0008-0000-D700-0000022C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72066" name="Picture 2" descr="escudo blanco y negro">
          <a:extLst>
            <a:ext uri="{FF2B5EF4-FFF2-40B4-BE49-F238E27FC236}">
              <a16:creationId xmlns="" xmlns:a16="http://schemas.microsoft.com/office/drawing/2014/main" id="{00000000-0008-0000-D800-0000023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96290" name="Picture 2" descr="escudo blanco y negro">
          <a:extLst>
            <a:ext uri="{FF2B5EF4-FFF2-40B4-BE49-F238E27FC236}">
              <a16:creationId xmlns="" xmlns:a16="http://schemas.microsoft.com/office/drawing/2014/main" id="{00000000-0008-0000-D900-0000020C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1103364</xdr:colOff>
      <xdr:row>605</xdr:row>
      <xdr:rowOff>77736</xdr:rowOff>
    </xdr:from>
    <xdr:ext cx="174625" cy="254000"/>
    <xdr:sp macro="" textlink="">
      <xdr:nvSpPr>
        <xdr:cNvPr id="2" name="Text Box 37940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7342239" y="57378600"/>
          <a:ext cx="174625" cy="2540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</xdr:sp>
    <xdr:clientData/>
  </xdr:oneCellAnchor>
  <xdr:twoCellAnchor editAs="oneCell">
    <xdr:from>
      <xdr:col>18</xdr:col>
      <xdr:colOff>957235</xdr:colOff>
      <xdr:row>0</xdr:row>
      <xdr:rowOff>147664</xdr:rowOff>
    </xdr:from>
    <xdr:to>
      <xdr:col>19</xdr:col>
      <xdr:colOff>1155355</xdr:colOff>
      <xdr:row>3</xdr:row>
      <xdr:rowOff>60270</xdr:rowOff>
    </xdr:to>
    <xdr:pic>
      <xdr:nvPicPr>
        <xdr:cNvPr id="3" name="Picture 7" descr="Escudo de Colombia_COLOR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9735" y="147664"/>
          <a:ext cx="1279773" cy="12687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191494" name="Picture 6" descr="escudo blanco y negro">
          <a:extLst>
            <a:ext uri="{FF2B5EF4-FFF2-40B4-BE49-F238E27FC236}">
              <a16:creationId xmlns="" xmlns:a16="http://schemas.microsoft.com/office/drawing/2014/main" id="{00000000-0008-0000-2500-000006E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D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64546" name="Picture 2" descr="escudo blanco y negro">
          <a:extLst>
            <a:ext uri="{FF2B5EF4-FFF2-40B4-BE49-F238E27FC236}">
              <a16:creationId xmlns="" xmlns:a16="http://schemas.microsoft.com/office/drawing/2014/main" id="{00000000-0008-0000-DB00-0000029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89122" name="Picture 2" descr="escudo blanco y negro">
          <a:extLst>
            <a:ext uri="{FF2B5EF4-FFF2-40B4-BE49-F238E27FC236}">
              <a16:creationId xmlns="" xmlns:a16="http://schemas.microsoft.com/office/drawing/2014/main" id="{00000000-0008-0000-DC00-000002F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D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D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D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192517" name="Picture 5" descr="escudo blanco y negro">
          <a:extLst>
            <a:ext uri="{FF2B5EF4-FFF2-40B4-BE49-F238E27FC236}">
              <a16:creationId xmlns="" xmlns:a16="http://schemas.microsoft.com/office/drawing/2014/main" id="{00000000-0008-0000-2600-000005F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18818" name="Picture 2" descr="escudo blanco y negro">
          <a:extLst>
            <a:ext uri="{FF2B5EF4-FFF2-40B4-BE49-F238E27FC236}">
              <a16:creationId xmlns="" xmlns:a16="http://schemas.microsoft.com/office/drawing/2014/main" id="{00000000-0008-0000-2800-00000264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E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F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F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F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63170" name="Picture 2" descr="escudo blanco y negro">
          <a:extLst>
            <a:ext uri="{FF2B5EF4-FFF2-40B4-BE49-F238E27FC236}">
              <a16:creationId xmlns="" xmlns:a16="http://schemas.microsoft.com/office/drawing/2014/main" id="{00000000-0008-0000-F300-0000020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60802" name="Picture 2" descr="escudo blanco y negro">
          <a:extLst>
            <a:ext uri="{FF2B5EF4-FFF2-40B4-BE49-F238E27FC236}">
              <a16:creationId xmlns="" xmlns:a16="http://schemas.microsoft.com/office/drawing/2014/main" id="{00000000-0008-0000-F400-0000020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F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F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F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7" descr="escudo blanco y negro">
          <a:extLst>
            <a:ext uri="{FF2B5EF4-FFF2-40B4-BE49-F238E27FC236}">
              <a16:creationId xmlns=""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F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28034" name="Picture 2" descr="escudo blanco y negro">
          <a:extLst>
            <a:ext uri="{FF2B5EF4-FFF2-40B4-BE49-F238E27FC236}">
              <a16:creationId xmlns="" xmlns:a16="http://schemas.microsoft.com/office/drawing/2014/main" id="{00000000-0008-0000-F900-0000028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F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13698" name="Picture 2" descr="escudo blanco y negro">
          <a:extLst>
            <a:ext uri="{FF2B5EF4-FFF2-40B4-BE49-F238E27FC236}">
              <a16:creationId xmlns="" xmlns:a16="http://schemas.microsoft.com/office/drawing/2014/main" id="{00000000-0008-0000-FB00-0000025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F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F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67266" name="Picture 2" descr="escudo blanco y negro">
          <a:extLst>
            <a:ext uri="{FF2B5EF4-FFF2-40B4-BE49-F238E27FC236}">
              <a16:creationId xmlns="" xmlns:a16="http://schemas.microsoft.com/office/drawing/2014/main" id="{00000000-0008-0000-FE00-0000021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F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00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68290" name="Picture 2" descr="escudo blanco y negro">
          <a:extLst>
            <a:ext uri="{FF2B5EF4-FFF2-40B4-BE49-F238E27FC236}">
              <a16:creationId xmlns="" xmlns:a16="http://schemas.microsoft.com/office/drawing/2014/main" id="{00000000-0008-0000-0101-00000218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08901" name="Picture 5" descr="escudo blanco y negro">
          <a:extLst>
            <a:ext uri="{FF2B5EF4-FFF2-40B4-BE49-F238E27FC236}">
              <a16:creationId xmlns="" xmlns:a16="http://schemas.microsoft.com/office/drawing/2014/main" id="{00000000-0008-0000-2A00-0000053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0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0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0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05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69314" name="Picture 2" descr="escudo blanco y negro">
          <a:extLst>
            <a:ext uri="{FF2B5EF4-FFF2-40B4-BE49-F238E27FC236}">
              <a16:creationId xmlns="" xmlns:a16="http://schemas.microsoft.com/office/drawing/2014/main" id="{00000000-0008-0000-0601-0000021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94914" name="Picture 2" descr="escudo blanco y negro">
          <a:extLst>
            <a:ext uri="{FF2B5EF4-FFF2-40B4-BE49-F238E27FC236}">
              <a16:creationId xmlns="" xmlns:a16="http://schemas.microsoft.com/office/drawing/2014/main" id="{00000000-0008-0000-0701-0000028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19842" name="Picture 2" descr="escudo blanco y negro">
          <a:extLst>
            <a:ext uri="{FF2B5EF4-FFF2-40B4-BE49-F238E27FC236}">
              <a16:creationId xmlns="" xmlns:a16="http://schemas.microsoft.com/office/drawing/2014/main" id="{00000000-0008-0000-0801-0000026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70338" name="Picture 2" descr="escudo blanco y negro">
          <a:extLst>
            <a:ext uri="{FF2B5EF4-FFF2-40B4-BE49-F238E27FC236}">
              <a16:creationId xmlns="" xmlns:a16="http://schemas.microsoft.com/office/drawing/2014/main" id="{00000000-0008-0000-0901-0000022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0A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55330" name="Picture 2" descr="escudo blanco y negro">
          <a:extLst>
            <a:ext uri="{FF2B5EF4-FFF2-40B4-BE49-F238E27FC236}">
              <a16:creationId xmlns="" xmlns:a16="http://schemas.microsoft.com/office/drawing/2014/main" id="{00000000-0008-0000-0B01-0000026C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71362" name="Picture 2" descr="escudo blanco y negro">
          <a:extLst>
            <a:ext uri="{FF2B5EF4-FFF2-40B4-BE49-F238E27FC236}">
              <a16:creationId xmlns="" xmlns:a16="http://schemas.microsoft.com/office/drawing/2014/main" id="{00000000-0008-0000-0C01-0000022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23938" name="Picture 2" descr="escudo blanco y negro">
          <a:extLst>
            <a:ext uri="{FF2B5EF4-FFF2-40B4-BE49-F238E27FC236}">
              <a16:creationId xmlns="" xmlns:a16="http://schemas.microsoft.com/office/drawing/2014/main" id="{00000000-0008-0000-0D01-0000027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24962" name="Picture 2" descr="escudo blanco y negro">
          <a:extLst>
            <a:ext uri="{FF2B5EF4-FFF2-40B4-BE49-F238E27FC236}">
              <a16:creationId xmlns="" xmlns:a16="http://schemas.microsoft.com/office/drawing/2014/main" id="{00000000-0008-0000-0E01-0000027C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87074" name="Picture 2" descr="escudo blanco y negro">
          <a:extLst>
            <a:ext uri="{FF2B5EF4-FFF2-40B4-BE49-F238E27FC236}">
              <a16:creationId xmlns="" xmlns:a16="http://schemas.microsoft.com/office/drawing/2014/main" id="{00000000-0008-0000-0F01-000002E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73090" name="Picture 2" descr="escudo blanco y negro">
          <a:extLst>
            <a:ext uri="{FF2B5EF4-FFF2-40B4-BE49-F238E27FC236}">
              <a16:creationId xmlns="" xmlns:a16="http://schemas.microsoft.com/office/drawing/2014/main" id="{00000000-0008-0000-1001-00000238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29058" name="Picture 2" descr="escudo blanco y negro">
          <a:extLst>
            <a:ext uri="{FF2B5EF4-FFF2-40B4-BE49-F238E27FC236}">
              <a16:creationId xmlns="" xmlns:a16="http://schemas.microsoft.com/office/drawing/2014/main" id="{00000000-0008-0000-1101-0000028C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1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13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1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96962" name="Picture 2" descr="escudo blanco y negro">
          <a:extLst>
            <a:ext uri="{FF2B5EF4-FFF2-40B4-BE49-F238E27FC236}">
              <a16:creationId xmlns="" xmlns:a16="http://schemas.microsoft.com/office/drawing/2014/main" id="{00000000-0008-0000-1501-00000288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56354" name="Picture 2" descr="escudo blanco y negro">
          <a:extLst>
            <a:ext uri="{FF2B5EF4-FFF2-40B4-BE49-F238E27FC236}">
              <a16:creationId xmlns="" xmlns:a16="http://schemas.microsoft.com/office/drawing/2014/main" id="{00000000-0008-0000-1601-0000027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59426" name="Picture 2" descr="escudo blanco y negro">
          <a:extLst>
            <a:ext uri="{FF2B5EF4-FFF2-40B4-BE49-F238E27FC236}">
              <a16:creationId xmlns="" xmlns:a16="http://schemas.microsoft.com/office/drawing/2014/main" id="{00000000-0008-0000-1701-0000027C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49186" name="Picture 2" descr="escudo blanco y negro">
          <a:extLst>
            <a:ext uri="{FF2B5EF4-FFF2-40B4-BE49-F238E27FC236}">
              <a16:creationId xmlns="" xmlns:a16="http://schemas.microsoft.com/office/drawing/2014/main" id="{00000000-0008-0000-1801-0000025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93890" name="Picture 2" descr="escudo blanco y negro">
          <a:extLst>
            <a:ext uri="{FF2B5EF4-FFF2-40B4-BE49-F238E27FC236}">
              <a16:creationId xmlns="" xmlns:a16="http://schemas.microsoft.com/office/drawing/2014/main" id="{00000000-0008-0000-1901-0000027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73410" name="Picture 2" descr="escudo blanco y negro">
          <a:extLst>
            <a:ext uri="{FF2B5EF4-FFF2-40B4-BE49-F238E27FC236}">
              <a16:creationId xmlns="" xmlns:a16="http://schemas.microsoft.com/office/drawing/2014/main" id="{00000000-0008-0000-1A01-0000022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10626" name="Picture 2" descr="escudo blanco y negro">
          <a:extLst>
            <a:ext uri="{FF2B5EF4-FFF2-40B4-BE49-F238E27FC236}">
              <a16:creationId xmlns="" xmlns:a16="http://schemas.microsoft.com/office/drawing/2014/main" id="{00000000-0008-0000-1B01-00000244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74434" name="Picture 2" descr="escudo blanco y negro">
          <a:extLst>
            <a:ext uri="{FF2B5EF4-FFF2-40B4-BE49-F238E27FC236}">
              <a16:creationId xmlns="" xmlns:a16="http://schemas.microsoft.com/office/drawing/2014/main" id="{00000000-0008-0000-1C01-0000023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8" descr="escudo blanco y negro">
          <a:extLst>
            <a:ext uri="{FF2B5EF4-FFF2-40B4-BE49-F238E27FC236}">
              <a16:creationId xmlns="" xmlns:a16="http://schemas.microsoft.com/office/drawing/2014/main" id="{00000000-0008-0000-1D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1E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1F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20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21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22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05831" name="Picture 7" descr="escudo blanco y negro">
          <a:extLst>
            <a:ext uri="{FF2B5EF4-FFF2-40B4-BE49-F238E27FC236}">
              <a16:creationId xmlns="" xmlns:a16="http://schemas.microsoft.com/office/drawing/2014/main" id="{00000000-0008-0000-2301-0000072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24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75458" name="Picture 2" descr="escudo blanco y negro">
          <a:extLst>
            <a:ext uri="{FF2B5EF4-FFF2-40B4-BE49-F238E27FC236}">
              <a16:creationId xmlns="" xmlns:a16="http://schemas.microsoft.com/office/drawing/2014/main" id="{00000000-0008-0000-2501-0000023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20866" name="Picture 2" descr="escudo blanco y negro">
          <a:extLst>
            <a:ext uri="{FF2B5EF4-FFF2-40B4-BE49-F238E27FC236}">
              <a16:creationId xmlns="" xmlns:a16="http://schemas.microsoft.com/office/drawing/2014/main" id="{00000000-0008-0000-2601-0000026C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27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28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8" descr="escudo blanco y negro">
          <a:extLst>
            <a:ext uri="{FF2B5EF4-FFF2-40B4-BE49-F238E27FC236}">
              <a16:creationId xmlns="" xmlns:a16="http://schemas.microsoft.com/office/drawing/2014/main" id="{00000000-0008-0000-29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2A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2B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2C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2D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2E01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1103364</xdr:colOff>
      <xdr:row>605</xdr:row>
      <xdr:rowOff>77736</xdr:rowOff>
    </xdr:from>
    <xdr:ext cx="174625" cy="254000"/>
    <xdr:sp macro="" textlink="">
      <xdr:nvSpPr>
        <xdr:cNvPr id="2" name="Text Box 37940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7342239" y="57216675"/>
          <a:ext cx="174625" cy="2540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</xdr:sp>
    <xdr:clientData/>
  </xdr:oneCellAnchor>
  <xdr:twoCellAnchor editAs="oneCell">
    <xdr:from>
      <xdr:col>28</xdr:col>
      <xdr:colOff>361373</xdr:colOff>
      <xdr:row>0</xdr:row>
      <xdr:rowOff>258618</xdr:rowOff>
    </xdr:from>
    <xdr:to>
      <xdr:col>28</xdr:col>
      <xdr:colOff>1644961</xdr:colOff>
      <xdr:row>3</xdr:row>
      <xdr:rowOff>238847</xdr:rowOff>
    </xdr:to>
    <xdr:pic>
      <xdr:nvPicPr>
        <xdr:cNvPr id="3" name="Picture 7" descr="Escudo de Colombia_COLOR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095691" y="258618"/>
          <a:ext cx="1283588" cy="1259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12998" name="Picture 6" descr="escudo blanco y negro">
          <a:extLst>
            <a:ext uri="{FF2B5EF4-FFF2-40B4-BE49-F238E27FC236}">
              <a16:creationId xmlns="" xmlns:a16="http://schemas.microsoft.com/office/drawing/2014/main" id="{00000000-0008-0000-3400-0000064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16075" name="Picture 11" descr="escudo blanco y negro">
          <a:extLst>
            <a:ext uri="{FF2B5EF4-FFF2-40B4-BE49-F238E27FC236}">
              <a16:creationId xmlns="" xmlns:a16="http://schemas.microsoft.com/office/drawing/2014/main" id="{00000000-0008-0000-3600-00000B4C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11" descr="escudo blanco y negro">
          <a:extLst>
            <a:ext uri="{FF2B5EF4-FFF2-40B4-BE49-F238E27FC236}">
              <a16:creationId xmlns=""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17092" name="Picture 4" descr="escudo blanco y negro">
          <a:extLst>
            <a:ext uri="{FF2B5EF4-FFF2-40B4-BE49-F238E27FC236}">
              <a16:creationId xmlns="" xmlns:a16="http://schemas.microsoft.com/office/drawing/2014/main" id="{00000000-0008-0000-3800-0000045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8" descr="escudo blanco y negro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621196</xdr:colOff>
      <xdr:row>0</xdr:row>
      <xdr:rowOff>62120</xdr:rowOff>
    </xdr:from>
    <xdr:to>
      <xdr:col>6</xdr:col>
      <xdr:colOff>1606431</xdr:colOff>
      <xdr:row>5</xdr:row>
      <xdr:rowOff>138672</xdr:rowOff>
    </xdr:to>
    <xdr:pic>
      <xdr:nvPicPr>
        <xdr:cNvPr id="5" name="Picture 7" descr="Escudo de Colombia_COLOR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91631" y="62120"/>
          <a:ext cx="985235" cy="966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8" descr="escudo blanco y negro">
          <a:extLst>
            <a:ext uri="{FF2B5EF4-FFF2-40B4-BE49-F238E27FC236}">
              <a16:creationId xmlns=""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60450" name="Picture 2" descr="escudo blanco y negro">
          <a:extLst>
            <a:ext uri="{FF2B5EF4-FFF2-40B4-BE49-F238E27FC236}">
              <a16:creationId xmlns="" xmlns:a16="http://schemas.microsoft.com/office/drawing/2014/main" id="{00000000-0008-0000-0C00-0000028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67618" name="Picture 2" descr="escudo blanco y negro">
          <a:extLst>
            <a:ext uri="{FF2B5EF4-FFF2-40B4-BE49-F238E27FC236}">
              <a16:creationId xmlns="" xmlns:a16="http://schemas.microsoft.com/office/drawing/2014/main" id="{00000000-0008-0000-4D00-0000029C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4" descr="escudo blanco y negro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68642" name="Picture 2" descr="escudo blanco y negro">
          <a:extLst>
            <a:ext uri="{FF2B5EF4-FFF2-40B4-BE49-F238E27FC236}">
              <a16:creationId xmlns="" xmlns:a16="http://schemas.microsoft.com/office/drawing/2014/main" id="{00000000-0008-0000-4E00-000002A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6" descr="escudo blanco y negro">
          <a:extLst>
            <a:ext uri="{FF2B5EF4-FFF2-40B4-BE49-F238E27FC236}">
              <a16:creationId xmlns=""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59074" name="Picture 2" descr="escudo blanco y negro">
          <a:extLst>
            <a:ext uri="{FF2B5EF4-FFF2-40B4-BE49-F238E27FC236}">
              <a16:creationId xmlns="" xmlns:a16="http://schemas.microsoft.com/office/drawing/2014/main" id="{00000000-0008-0000-5300-000002F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5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5" descr="escudo blanco y negro">
          <a:extLst>
            <a:ext uri="{FF2B5EF4-FFF2-40B4-BE49-F238E27FC236}">
              <a16:creationId xmlns="" xmlns:a16="http://schemas.microsoft.com/office/drawing/2014/main" id="{00000000-0008-0000-5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60098" name="Picture 2" descr="escudo blanco y negro">
          <a:extLst>
            <a:ext uri="{FF2B5EF4-FFF2-40B4-BE49-F238E27FC236}">
              <a16:creationId xmlns="" xmlns:a16="http://schemas.microsoft.com/office/drawing/2014/main" id="{00000000-0008-0000-5600-000002F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5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4" descr="escudo blanco y negro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5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20166" name="Picture 6" descr="escudo blanco y negro">
          <a:extLst>
            <a:ext uri="{FF2B5EF4-FFF2-40B4-BE49-F238E27FC236}">
              <a16:creationId xmlns="" xmlns:a16="http://schemas.microsoft.com/office/drawing/2014/main" id="{00000000-0008-0000-5900-0000065C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7" descr="escudo blanco y negro">
          <a:extLst>
            <a:ext uri="{FF2B5EF4-FFF2-40B4-BE49-F238E27FC236}">
              <a16:creationId xmlns="" xmlns:a16="http://schemas.microsoft.com/office/drawing/2014/main" id="{00000000-0008-0000-5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7" descr="escudo blanco y negro">
          <a:extLst>
            <a:ext uri="{FF2B5EF4-FFF2-40B4-BE49-F238E27FC236}">
              <a16:creationId xmlns="" xmlns:a16="http://schemas.microsoft.com/office/drawing/2014/main" id="{00000000-0008-0000-5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5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82978" name="Picture 2" descr="escudo blanco y negro">
          <a:extLst>
            <a:ext uri="{FF2B5EF4-FFF2-40B4-BE49-F238E27FC236}">
              <a16:creationId xmlns="" xmlns:a16="http://schemas.microsoft.com/office/drawing/2014/main" id="{00000000-0008-0000-5D00-000002D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5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5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463874" name="Picture 2" descr="escudo blanco y negro">
          <a:extLst>
            <a:ext uri="{FF2B5EF4-FFF2-40B4-BE49-F238E27FC236}">
              <a16:creationId xmlns="" xmlns:a16="http://schemas.microsoft.com/office/drawing/2014/main" id="{00000000-0008-0000-6000-0000021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30404" name="Picture 4" descr="escudo blanco y negro">
          <a:extLst>
            <a:ext uri="{FF2B5EF4-FFF2-40B4-BE49-F238E27FC236}">
              <a16:creationId xmlns="" xmlns:a16="http://schemas.microsoft.com/office/drawing/2014/main" id="{00000000-0008-0000-6100-000004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86722" name="Picture 2" descr="escudo blanco y negro">
          <a:extLst>
            <a:ext uri="{FF2B5EF4-FFF2-40B4-BE49-F238E27FC236}">
              <a16:creationId xmlns="" xmlns:a16="http://schemas.microsoft.com/office/drawing/2014/main" id="{00000000-0008-0000-1900-0000026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84002" name="Picture 2" descr="escudo blanco y negro">
          <a:extLst>
            <a:ext uri="{FF2B5EF4-FFF2-40B4-BE49-F238E27FC236}">
              <a16:creationId xmlns="" xmlns:a16="http://schemas.microsoft.com/office/drawing/2014/main" id="{00000000-0008-0000-6200-000002DC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6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93218" name="Picture 2" descr="escudo blanco y negro">
          <a:extLst>
            <a:ext uri="{FF2B5EF4-FFF2-40B4-BE49-F238E27FC236}">
              <a16:creationId xmlns="" xmlns:a16="http://schemas.microsoft.com/office/drawing/2014/main" id="{00000000-0008-0000-6400-0000020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2" descr="escudo blanco y negro">
          <a:extLst>
            <a:ext uri="{FF2B5EF4-FFF2-40B4-BE49-F238E27FC236}">
              <a16:creationId xmlns="" xmlns:a16="http://schemas.microsoft.com/office/drawing/2014/main" id="{00000000-0008-0000-6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369666" name="Picture 2" descr="escudo blanco y negro">
          <a:extLst>
            <a:ext uri="{FF2B5EF4-FFF2-40B4-BE49-F238E27FC236}">
              <a16:creationId xmlns="" xmlns:a16="http://schemas.microsoft.com/office/drawing/2014/main" id="{00000000-0008-0000-6600-000002A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8" descr="escudo blanco y negro">
          <a:extLst>
            <a:ext uri="{FF2B5EF4-FFF2-40B4-BE49-F238E27FC236}">
              <a16:creationId xmlns="" xmlns:a16="http://schemas.microsoft.com/office/drawing/2014/main" id="{00000000-0008-0000-6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25284" name="Picture 4" descr="escudo blanco y negro">
          <a:extLst>
            <a:ext uri="{FF2B5EF4-FFF2-40B4-BE49-F238E27FC236}">
              <a16:creationId xmlns="" xmlns:a16="http://schemas.microsoft.com/office/drawing/2014/main" id="{00000000-0008-0000-6800-0000047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24260" name="Picture 4" descr="escudo blanco y negro">
          <a:extLst>
            <a:ext uri="{FF2B5EF4-FFF2-40B4-BE49-F238E27FC236}">
              <a16:creationId xmlns="" xmlns:a16="http://schemas.microsoft.com/office/drawing/2014/main" id="{00000000-0008-0000-6900-0000046C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17" descr="escudo blanco y negro">
          <a:extLst>
            <a:ext uri="{FF2B5EF4-FFF2-40B4-BE49-F238E27FC236}">
              <a16:creationId xmlns="" xmlns:a16="http://schemas.microsoft.com/office/drawing/2014/main" id="{00000000-0008-0000-6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8" descr="escudo blanco y negro">
          <a:extLst>
            <a:ext uri="{FF2B5EF4-FFF2-40B4-BE49-F238E27FC236}">
              <a16:creationId xmlns="" xmlns:a16="http://schemas.microsoft.com/office/drawing/2014/main" id="{00000000-0008-0000-6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52932" name="Picture 4" descr="escudo blanco y negro">
          <a:extLst>
            <a:ext uri="{FF2B5EF4-FFF2-40B4-BE49-F238E27FC236}">
              <a16:creationId xmlns="" xmlns:a16="http://schemas.microsoft.com/office/drawing/2014/main" id="{00000000-0008-0000-1A00-000004DC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6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6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26312" name="Picture 8" descr="escudo blanco y negro">
          <a:extLst>
            <a:ext uri="{FF2B5EF4-FFF2-40B4-BE49-F238E27FC236}">
              <a16:creationId xmlns="" xmlns:a16="http://schemas.microsoft.com/office/drawing/2014/main" id="{00000000-0008-0000-6E00-0000087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31428" name="Picture 4" descr="escudo blanco y negro">
          <a:extLst>
            <a:ext uri="{FF2B5EF4-FFF2-40B4-BE49-F238E27FC236}">
              <a16:creationId xmlns="" xmlns:a16="http://schemas.microsoft.com/office/drawing/2014/main" id="{00000000-0008-0000-6F00-0000048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8" descr="escudo blanco y negro">
          <a:extLst>
            <a:ext uri="{FF2B5EF4-FFF2-40B4-BE49-F238E27FC236}">
              <a16:creationId xmlns="" xmlns:a16="http://schemas.microsoft.com/office/drawing/2014/main" id="{00000000-0008-0000-7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7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7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47625</xdr:rowOff>
    </xdr:from>
    <xdr:to>
      <xdr:col>6</xdr:col>
      <xdr:colOff>600075</xdr:colOff>
      <xdr:row>0</xdr:row>
      <xdr:rowOff>561975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7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4762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390525</xdr:colOff>
      <xdr:row>0</xdr:row>
      <xdr:rowOff>66675</xdr:rowOff>
    </xdr:from>
    <xdr:to>
      <xdr:col>6</xdr:col>
      <xdr:colOff>800100</xdr:colOff>
      <xdr:row>0</xdr:row>
      <xdr:rowOff>581025</xdr:rowOff>
    </xdr:to>
    <xdr:pic>
      <xdr:nvPicPr>
        <xdr:cNvPr id="3" name="Picture 4" descr="escudo blanco y negro">
          <a:extLst>
            <a:ext uri="{FF2B5EF4-FFF2-40B4-BE49-F238E27FC236}">
              <a16:creationId xmlns="" xmlns:a16="http://schemas.microsoft.com/office/drawing/2014/main" id="{00000000-0008-0000-7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05375" y="66675"/>
          <a:ext cx="409575" cy="514350"/>
        </a:xfrm>
        <a:prstGeom prst="rect">
          <a:avLst/>
        </a:prstGeom>
        <a:noFill/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390525</xdr:colOff>
      <xdr:row>0</xdr:row>
      <xdr:rowOff>66675</xdr:rowOff>
    </xdr:from>
    <xdr:to>
      <xdr:col>6</xdr:col>
      <xdr:colOff>800100</xdr:colOff>
      <xdr:row>0</xdr:row>
      <xdr:rowOff>581025</xdr:rowOff>
    </xdr:to>
    <xdr:pic>
      <xdr:nvPicPr>
        <xdr:cNvPr id="2" name="Picture 4" descr="escudo blanco y negro">
          <a:extLst>
            <a:ext uri="{FF2B5EF4-FFF2-40B4-BE49-F238E27FC236}">
              <a16:creationId xmlns="" xmlns:a16="http://schemas.microsoft.com/office/drawing/2014/main" id="{00000000-0008-0000-7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05375" y="66675"/>
          <a:ext cx="409575" cy="51435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yectos\2009)%20012-09%20-%20Con%20Men%202%20Ley%2021\CONTRATO%20DE%20CONSULTOR&#205;A%20G14\8.%20CONTROL%20DE%20PROYECTOS\G%2014-Consolidado%20maest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3"/>
      <sheetName val="G 14-Consolidado maestro"/>
    </sheetNames>
    <definedNames>
      <definedName name="Consolidado" refersTo="='63'!$A$4:$BJ$100"/>
    </definedNames>
    <sheetDataSet>
      <sheetData sheetId="0">
        <row r="4">
          <cell r="A4">
            <v>1</v>
          </cell>
          <cell r="B4">
            <v>14</v>
          </cell>
          <cell r="C4" t="str">
            <v>NARIÑO</v>
          </cell>
          <cell r="D4" t="str">
            <v>SAN LORENZO</v>
          </cell>
          <cell r="E4" t="str">
            <v>NARIÑO</v>
          </cell>
          <cell r="F4" t="str">
            <v>NUESTRA SEÑORA DEL CARMEN</v>
          </cell>
          <cell r="G4" t="str">
            <v>2 PRIMARIA</v>
          </cell>
          <cell r="H4">
            <v>1</v>
          </cell>
          <cell r="I4">
            <v>1</v>
          </cell>
          <cell r="J4" t="str">
            <v>4 AULAS Y 1 BATERIA</v>
          </cell>
          <cell r="K4">
            <v>470000000</v>
          </cell>
          <cell r="L4">
            <v>329000000</v>
          </cell>
          <cell r="M4">
            <v>141000000</v>
          </cell>
          <cell r="N4" t="str">
            <v>CONSTRUCCION DE  CUATRO (4) AULAS, UNA (1) BATERIA SANITARIA Y DOTACION DE MOBILIARIO BASICO ESCOLAR</v>
          </cell>
          <cell r="O4">
            <v>470197860.91999996</v>
          </cell>
          <cell r="P4">
            <v>329138502.64399999</v>
          </cell>
          <cell r="Q4">
            <v>141059358.27599999</v>
          </cell>
          <cell r="U4">
            <v>452.93</v>
          </cell>
          <cell r="V4">
            <v>4</v>
          </cell>
          <cell r="W4">
            <v>253.74</v>
          </cell>
          <cell r="X4">
            <v>38</v>
          </cell>
          <cell r="Y4">
            <v>1.65</v>
          </cell>
          <cell r="Z4">
            <v>210286168.91999999</v>
          </cell>
          <cell r="AE4">
            <v>1</v>
          </cell>
          <cell r="AF4">
            <v>51.4</v>
          </cell>
          <cell r="AG4">
            <v>11</v>
          </cell>
          <cell r="AH4">
            <v>117051820.55</v>
          </cell>
          <cell r="AM4">
            <v>94.88</v>
          </cell>
          <cell r="AN4">
            <v>62192039.340000004</v>
          </cell>
          <cell r="AO4">
            <v>52.91</v>
          </cell>
          <cell r="AP4">
            <v>60129832.109999999</v>
          </cell>
          <cell r="AS4">
            <v>0.21</v>
          </cell>
          <cell r="AT4">
            <v>0.32</v>
          </cell>
          <cell r="AV4">
            <v>152</v>
          </cell>
          <cell r="AW4">
            <v>20538000</v>
          </cell>
          <cell r="AX4">
            <v>240</v>
          </cell>
          <cell r="AY4">
            <v>4</v>
          </cell>
          <cell r="BA4" t="str">
            <v>HOOVER PATIÑO</v>
          </cell>
          <cell r="BB4" t="str">
            <v>CORREGIMIENTO EL CARMEN</v>
          </cell>
          <cell r="BC4" t="str">
            <v>313 7229131            320 6718739</v>
          </cell>
          <cell r="BD4" t="str">
            <v>hooverpat@hotmail.es</v>
          </cell>
          <cell r="BE4" t="str">
            <v>1048-2008</v>
          </cell>
          <cell r="BF4" t="str">
            <v>25268700918</v>
          </cell>
          <cell r="BG4">
            <v>1</v>
          </cell>
          <cell r="BH4">
            <v>3</v>
          </cell>
        </row>
        <row r="5">
          <cell r="A5">
            <v>2</v>
          </cell>
          <cell r="B5">
            <v>14</v>
          </cell>
          <cell r="C5" t="str">
            <v>NARIÑO</v>
          </cell>
          <cell r="D5" t="str">
            <v>BARBACOAS</v>
          </cell>
          <cell r="E5" t="str">
            <v>NARIÑO</v>
          </cell>
          <cell r="F5" t="str">
            <v>NORMAL SUPERIOR LA INMACULADA</v>
          </cell>
          <cell r="G5" t="str">
            <v>PRINCIPAL</v>
          </cell>
          <cell r="H5">
            <v>1</v>
          </cell>
          <cell r="J5" t="str">
            <v>4 AULAS Y 1 BATERIA</v>
          </cell>
          <cell r="K5">
            <v>470000000</v>
          </cell>
          <cell r="L5">
            <v>329000000</v>
          </cell>
          <cell r="M5">
            <v>141000000</v>
          </cell>
          <cell r="O5">
            <v>0</v>
          </cell>
          <cell r="U5">
            <v>0</v>
          </cell>
        </row>
        <row r="6">
          <cell r="A6">
            <v>3</v>
          </cell>
          <cell r="B6">
            <v>14</v>
          </cell>
          <cell r="C6" t="str">
            <v>NARIÑO</v>
          </cell>
          <cell r="D6" t="str">
            <v>SANDONA</v>
          </cell>
          <cell r="E6" t="str">
            <v>NARIÑO</v>
          </cell>
          <cell r="F6" t="str">
            <v>SANTO TOMAS DE AQUINO</v>
          </cell>
          <cell r="G6" t="str">
            <v>PRINCIPAL</v>
          </cell>
          <cell r="H6">
            <v>1</v>
          </cell>
          <cell r="I6">
            <v>1</v>
          </cell>
          <cell r="J6" t="str">
            <v>4 AULAS</v>
          </cell>
          <cell r="K6">
            <v>360000000</v>
          </cell>
          <cell r="L6">
            <v>251999999.99999997</v>
          </cell>
          <cell r="M6">
            <v>108000000</v>
          </cell>
          <cell r="N6" t="str">
            <v>REPOSICION DE DOS (2) AULAS, CONSTRUCCION DE UNA (1)  AULA, UNA (1) BATERIA SANITARIA  Y DOTACION DE MOBILIARIO BASICO ESCOLAR</v>
          </cell>
          <cell r="O6">
            <v>360000000</v>
          </cell>
          <cell r="P6">
            <v>252000000</v>
          </cell>
          <cell r="Q6">
            <v>108000000</v>
          </cell>
          <cell r="U6">
            <v>386.71999999999991</v>
          </cell>
          <cell r="V6">
            <v>1</v>
          </cell>
          <cell r="W6">
            <v>60.65</v>
          </cell>
          <cell r="X6">
            <v>36</v>
          </cell>
          <cell r="Y6">
            <v>1.67</v>
          </cell>
          <cell r="Z6">
            <v>51872098.030000001</v>
          </cell>
          <cell r="AA6">
            <v>2</v>
          </cell>
          <cell r="AB6">
            <v>121.3</v>
          </cell>
          <cell r="AC6">
            <v>36</v>
          </cell>
          <cell r="AD6">
            <v>103744196.09999999</v>
          </cell>
          <cell r="AE6">
            <v>1</v>
          </cell>
          <cell r="AF6">
            <v>55.65</v>
          </cell>
          <cell r="AG6">
            <v>10</v>
          </cell>
          <cell r="AH6">
            <v>87358783.670000002</v>
          </cell>
          <cell r="AI6">
            <v>0</v>
          </cell>
          <cell r="AM6">
            <v>135.09</v>
          </cell>
          <cell r="AN6">
            <v>89148131.359999999</v>
          </cell>
          <cell r="AO6">
            <v>14.03</v>
          </cell>
          <cell r="AP6">
            <v>27249790.84</v>
          </cell>
          <cell r="AS6">
            <v>0.23</v>
          </cell>
          <cell r="AT6">
            <v>0.43</v>
          </cell>
          <cell r="AW6">
            <v>627000</v>
          </cell>
          <cell r="BA6" t="str">
            <v>JULIO LIBARDO CABRERA</v>
          </cell>
          <cell r="BB6" t="str">
            <v>CALLE 11 Nº 04 - 75</v>
          </cell>
          <cell r="BC6" t="str">
            <v>7288106                         315 4815099</v>
          </cell>
          <cell r="BD6" t="str">
            <v>iestasandon@gmail.com</v>
          </cell>
          <cell r="BE6" t="str">
            <v>2534-2002</v>
          </cell>
          <cell r="BF6" t="str">
            <v>152683000358</v>
          </cell>
          <cell r="BG6">
            <v>2</v>
          </cell>
          <cell r="BH6">
            <v>32</v>
          </cell>
        </row>
        <row r="7">
          <cell r="A7">
            <v>4</v>
          </cell>
          <cell r="B7">
            <v>14</v>
          </cell>
          <cell r="C7" t="str">
            <v>NARIÑO</v>
          </cell>
          <cell r="D7" t="str">
            <v>ILES</v>
          </cell>
          <cell r="E7" t="str">
            <v>NARIÑO</v>
          </cell>
          <cell r="F7" t="str">
            <v>DEL NORTE</v>
          </cell>
          <cell r="G7" t="str">
            <v>VEREDA CAPULI</v>
          </cell>
          <cell r="H7">
            <v>1</v>
          </cell>
          <cell r="I7">
            <v>1</v>
          </cell>
          <cell r="J7" t="str">
            <v>3 AULAS Y 1 BATERÍA</v>
          </cell>
          <cell r="K7">
            <v>360000000</v>
          </cell>
          <cell r="L7">
            <v>251999999.99999997</v>
          </cell>
          <cell r="M7">
            <v>108000000</v>
          </cell>
          <cell r="N7" t="str">
            <v>CONSTRUCCION DE TRES (3) AULAS, UNA (1) BATERIA SANITARIA Y DOTACION DE MOBILIARIO BASICO ESCOLAR</v>
          </cell>
          <cell r="O7">
            <v>374885677.80000001</v>
          </cell>
          <cell r="P7">
            <v>262419974.46000001</v>
          </cell>
          <cell r="Q7">
            <v>112465703.34</v>
          </cell>
          <cell r="U7">
            <v>372.26</v>
          </cell>
          <cell r="V7">
            <v>3</v>
          </cell>
          <cell r="W7">
            <v>199.46</v>
          </cell>
          <cell r="X7">
            <v>36</v>
          </cell>
          <cell r="Y7">
            <v>1.77</v>
          </cell>
          <cell r="Z7">
            <v>173412366.38</v>
          </cell>
          <cell r="AE7">
            <v>1</v>
          </cell>
          <cell r="AF7">
            <v>45.54</v>
          </cell>
          <cell r="AG7">
            <v>9</v>
          </cell>
          <cell r="AH7">
            <v>84041093.370000005</v>
          </cell>
          <cell r="AM7">
            <v>66.540000000000006</v>
          </cell>
          <cell r="AN7">
            <v>40546314.539999999</v>
          </cell>
          <cell r="AO7">
            <v>60.72</v>
          </cell>
          <cell r="AP7">
            <v>66616903.509999998</v>
          </cell>
          <cell r="AS7">
            <v>0.08</v>
          </cell>
          <cell r="AT7">
            <v>0.12</v>
          </cell>
          <cell r="AV7">
            <v>108</v>
          </cell>
          <cell r="AW7">
            <v>10269000</v>
          </cell>
          <cell r="AX7">
            <v>120</v>
          </cell>
          <cell r="AY7">
            <v>3</v>
          </cell>
          <cell r="BA7" t="str">
            <v>LUIS ANTONIO TERAN ROSERO</v>
          </cell>
          <cell r="BB7" t="str">
            <v>VEREDA EL CAPULI</v>
          </cell>
          <cell r="BC7" t="str">
            <v>3136159010</v>
          </cell>
          <cell r="BD7" t="str">
            <v>luantero@yahoo.es</v>
          </cell>
          <cell r="BE7" t="str">
            <v>2395-2008</v>
          </cell>
          <cell r="BF7" t="str">
            <v>252352000166</v>
          </cell>
          <cell r="BG7">
            <v>1</v>
          </cell>
          <cell r="BH7">
            <v>6</v>
          </cell>
        </row>
        <row r="8">
          <cell r="A8">
            <v>5</v>
          </cell>
          <cell r="B8">
            <v>14</v>
          </cell>
          <cell r="C8" t="str">
            <v>NARIÑO</v>
          </cell>
          <cell r="D8" t="str">
            <v>YACUANQUER</v>
          </cell>
          <cell r="E8" t="str">
            <v>NARIÑO</v>
          </cell>
          <cell r="F8" t="str">
            <v>PEDRO LEON TORRES</v>
          </cell>
          <cell r="G8" t="str">
            <v>PRINCIPAL</v>
          </cell>
          <cell r="H8">
            <v>1</v>
          </cell>
          <cell r="I8">
            <v>1</v>
          </cell>
          <cell r="J8" t="str">
            <v>12 AULAS Y 1 BATERIA</v>
          </cell>
          <cell r="K8">
            <v>1190000000</v>
          </cell>
          <cell r="L8">
            <v>833000000</v>
          </cell>
          <cell r="M8">
            <v>357000000</v>
          </cell>
          <cell r="N8" t="str">
            <v>CONSTRUCCION DE NUEVE (9) AULAS,  UN (1) LABORATORIO, DOS (2) BATERIAS SANITARIAS,Y DOTACION DE MOBILIARIO BASICO ESCOLAR</v>
          </cell>
          <cell r="O8">
            <v>1148046966.0999999</v>
          </cell>
          <cell r="P8">
            <v>803632876.26999998</v>
          </cell>
          <cell r="Q8">
            <v>344414089.82999998</v>
          </cell>
          <cell r="S8" t="str">
            <v>Arq. John Rico</v>
          </cell>
          <cell r="T8" t="str">
            <v>Arq. Nelson Porras</v>
          </cell>
          <cell r="U8">
            <v>1478.48</v>
          </cell>
          <cell r="V8">
            <v>9</v>
          </cell>
          <cell r="W8">
            <v>652.29</v>
          </cell>
          <cell r="X8">
            <v>40</v>
          </cell>
          <cell r="Y8">
            <v>1.69</v>
          </cell>
          <cell r="Z8">
            <v>515108511.88999999</v>
          </cell>
          <cell r="AE8">
            <v>2</v>
          </cell>
          <cell r="AF8">
            <v>118.77</v>
          </cell>
          <cell r="AG8">
            <v>12</v>
          </cell>
          <cell r="AH8">
            <v>206390373.43000001</v>
          </cell>
          <cell r="AI8">
            <v>1</v>
          </cell>
          <cell r="AJ8">
            <v>87.29</v>
          </cell>
          <cell r="AK8">
            <v>40</v>
          </cell>
          <cell r="AL8">
            <v>79354745.769999996</v>
          </cell>
          <cell r="AM8">
            <v>336.01</v>
          </cell>
          <cell r="AN8">
            <v>157406709.72</v>
          </cell>
          <cell r="AO8">
            <v>284.12</v>
          </cell>
          <cell r="AP8">
            <v>148750625.28999999</v>
          </cell>
          <cell r="AS8">
            <v>0.09</v>
          </cell>
          <cell r="AT8">
            <v>0.1</v>
          </cell>
          <cell r="AV8">
            <v>800</v>
          </cell>
          <cell r="AW8">
            <v>41036000</v>
          </cell>
          <cell r="AX8">
            <v>480</v>
          </cell>
          <cell r="AY8">
            <v>12</v>
          </cell>
          <cell r="BA8" t="str">
            <v>MARCELO ARTEAGA</v>
          </cell>
          <cell r="BB8" t="str">
            <v>Km. 3 - VIA MEJIA</v>
          </cell>
          <cell r="BC8" t="str">
            <v>7653085                                 316 4026352</v>
          </cell>
          <cell r="BD8" t="str">
            <v>ieplt@live.com.mx</v>
          </cell>
          <cell r="BE8" t="str">
            <v>2573-2002</v>
          </cell>
          <cell r="BF8" t="str">
            <v>152885000015</v>
          </cell>
          <cell r="BG8">
            <v>2</v>
          </cell>
          <cell r="BH8">
            <v>22</v>
          </cell>
        </row>
        <row r="9">
          <cell r="A9">
            <v>6</v>
          </cell>
          <cell r="B9">
            <v>14</v>
          </cell>
          <cell r="C9" t="str">
            <v>NARIÑO</v>
          </cell>
          <cell r="D9" t="str">
            <v>MALLAMA</v>
          </cell>
          <cell r="E9" t="str">
            <v>NARIÑO</v>
          </cell>
          <cell r="F9" t="str">
            <v>AGROPECUARIA SAN JUAN BAUTISTA</v>
          </cell>
          <cell r="G9" t="str">
            <v>PRINCIPAL</v>
          </cell>
          <cell r="H9">
            <v>1</v>
          </cell>
          <cell r="I9">
            <v>1</v>
          </cell>
          <cell r="J9" t="str">
            <v>4 AULAS 1 BATERIA</v>
          </cell>
          <cell r="K9">
            <v>470000000</v>
          </cell>
          <cell r="L9">
            <v>329000000</v>
          </cell>
          <cell r="M9">
            <v>141000000</v>
          </cell>
          <cell r="N9" t="str">
            <v>CONSTRUCCION DE  CUATRO (4) AULAS, UNA (1) BATERIA SANITARIA Y DOTACION DE MOBILIARIO BASICO ESCOLAR</v>
          </cell>
          <cell r="O9">
            <v>472727540.70999998</v>
          </cell>
          <cell r="P9">
            <v>330909278.5</v>
          </cell>
          <cell r="Q9">
            <v>141818262.21000001</v>
          </cell>
          <cell r="S9" t="str">
            <v>Arq. John Rico</v>
          </cell>
          <cell r="T9" t="str">
            <v>Arq. Marco Betancourt</v>
          </cell>
          <cell r="U9">
            <v>520.13</v>
          </cell>
          <cell r="V9">
            <v>4</v>
          </cell>
          <cell r="W9">
            <v>266.54000000000002</v>
          </cell>
          <cell r="X9">
            <v>40</v>
          </cell>
          <cell r="Y9">
            <v>1.7</v>
          </cell>
          <cell r="Z9">
            <v>232972833.19</v>
          </cell>
          <cell r="AE9">
            <v>1</v>
          </cell>
          <cell r="AF9">
            <v>67.150000000000006</v>
          </cell>
          <cell r="AG9">
            <v>9</v>
          </cell>
          <cell r="AH9">
            <v>98031386.870000005</v>
          </cell>
          <cell r="AM9">
            <v>83.24</v>
          </cell>
          <cell r="AN9">
            <v>35993993.600000001</v>
          </cell>
          <cell r="AO9">
            <v>103.2</v>
          </cell>
          <cell r="AP9">
            <v>92037327.040000007</v>
          </cell>
          <cell r="AS9">
            <v>0.37</v>
          </cell>
          <cell r="AT9">
            <v>0.44</v>
          </cell>
          <cell r="AV9">
            <v>160</v>
          </cell>
          <cell r="AW9">
            <v>13692000</v>
          </cell>
          <cell r="AX9">
            <v>160</v>
          </cell>
          <cell r="AY9">
            <v>4</v>
          </cell>
          <cell r="BA9" t="str">
            <v>JAIME VELASQUEZ GOYES</v>
          </cell>
          <cell r="BB9" t="str">
            <v>SAN MIGUEL - MALLAMA</v>
          </cell>
          <cell r="BC9" t="str">
            <v>(2) 7752911                       3206898832</v>
          </cell>
          <cell r="BD9" t="str">
            <v>jalivego@yahoo.es</v>
          </cell>
          <cell r="BF9" t="str">
            <v>252435000320</v>
          </cell>
          <cell r="BG9">
            <v>1</v>
          </cell>
          <cell r="BH9">
            <v>10</v>
          </cell>
        </row>
        <row r="10">
          <cell r="A10">
            <v>7</v>
          </cell>
          <cell r="B10">
            <v>14</v>
          </cell>
          <cell r="C10" t="str">
            <v>AMAZONAS</v>
          </cell>
          <cell r="D10" t="str">
            <v>LETICIA</v>
          </cell>
          <cell r="E10" t="str">
            <v>AMAZONAS</v>
          </cell>
          <cell r="F10" t="str">
            <v>FRANCISCO DEL ROSARIO VELA</v>
          </cell>
          <cell r="G10" t="str">
            <v>PRINCIPAL</v>
          </cell>
          <cell r="H10">
            <v>1</v>
          </cell>
          <cell r="I10">
            <v>1</v>
          </cell>
          <cell r="J10" t="str">
            <v>3 AULAS 1 BATERIA Y  1 LABORATORIO</v>
          </cell>
          <cell r="K10">
            <v>443529411.75999999</v>
          </cell>
          <cell r="L10">
            <v>376999999.99599999</v>
          </cell>
          <cell r="M10">
            <v>66529411.763999999</v>
          </cell>
          <cell r="N10" t="str">
            <v>CONSTRUCCION DE DOS (2) AULAS, UN (1) LABORATORIO, UNA (1) BATERIA SANITARIA,  Y DOTACION DE MOBILIARIO BASICO ESCOLAR</v>
          </cell>
          <cell r="O10">
            <v>443529411.75999951</v>
          </cell>
          <cell r="P10">
            <v>377000000</v>
          </cell>
          <cell r="Q10">
            <v>66529411.759999514</v>
          </cell>
          <cell r="S10" t="str">
            <v xml:space="preserve">Arq Derly Moreno </v>
          </cell>
          <cell r="T10" t="str">
            <v>Arq Nelson Porras</v>
          </cell>
          <cell r="U10">
            <v>471.55000000000007</v>
          </cell>
          <cell r="V10">
            <v>2</v>
          </cell>
          <cell r="W10">
            <v>152.52000000000001</v>
          </cell>
          <cell r="X10">
            <v>40</v>
          </cell>
          <cell r="Y10">
            <v>1.75</v>
          </cell>
          <cell r="Z10">
            <v>137432690.49879301</v>
          </cell>
          <cell r="AE10">
            <v>1</v>
          </cell>
          <cell r="AF10">
            <v>57.54</v>
          </cell>
          <cell r="AG10">
            <v>11</v>
          </cell>
          <cell r="AH10">
            <v>83965064.729056105</v>
          </cell>
          <cell r="AI10">
            <v>1</v>
          </cell>
          <cell r="AJ10">
            <v>109.36</v>
          </cell>
          <cell r="AK10">
            <v>40</v>
          </cell>
          <cell r="AL10">
            <v>118420840.84358799</v>
          </cell>
          <cell r="AM10">
            <v>72.180000000000007</v>
          </cell>
          <cell r="AN10">
            <v>64029810.840903297</v>
          </cell>
          <cell r="AO10">
            <v>79.95</v>
          </cell>
          <cell r="AP10">
            <v>38412004.847659104</v>
          </cell>
          <cell r="AS10">
            <v>0.12</v>
          </cell>
          <cell r="AT10">
            <v>0.13</v>
          </cell>
          <cell r="AV10">
            <v>0</v>
          </cell>
          <cell r="AW10">
            <v>1269000</v>
          </cell>
          <cell r="AX10">
            <v>0</v>
          </cell>
          <cell r="AY10">
            <v>3</v>
          </cell>
          <cell r="BA10" t="str">
            <v>CARLOS RODRIGUEZ CELIS</v>
          </cell>
          <cell r="BB10" t="str">
            <v>CRA 5 No 15-02</v>
          </cell>
          <cell r="BC10" t="str">
            <v>3106898495</v>
          </cell>
          <cell r="BE10" t="str">
            <v>002852-2007</v>
          </cell>
          <cell r="BF10" t="str">
            <v>191001000730</v>
          </cell>
          <cell r="BG10">
            <v>2</v>
          </cell>
          <cell r="BH10">
            <v>16</v>
          </cell>
        </row>
        <row r="11">
          <cell r="A11">
            <v>8</v>
          </cell>
          <cell r="B11">
            <v>14</v>
          </cell>
          <cell r="C11" t="str">
            <v>SANTANDER</v>
          </cell>
          <cell r="D11" t="str">
            <v>SOCORRO</v>
          </cell>
          <cell r="E11" t="str">
            <v>SANTANDER</v>
          </cell>
          <cell r="F11" t="str">
            <v>UNIVERSITARIO DEL SOCORRO</v>
          </cell>
          <cell r="G11" t="str">
            <v>PRINCIPAL</v>
          </cell>
          <cell r="H11">
            <v>2</v>
          </cell>
          <cell r="I11">
            <v>1</v>
          </cell>
          <cell r="J11" t="str">
            <v>4 AULAS Y 2 BATERIAS</v>
          </cell>
          <cell r="K11">
            <v>580000000</v>
          </cell>
          <cell r="L11">
            <v>406000000</v>
          </cell>
          <cell r="M11">
            <v>174000000</v>
          </cell>
          <cell r="O11">
            <v>0</v>
          </cell>
          <cell r="U11">
            <v>0</v>
          </cell>
        </row>
        <row r="12">
          <cell r="A12">
            <v>9</v>
          </cell>
          <cell r="B12">
            <v>14</v>
          </cell>
          <cell r="C12" t="str">
            <v>SANTANDER</v>
          </cell>
          <cell r="D12" t="str">
            <v>LEBRIJA</v>
          </cell>
          <cell r="E12" t="str">
            <v>SANTANDER</v>
          </cell>
          <cell r="F12" t="str">
            <v>COLEGIO LLANADAS</v>
          </cell>
          <cell r="G12" t="str">
            <v>PRINCIPAL</v>
          </cell>
          <cell r="H12">
            <v>2</v>
          </cell>
          <cell r="I12">
            <v>1</v>
          </cell>
          <cell r="J12" t="str">
            <v>CONSTRUCCION DE CUATRO (4) AULAS</v>
          </cell>
          <cell r="K12">
            <v>360000000</v>
          </cell>
          <cell r="L12">
            <v>251999999.99999997</v>
          </cell>
          <cell r="M12">
            <v>108000000</v>
          </cell>
          <cell r="N12" t="str">
            <v>CONSTRUCCION DE TRES (3) AULAS, UNA (1) BATERIA SANITARIA Y DOTACION DE MOBILIARIO BASICO ESCOLAR</v>
          </cell>
          <cell r="O12">
            <v>0</v>
          </cell>
          <cell r="U12">
            <v>432.43</v>
          </cell>
          <cell r="V12">
            <v>3</v>
          </cell>
          <cell r="W12">
            <v>207.24</v>
          </cell>
          <cell r="X12">
            <v>38</v>
          </cell>
          <cell r="Y12">
            <v>1.36</v>
          </cell>
          <cell r="AE12">
            <v>1</v>
          </cell>
          <cell r="AF12">
            <v>65.02</v>
          </cell>
          <cell r="AG12">
            <v>11</v>
          </cell>
          <cell r="AM12">
            <v>92.42</v>
          </cell>
          <cell r="AO12">
            <v>67.75</v>
          </cell>
          <cell r="AS12">
            <v>0.28000000000000003</v>
          </cell>
          <cell r="AT12">
            <v>0.55000000000000004</v>
          </cell>
          <cell r="AV12">
            <v>114</v>
          </cell>
          <cell r="AX12">
            <v>114</v>
          </cell>
          <cell r="AY12">
            <v>3</v>
          </cell>
          <cell r="BA12" t="str">
            <v>MYRIAM SEDANO TARAZONA</v>
          </cell>
          <cell r="BB12" t="str">
            <v>VEREDA LLANADAS</v>
          </cell>
          <cell r="BC12" t="str">
            <v>6840998 / 316 8256387</v>
          </cell>
          <cell r="BD12" t="str">
            <v>colllanadas@hotmail.com</v>
          </cell>
          <cell r="BF12" t="str">
            <v>268406000098</v>
          </cell>
          <cell r="BG12">
            <v>1</v>
          </cell>
        </row>
        <row r="13">
          <cell r="A13">
            <v>10</v>
          </cell>
          <cell r="B13">
            <v>14</v>
          </cell>
          <cell r="C13" t="str">
            <v>SANTANDER</v>
          </cell>
          <cell r="D13" t="str">
            <v>RIONEGRO</v>
          </cell>
          <cell r="E13" t="str">
            <v>SANTANDER</v>
          </cell>
          <cell r="F13" t="str">
            <v>COLEGIO INTEGRADO FRAY NEPOMUCENO RAMOS</v>
          </cell>
          <cell r="G13" t="str">
            <v>PRINCIPAL</v>
          </cell>
          <cell r="H13">
            <v>2</v>
          </cell>
          <cell r="J13" t="str">
            <v>REPOSICION 2 AULAS</v>
          </cell>
          <cell r="K13">
            <v>180000000</v>
          </cell>
          <cell r="L13">
            <v>125999999.99999999</v>
          </cell>
          <cell r="M13">
            <v>54000000</v>
          </cell>
          <cell r="O13">
            <v>0</v>
          </cell>
          <cell r="U13">
            <v>0</v>
          </cell>
        </row>
        <row r="14">
          <cell r="A14">
            <v>11</v>
          </cell>
          <cell r="B14">
            <v>14</v>
          </cell>
          <cell r="C14" t="str">
            <v>SANTANDER</v>
          </cell>
          <cell r="D14" t="str">
            <v>OCAMONTE</v>
          </cell>
          <cell r="E14" t="str">
            <v>SANTANDER</v>
          </cell>
          <cell r="F14" t="str">
            <v>COLEGIO TECNICO AGROPECUARIO</v>
          </cell>
          <cell r="G14" t="str">
            <v>A SAN JOSE</v>
          </cell>
          <cell r="H14">
            <v>2</v>
          </cell>
          <cell r="I14">
            <v>1</v>
          </cell>
          <cell r="J14" t="str">
            <v>3 AULAS, 1  LABORATORIO Y 1 BATERIA</v>
          </cell>
          <cell r="K14">
            <v>500000000</v>
          </cell>
          <cell r="L14">
            <v>350000000</v>
          </cell>
          <cell r="M14">
            <v>150000000</v>
          </cell>
          <cell r="N14" t="str">
            <v>CONSTRUCCION DE TRES (3) AULAS, UN (1) LABORATORIO, UNA (1) BATERIA SANITARIA Y DOTACION DE MOBILIARIO BASICO ESCOLAR</v>
          </cell>
          <cell r="O14">
            <v>0</v>
          </cell>
          <cell r="U14">
            <v>504.1</v>
          </cell>
          <cell r="V14">
            <v>3</v>
          </cell>
          <cell r="W14">
            <v>190.93</v>
          </cell>
          <cell r="X14">
            <v>40</v>
          </cell>
          <cell r="Y14">
            <v>1.61</v>
          </cell>
          <cell r="AE14">
            <v>1</v>
          </cell>
          <cell r="AF14">
            <v>39.31</v>
          </cell>
          <cell r="AG14">
            <v>9</v>
          </cell>
          <cell r="AI14">
            <v>1</v>
          </cell>
          <cell r="AJ14">
            <v>132.35</v>
          </cell>
          <cell r="AK14">
            <v>40</v>
          </cell>
          <cell r="AM14">
            <v>78.41</v>
          </cell>
          <cell r="AO14">
            <v>63.1</v>
          </cell>
          <cell r="AS14">
            <v>0.27</v>
          </cell>
          <cell r="AT14">
            <v>0.93</v>
          </cell>
          <cell r="AV14">
            <v>120</v>
          </cell>
          <cell r="AX14">
            <v>120</v>
          </cell>
          <cell r="AY14">
            <v>4</v>
          </cell>
          <cell r="BA14" t="str">
            <v>AGUIDA CARVAJAL</v>
          </cell>
          <cell r="BB14" t="str">
            <v>CARRERA 3ª Nº 1 CALLE IMPAR</v>
          </cell>
          <cell r="BC14" t="str">
            <v>7247530        3203011919</v>
          </cell>
          <cell r="BD14" t="str">
            <v>coltecnico@yahoo.es</v>
          </cell>
          <cell r="BE14" t="str">
            <v>0569-1998</v>
          </cell>
          <cell r="BF14" t="str">
            <v>168498000159</v>
          </cell>
          <cell r="BG14">
            <v>1</v>
          </cell>
          <cell r="BH14">
            <v>9</v>
          </cell>
        </row>
        <row r="15">
          <cell r="A15">
            <v>12</v>
          </cell>
          <cell r="B15">
            <v>14</v>
          </cell>
          <cell r="C15" t="str">
            <v>SANTANDER</v>
          </cell>
          <cell r="D15" t="str">
            <v>PUERTO PARRA</v>
          </cell>
          <cell r="E15" t="str">
            <v>SANTANDER</v>
          </cell>
          <cell r="F15" t="str">
            <v>COLEGIO DEPARTAMENTAL LAS MONTOYAS</v>
          </cell>
          <cell r="G15" t="str">
            <v>SEDE A</v>
          </cell>
          <cell r="H15">
            <v>2</v>
          </cell>
          <cell r="I15">
            <v>1</v>
          </cell>
          <cell r="J15" t="str">
            <v>1 AULA Y 1 LABORATORIO</v>
          </cell>
          <cell r="K15">
            <v>210000000</v>
          </cell>
          <cell r="L15">
            <v>147000000</v>
          </cell>
          <cell r="M15">
            <v>63000000</v>
          </cell>
          <cell r="N15" t="str">
            <v>CONSTRUCCION DE UNA (1) AULA, UN (1) LABORATORIO Y DOTACION DE MOBILIARIO BASICO ESCOLAR</v>
          </cell>
          <cell r="O15">
            <v>0</v>
          </cell>
          <cell r="U15">
            <v>0</v>
          </cell>
          <cell r="V15">
            <v>1</v>
          </cell>
          <cell r="X15">
            <v>40</v>
          </cell>
          <cell r="AI15">
            <v>1</v>
          </cell>
        </row>
        <row r="16">
          <cell r="A16">
            <v>13</v>
          </cell>
          <cell r="B16">
            <v>14</v>
          </cell>
          <cell r="C16" t="str">
            <v>SANTANDER</v>
          </cell>
          <cell r="D16" t="str">
            <v>PUERTO WILCHES</v>
          </cell>
          <cell r="E16" t="str">
            <v>SANTANDER</v>
          </cell>
          <cell r="F16" t="str">
            <v>COLEGIO AGROPECUARIO PUENTE SOGAMOSO</v>
          </cell>
          <cell r="G16" t="str">
            <v>NO IDENTIFICADA</v>
          </cell>
          <cell r="H16">
            <v>2</v>
          </cell>
          <cell r="I16">
            <v>1</v>
          </cell>
          <cell r="J16" t="str">
            <v>4 AULAS Y 1 BATERIA</v>
          </cell>
          <cell r="K16">
            <v>470000000</v>
          </cell>
          <cell r="L16">
            <v>329000000</v>
          </cell>
          <cell r="M16">
            <v>141000000</v>
          </cell>
          <cell r="N16" t="str">
            <v>CONSTRUCCION DE CUATRO (4) AULAS, UNA (1) BATERIA SANITARIA Y DOTACION DE MOBILIARIO BASICO ESCOLAR</v>
          </cell>
          <cell r="O16">
            <v>0</v>
          </cell>
          <cell r="U16">
            <v>0</v>
          </cell>
          <cell r="V16">
            <v>4</v>
          </cell>
          <cell r="X16">
            <v>40</v>
          </cell>
          <cell r="AE16">
            <v>1</v>
          </cell>
          <cell r="AG16">
            <v>9</v>
          </cell>
        </row>
        <row r="17">
          <cell r="A17">
            <v>14</v>
          </cell>
          <cell r="B17">
            <v>14</v>
          </cell>
          <cell r="C17" t="str">
            <v>SANTANDER</v>
          </cell>
          <cell r="D17" t="str">
            <v>PARAMO</v>
          </cell>
          <cell r="E17" t="str">
            <v>SANTANDER</v>
          </cell>
          <cell r="F17" t="str">
            <v>COLEGIO NUESTRA SEÑORA DE LA SALUD</v>
          </cell>
          <cell r="G17" t="str">
            <v>PRINCIPAL</v>
          </cell>
          <cell r="H17">
            <v>2</v>
          </cell>
          <cell r="J17" t="str">
            <v>10 AULAS, 2 BATERIAS Y 2 LABORATORIOS</v>
          </cell>
          <cell r="K17">
            <v>1360000000</v>
          </cell>
          <cell r="L17">
            <v>951999999.99999988</v>
          </cell>
          <cell r="M17">
            <v>408000000</v>
          </cell>
          <cell r="O17">
            <v>0</v>
          </cell>
          <cell r="U17">
            <v>0</v>
          </cell>
        </row>
        <row r="18">
          <cell r="A18">
            <v>15</v>
          </cell>
          <cell r="B18">
            <v>14</v>
          </cell>
          <cell r="C18" t="str">
            <v>SANTANDER</v>
          </cell>
          <cell r="D18" t="str">
            <v>SAN MIGUEL</v>
          </cell>
          <cell r="E18" t="str">
            <v>SANTANDER</v>
          </cell>
          <cell r="F18" t="str">
            <v>COLEGIO MONSEÑOR EVARISTO BLANCO</v>
          </cell>
          <cell r="G18" t="str">
            <v>NO IDENTIFICADA</v>
          </cell>
          <cell r="H18">
            <v>2</v>
          </cell>
          <cell r="I18">
            <v>1</v>
          </cell>
          <cell r="J18" t="str">
            <v>5 AULAS Y 1 BATERIA</v>
          </cell>
          <cell r="K18">
            <v>560000000</v>
          </cell>
          <cell r="L18">
            <v>392000000</v>
          </cell>
          <cell r="M18">
            <v>168000000</v>
          </cell>
          <cell r="N18" t="str">
            <v>CONSTRUCCION DE CINCO (5) AULAS, UNA (1) BATERIA SANITARIA Y DOTACION DE MOBILIARIO BASICO ESCOLAR</v>
          </cell>
          <cell r="O18">
            <v>0</v>
          </cell>
          <cell r="U18">
            <v>0</v>
          </cell>
          <cell r="V18">
            <v>5</v>
          </cell>
          <cell r="X18">
            <v>40</v>
          </cell>
          <cell r="AE18">
            <v>1</v>
          </cell>
          <cell r="AG18">
            <v>9</v>
          </cell>
        </row>
        <row r="19">
          <cell r="A19">
            <v>16</v>
          </cell>
          <cell r="B19">
            <v>14</v>
          </cell>
          <cell r="C19" t="str">
            <v>SANTANDER</v>
          </cell>
          <cell r="D19" t="str">
            <v>BETULIA</v>
          </cell>
          <cell r="E19" t="str">
            <v>SANTANDER</v>
          </cell>
          <cell r="F19" t="str">
            <v>COLEGIO NUESTRA SEÑORA DE LA PAZ</v>
          </cell>
          <cell r="G19" t="str">
            <v>NO IDENTIFICADA</v>
          </cell>
          <cell r="H19">
            <v>2</v>
          </cell>
          <cell r="I19">
            <v>1</v>
          </cell>
          <cell r="J19" t="str">
            <v>6 AULAS, 1  LABORATORIO Y 1 BATERIA</v>
          </cell>
          <cell r="K19">
            <v>770000000</v>
          </cell>
          <cell r="L19">
            <v>539000000</v>
          </cell>
          <cell r="M19">
            <v>231000000</v>
          </cell>
          <cell r="N19" t="str">
            <v>CONSTRUCCION DE SEIS (6) AULAS, UN (1) LABORATORIO, UNA (1) BATERIA SANITARIA Y DOTACION DE MOBILIARIO BASICO ESCOLAR</v>
          </cell>
          <cell r="O19">
            <v>0</v>
          </cell>
          <cell r="U19">
            <v>0</v>
          </cell>
          <cell r="V19">
            <v>6</v>
          </cell>
          <cell r="X19">
            <v>36</v>
          </cell>
          <cell r="AE19">
            <v>1</v>
          </cell>
          <cell r="AG19">
            <v>9</v>
          </cell>
          <cell r="AI19">
            <v>1</v>
          </cell>
        </row>
        <row r="20">
          <cell r="A20">
            <v>17</v>
          </cell>
          <cell r="O20">
            <v>0</v>
          </cell>
          <cell r="U20">
            <v>0</v>
          </cell>
        </row>
        <row r="21">
          <cell r="A21">
            <v>18</v>
          </cell>
          <cell r="O21">
            <v>0</v>
          </cell>
          <cell r="U21">
            <v>0</v>
          </cell>
        </row>
        <row r="22">
          <cell r="A22">
            <v>19</v>
          </cell>
          <cell r="O22">
            <v>0</v>
          </cell>
          <cell r="U22">
            <v>0</v>
          </cell>
        </row>
        <row r="23">
          <cell r="A23">
            <v>20</v>
          </cell>
          <cell r="O23">
            <v>0</v>
          </cell>
          <cell r="U23">
            <v>0</v>
          </cell>
        </row>
        <row r="24">
          <cell r="A24">
            <v>21</v>
          </cell>
          <cell r="O24">
            <v>0</v>
          </cell>
          <cell r="U24">
            <v>0</v>
          </cell>
        </row>
        <row r="25">
          <cell r="A25">
            <v>22</v>
          </cell>
          <cell r="O25">
            <v>0</v>
          </cell>
          <cell r="U25">
            <v>0</v>
          </cell>
        </row>
        <row r="26">
          <cell r="A26">
            <v>23</v>
          </cell>
          <cell r="O26">
            <v>0</v>
          </cell>
          <cell r="U26">
            <v>0</v>
          </cell>
        </row>
        <row r="27">
          <cell r="A27">
            <v>24</v>
          </cell>
          <cell r="O27">
            <v>0</v>
          </cell>
          <cell r="U27">
            <v>0</v>
          </cell>
        </row>
        <row r="28">
          <cell r="A28">
            <v>25</v>
          </cell>
          <cell r="O28">
            <v>0</v>
          </cell>
          <cell r="U28">
            <v>0</v>
          </cell>
        </row>
        <row r="29">
          <cell r="A29">
            <v>26</v>
          </cell>
          <cell r="O29">
            <v>0</v>
          </cell>
          <cell r="U29">
            <v>0</v>
          </cell>
        </row>
        <row r="30">
          <cell r="A30">
            <v>27</v>
          </cell>
          <cell r="O30">
            <v>0</v>
          </cell>
          <cell r="U30">
            <v>0</v>
          </cell>
        </row>
        <row r="31">
          <cell r="A31">
            <v>28</v>
          </cell>
          <cell r="O31">
            <v>0</v>
          </cell>
          <cell r="U31">
            <v>0</v>
          </cell>
        </row>
        <row r="32">
          <cell r="A32">
            <v>29</v>
          </cell>
          <cell r="O32">
            <v>0</v>
          </cell>
          <cell r="U32">
            <v>0</v>
          </cell>
        </row>
        <row r="33">
          <cell r="A33">
            <v>30</v>
          </cell>
          <cell r="O33">
            <v>0</v>
          </cell>
          <cell r="U33">
            <v>0</v>
          </cell>
        </row>
        <row r="34">
          <cell r="A34">
            <v>31</v>
          </cell>
          <cell r="O34">
            <v>0</v>
          </cell>
          <cell r="U34">
            <v>0</v>
          </cell>
        </row>
        <row r="35">
          <cell r="A35">
            <v>32</v>
          </cell>
          <cell r="O35">
            <v>0</v>
          </cell>
          <cell r="U35">
            <v>0</v>
          </cell>
        </row>
        <row r="36">
          <cell r="A36">
            <v>33</v>
          </cell>
          <cell r="O36">
            <v>0</v>
          </cell>
          <cell r="U36">
            <v>0</v>
          </cell>
        </row>
        <row r="37">
          <cell r="A37">
            <v>34</v>
          </cell>
          <cell r="O37">
            <v>0</v>
          </cell>
          <cell r="U37">
            <v>0</v>
          </cell>
        </row>
        <row r="38">
          <cell r="A38">
            <v>35</v>
          </cell>
          <cell r="O38">
            <v>0</v>
          </cell>
          <cell r="U38">
            <v>0</v>
          </cell>
        </row>
        <row r="39">
          <cell r="A39">
            <v>36</v>
          </cell>
          <cell r="O39">
            <v>0</v>
          </cell>
          <cell r="U39">
            <v>0</v>
          </cell>
        </row>
        <row r="40">
          <cell r="A40">
            <v>37</v>
          </cell>
          <cell r="O40">
            <v>0</v>
          </cell>
          <cell r="U40">
            <v>0</v>
          </cell>
        </row>
        <row r="41">
          <cell r="A41">
            <v>38</v>
          </cell>
          <cell r="O41">
            <v>0</v>
          </cell>
          <cell r="U41">
            <v>0</v>
          </cell>
        </row>
        <row r="42">
          <cell r="A42">
            <v>39</v>
          </cell>
          <cell r="O42">
            <v>0</v>
          </cell>
          <cell r="U42">
            <v>0</v>
          </cell>
        </row>
        <row r="43">
          <cell r="A43">
            <v>40</v>
          </cell>
          <cell r="O43">
            <v>0</v>
          </cell>
          <cell r="U43">
            <v>0</v>
          </cell>
        </row>
        <row r="44">
          <cell r="A44">
            <v>41</v>
          </cell>
          <cell r="O44">
            <v>0</v>
          </cell>
          <cell r="U44">
            <v>0</v>
          </cell>
        </row>
        <row r="45">
          <cell r="A45">
            <v>42</v>
          </cell>
          <cell r="O45">
            <v>0</v>
          </cell>
          <cell r="U45">
            <v>0</v>
          </cell>
        </row>
        <row r="46">
          <cell r="A46">
            <v>43</v>
          </cell>
          <cell r="O46">
            <v>0</v>
          </cell>
          <cell r="U46">
            <v>0</v>
          </cell>
        </row>
        <row r="47">
          <cell r="A47">
            <v>44</v>
          </cell>
          <cell r="O47">
            <v>0</v>
          </cell>
          <cell r="U47">
            <v>0</v>
          </cell>
        </row>
        <row r="48">
          <cell r="A48">
            <v>45</v>
          </cell>
          <cell r="O48">
            <v>0</v>
          </cell>
          <cell r="U48">
            <v>0</v>
          </cell>
        </row>
        <row r="49">
          <cell r="A49">
            <v>46</v>
          </cell>
          <cell r="O49">
            <v>0</v>
          </cell>
          <cell r="U49">
            <v>0</v>
          </cell>
        </row>
        <row r="50">
          <cell r="A50">
            <v>47</v>
          </cell>
          <cell r="O50">
            <v>0</v>
          </cell>
          <cell r="U50">
            <v>0</v>
          </cell>
        </row>
        <row r="51">
          <cell r="A51">
            <v>48</v>
          </cell>
          <cell r="O51">
            <v>0</v>
          </cell>
          <cell r="U51">
            <v>0</v>
          </cell>
        </row>
        <row r="52">
          <cell r="A52">
            <v>49</v>
          </cell>
          <cell r="O52">
            <v>0</v>
          </cell>
          <cell r="U52">
            <v>0</v>
          </cell>
        </row>
        <row r="53">
          <cell r="A53">
            <v>50</v>
          </cell>
          <cell r="O53">
            <v>0</v>
          </cell>
          <cell r="U53">
            <v>0</v>
          </cell>
        </row>
        <row r="54">
          <cell r="A54">
            <v>51</v>
          </cell>
          <cell r="O54">
            <v>0</v>
          </cell>
          <cell r="U54">
            <v>0</v>
          </cell>
        </row>
        <row r="55">
          <cell r="A55">
            <v>52</v>
          </cell>
          <cell r="O55">
            <v>0</v>
          </cell>
          <cell r="U55">
            <v>0</v>
          </cell>
        </row>
        <row r="56">
          <cell r="A56">
            <v>53</v>
          </cell>
          <cell r="O56">
            <v>0</v>
          </cell>
          <cell r="U56">
            <v>0</v>
          </cell>
        </row>
        <row r="57">
          <cell r="A57">
            <v>54</v>
          </cell>
          <cell r="O57">
            <v>0</v>
          </cell>
          <cell r="U57">
            <v>0</v>
          </cell>
        </row>
        <row r="58">
          <cell r="A58">
            <v>55</v>
          </cell>
          <cell r="O58">
            <v>0</v>
          </cell>
          <cell r="U58">
            <v>0</v>
          </cell>
        </row>
        <row r="59">
          <cell r="A59">
            <v>56</v>
          </cell>
          <cell r="O59">
            <v>0</v>
          </cell>
          <cell r="U59">
            <v>0</v>
          </cell>
        </row>
        <row r="60">
          <cell r="A60">
            <v>57</v>
          </cell>
          <cell r="O60">
            <v>0</v>
          </cell>
          <cell r="U60">
            <v>0</v>
          </cell>
        </row>
        <row r="61">
          <cell r="A61">
            <v>58</v>
          </cell>
          <cell r="O61">
            <v>0</v>
          </cell>
          <cell r="U61">
            <v>0</v>
          </cell>
        </row>
        <row r="62">
          <cell r="A62">
            <v>59</v>
          </cell>
          <cell r="O62">
            <v>0</v>
          </cell>
          <cell r="U62">
            <v>0</v>
          </cell>
        </row>
        <row r="63">
          <cell r="A63">
            <v>60</v>
          </cell>
          <cell r="O63">
            <v>0</v>
          </cell>
          <cell r="U63">
            <v>0</v>
          </cell>
        </row>
        <row r="64">
          <cell r="A64">
            <v>61</v>
          </cell>
          <cell r="O64">
            <v>0</v>
          </cell>
          <cell r="U64">
            <v>0</v>
          </cell>
        </row>
        <row r="65">
          <cell r="A65">
            <v>62</v>
          </cell>
          <cell r="O65">
            <v>0</v>
          </cell>
          <cell r="U65">
            <v>0</v>
          </cell>
        </row>
        <row r="66">
          <cell r="A66">
            <v>63</v>
          </cell>
          <cell r="O66">
            <v>0</v>
          </cell>
          <cell r="U66">
            <v>0</v>
          </cell>
        </row>
        <row r="67">
          <cell r="A67">
            <v>64</v>
          </cell>
          <cell r="O67">
            <v>0</v>
          </cell>
          <cell r="U67">
            <v>0</v>
          </cell>
        </row>
        <row r="68">
          <cell r="A68">
            <v>65</v>
          </cell>
          <cell r="O68">
            <v>0</v>
          </cell>
          <cell r="U68">
            <v>0</v>
          </cell>
        </row>
        <row r="69">
          <cell r="A69">
            <v>66</v>
          </cell>
          <cell r="O69">
            <v>0</v>
          </cell>
          <cell r="U69">
            <v>0</v>
          </cell>
        </row>
        <row r="70">
          <cell r="A70">
            <v>67</v>
          </cell>
          <cell r="O70">
            <v>0</v>
          </cell>
          <cell r="U70">
            <v>0</v>
          </cell>
        </row>
        <row r="71">
          <cell r="A71">
            <v>68</v>
          </cell>
          <cell r="O71">
            <v>0</v>
          </cell>
          <cell r="U71">
            <v>0</v>
          </cell>
        </row>
        <row r="72">
          <cell r="A72">
            <v>69</v>
          </cell>
          <cell r="O72">
            <v>0</v>
          </cell>
          <cell r="U72">
            <v>0</v>
          </cell>
        </row>
        <row r="73">
          <cell r="A73">
            <v>70</v>
          </cell>
          <cell r="O73">
            <v>0</v>
          </cell>
          <cell r="U73">
            <v>0</v>
          </cell>
        </row>
        <row r="74">
          <cell r="A74">
            <v>71</v>
          </cell>
          <cell r="O74">
            <v>0</v>
          </cell>
          <cell r="U74">
            <v>0</v>
          </cell>
        </row>
        <row r="75">
          <cell r="A75">
            <v>72</v>
          </cell>
          <cell r="O75">
            <v>0</v>
          </cell>
          <cell r="U75">
            <v>0</v>
          </cell>
        </row>
        <row r="76">
          <cell r="A76">
            <v>73</v>
          </cell>
          <cell r="O76">
            <v>0</v>
          </cell>
          <cell r="U76">
            <v>0</v>
          </cell>
        </row>
        <row r="77">
          <cell r="A77">
            <v>74</v>
          </cell>
          <cell r="O77">
            <v>0</v>
          </cell>
          <cell r="U77">
            <v>0</v>
          </cell>
        </row>
        <row r="78">
          <cell r="A78">
            <v>75</v>
          </cell>
          <cell r="O78">
            <v>0</v>
          </cell>
          <cell r="U78">
            <v>0</v>
          </cell>
        </row>
        <row r="79">
          <cell r="O79">
            <v>0</v>
          </cell>
          <cell r="U79">
            <v>0</v>
          </cell>
        </row>
        <row r="80">
          <cell r="O80">
            <v>0</v>
          </cell>
          <cell r="U80">
            <v>0</v>
          </cell>
        </row>
        <row r="81">
          <cell r="O81">
            <v>0</v>
          </cell>
          <cell r="U81">
            <v>0</v>
          </cell>
        </row>
        <row r="82">
          <cell r="O82">
            <v>0</v>
          </cell>
          <cell r="U82">
            <v>0</v>
          </cell>
        </row>
        <row r="83">
          <cell r="O83">
            <v>0</v>
          </cell>
          <cell r="U83">
            <v>0</v>
          </cell>
        </row>
        <row r="84">
          <cell r="O84">
            <v>0</v>
          </cell>
          <cell r="U84">
            <v>0</v>
          </cell>
        </row>
        <row r="85">
          <cell r="O85">
            <v>0</v>
          </cell>
          <cell r="U85">
            <v>0</v>
          </cell>
        </row>
        <row r="86">
          <cell r="O86">
            <v>0</v>
          </cell>
          <cell r="U86">
            <v>0</v>
          </cell>
        </row>
        <row r="87">
          <cell r="O87">
            <v>0</v>
          </cell>
          <cell r="U87">
            <v>0</v>
          </cell>
        </row>
        <row r="88">
          <cell r="O88">
            <v>0</v>
          </cell>
          <cell r="U88">
            <v>0</v>
          </cell>
        </row>
        <row r="89">
          <cell r="O89">
            <v>0</v>
          </cell>
          <cell r="U89">
            <v>0</v>
          </cell>
        </row>
        <row r="90">
          <cell r="O90">
            <v>0</v>
          </cell>
          <cell r="U90">
            <v>0</v>
          </cell>
        </row>
        <row r="91">
          <cell r="O91">
            <v>0</v>
          </cell>
          <cell r="U91">
            <v>0</v>
          </cell>
        </row>
        <row r="92">
          <cell r="O92">
            <v>0</v>
          </cell>
          <cell r="U92">
            <v>0</v>
          </cell>
        </row>
        <row r="93">
          <cell r="O93">
            <v>0</v>
          </cell>
          <cell r="U93">
            <v>0</v>
          </cell>
        </row>
        <row r="94">
          <cell r="O94">
            <v>0</v>
          </cell>
          <cell r="U94">
            <v>0</v>
          </cell>
        </row>
        <row r="95">
          <cell r="O95">
            <v>0</v>
          </cell>
          <cell r="U95">
            <v>0</v>
          </cell>
        </row>
        <row r="96">
          <cell r="O96">
            <v>0</v>
          </cell>
          <cell r="U96">
            <v>0</v>
          </cell>
        </row>
        <row r="97">
          <cell r="O97">
            <v>0</v>
          </cell>
          <cell r="U97">
            <v>0</v>
          </cell>
        </row>
        <row r="98">
          <cell r="O98">
            <v>0</v>
          </cell>
          <cell r="U98">
            <v>0</v>
          </cell>
        </row>
        <row r="99">
          <cell r="O99">
            <v>0</v>
          </cell>
          <cell r="U99">
            <v>0</v>
          </cell>
        </row>
        <row r="100">
          <cell r="O100">
            <v>0</v>
          </cell>
          <cell r="U100">
            <v>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FFFF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FFFFFF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5.xml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6.xml"/><Relationship Id="rId2" Type="http://schemas.openxmlformats.org/officeDocument/2006/relationships/printerSettings" Target="../printerSettings/printerSettings204.bin"/><Relationship Id="rId1" Type="http://schemas.openxmlformats.org/officeDocument/2006/relationships/printerSettings" Target="../printerSettings/printerSettings203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7.xml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8.xml"/><Relationship Id="rId2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2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9.xml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0.xml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1.xml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3.xml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4.xml"/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6.xml"/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8.xml"/><Relationship Id="rId2" Type="http://schemas.openxmlformats.org/officeDocument/2006/relationships/printerSettings" Target="../printerSettings/printerSettings228.bin"/><Relationship Id="rId1" Type="http://schemas.openxmlformats.org/officeDocument/2006/relationships/printerSettings" Target="../printerSettings/printerSettings22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9.xml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0.xml"/><Relationship Id="rId2" Type="http://schemas.openxmlformats.org/officeDocument/2006/relationships/printerSettings" Target="../printerSettings/printerSettings232.bin"/><Relationship Id="rId1" Type="http://schemas.openxmlformats.org/officeDocument/2006/relationships/printerSettings" Target="../printerSettings/printerSettings23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1.xml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2.xml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3.xml"/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4.xml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5.xml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6.xml"/><Relationship Id="rId2" Type="http://schemas.openxmlformats.org/officeDocument/2006/relationships/printerSettings" Target="../printerSettings/printerSettings244.bin"/><Relationship Id="rId1" Type="http://schemas.openxmlformats.org/officeDocument/2006/relationships/printerSettings" Target="../printerSettings/printerSettings243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7.xml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8.xml"/><Relationship Id="rId2" Type="http://schemas.openxmlformats.org/officeDocument/2006/relationships/printerSettings" Target="../printerSettings/printerSettings248.bin"/><Relationship Id="rId1" Type="http://schemas.openxmlformats.org/officeDocument/2006/relationships/printerSettings" Target="../printerSettings/printerSettings24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9.xml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0.xml"/><Relationship Id="rId2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2.xml"/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3.xml"/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4.xml"/><Relationship Id="rId2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59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5.xml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6.xml"/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8.xml"/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9.xml"/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0.xml"/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1.xml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2.xml"/><Relationship Id="rId2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75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3.xml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4.xml"/><Relationship Id="rId2" Type="http://schemas.openxmlformats.org/officeDocument/2006/relationships/printerSettings" Target="../printerSettings/printerSettings280.bin"/><Relationship Id="rId1" Type="http://schemas.openxmlformats.org/officeDocument/2006/relationships/printerSettings" Target="../printerSettings/printerSettings279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5.xml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6.xml"/><Relationship Id="rId2" Type="http://schemas.openxmlformats.org/officeDocument/2006/relationships/printerSettings" Target="../printerSettings/printerSettings284.bin"/><Relationship Id="rId1" Type="http://schemas.openxmlformats.org/officeDocument/2006/relationships/printerSettings" Target="../printerSettings/printerSettings283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7.xml"/><Relationship Id="rId2" Type="http://schemas.openxmlformats.org/officeDocument/2006/relationships/printerSettings" Target="../printerSettings/printerSettings286.bin"/><Relationship Id="rId1" Type="http://schemas.openxmlformats.org/officeDocument/2006/relationships/printerSettings" Target="../printerSettings/printerSettings285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8.xml"/><Relationship Id="rId2" Type="http://schemas.openxmlformats.org/officeDocument/2006/relationships/printerSettings" Target="../printerSettings/printerSettings288.bin"/><Relationship Id="rId1" Type="http://schemas.openxmlformats.org/officeDocument/2006/relationships/printerSettings" Target="../printerSettings/printerSettings28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9.xml"/><Relationship Id="rId2" Type="http://schemas.openxmlformats.org/officeDocument/2006/relationships/printerSettings" Target="../printerSettings/printerSettings290.bin"/><Relationship Id="rId1" Type="http://schemas.openxmlformats.org/officeDocument/2006/relationships/printerSettings" Target="../printerSettings/printerSettings289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0.xml"/><Relationship Id="rId2" Type="http://schemas.openxmlformats.org/officeDocument/2006/relationships/printerSettings" Target="../printerSettings/printerSettings292.bin"/><Relationship Id="rId1" Type="http://schemas.openxmlformats.org/officeDocument/2006/relationships/printerSettings" Target="../printerSettings/printerSettings29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1.xml"/><Relationship Id="rId2" Type="http://schemas.openxmlformats.org/officeDocument/2006/relationships/printerSettings" Target="../printerSettings/printerSettings294.bin"/><Relationship Id="rId1" Type="http://schemas.openxmlformats.org/officeDocument/2006/relationships/printerSettings" Target="../printerSettings/printerSettings293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2.xml"/><Relationship Id="rId2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95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3.xml"/><Relationship Id="rId2" Type="http://schemas.openxmlformats.org/officeDocument/2006/relationships/printerSettings" Target="../printerSettings/printerSettings298.bin"/><Relationship Id="rId1" Type="http://schemas.openxmlformats.org/officeDocument/2006/relationships/printerSettings" Target="../printerSettings/printerSettings297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4.xml"/><Relationship Id="rId2" Type="http://schemas.openxmlformats.org/officeDocument/2006/relationships/printerSettings" Target="../printerSettings/printerSettings300.bin"/><Relationship Id="rId1" Type="http://schemas.openxmlformats.org/officeDocument/2006/relationships/printerSettings" Target="../printerSettings/printerSettings299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5.xml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6.xml"/><Relationship Id="rId2" Type="http://schemas.openxmlformats.org/officeDocument/2006/relationships/printerSettings" Target="../printerSettings/printerSettings304.bin"/><Relationship Id="rId1" Type="http://schemas.openxmlformats.org/officeDocument/2006/relationships/printerSettings" Target="../printerSettings/printerSettings303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7.xml"/><Relationship Id="rId2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305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8.xml"/><Relationship Id="rId2" Type="http://schemas.openxmlformats.org/officeDocument/2006/relationships/printerSettings" Target="../printerSettings/printerSettings308.bin"/><Relationship Id="rId1" Type="http://schemas.openxmlformats.org/officeDocument/2006/relationships/printerSettings" Target="../printerSettings/printerSettings30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9.xml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0.xml"/><Relationship Id="rId2" Type="http://schemas.openxmlformats.org/officeDocument/2006/relationships/printerSettings" Target="../printerSettings/printerSettings312.bin"/><Relationship Id="rId1" Type="http://schemas.openxmlformats.org/officeDocument/2006/relationships/printerSettings" Target="../printerSettings/printerSettings3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1.xml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2.xml"/><Relationship Id="rId2" Type="http://schemas.openxmlformats.org/officeDocument/2006/relationships/printerSettings" Target="../printerSettings/printerSettings316.bin"/><Relationship Id="rId1" Type="http://schemas.openxmlformats.org/officeDocument/2006/relationships/printerSettings" Target="../printerSettings/printerSettings315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3.xml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4.xml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5.xml"/><Relationship Id="rId2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21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6.xml"/><Relationship Id="rId2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23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7.xml"/><Relationship Id="rId2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25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8.xml"/><Relationship Id="rId2" Type="http://schemas.openxmlformats.org/officeDocument/2006/relationships/printerSettings" Target="../printerSettings/printerSettings328.bin"/><Relationship Id="rId1" Type="http://schemas.openxmlformats.org/officeDocument/2006/relationships/printerSettings" Target="../printerSettings/printerSettings32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9.xml"/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0.xml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1.xml"/><Relationship Id="rId2" Type="http://schemas.openxmlformats.org/officeDocument/2006/relationships/printerSettings" Target="../printerSettings/printerSettings334.bin"/><Relationship Id="rId1" Type="http://schemas.openxmlformats.org/officeDocument/2006/relationships/printerSettings" Target="../printerSettings/printerSettings333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2.xml"/><Relationship Id="rId2" Type="http://schemas.openxmlformats.org/officeDocument/2006/relationships/printerSettings" Target="../printerSettings/printerSettings336.bin"/><Relationship Id="rId1" Type="http://schemas.openxmlformats.org/officeDocument/2006/relationships/printerSettings" Target="../printerSettings/printerSettings335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3.xml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4.xml"/><Relationship Id="rId2" Type="http://schemas.openxmlformats.org/officeDocument/2006/relationships/printerSettings" Target="../printerSettings/printerSettings340.bin"/><Relationship Id="rId1" Type="http://schemas.openxmlformats.org/officeDocument/2006/relationships/printerSettings" Target="../printerSettings/printerSettings339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5.xml"/><Relationship Id="rId2" Type="http://schemas.openxmlformats.org/officeDocument/2006/relationships/printerSettings" Target="../printerSettings/printerSettings342.bin"/><Relationship Id="rId1" Type="http://schemas.openxmlformats.org/officeDocument/2006/relationships/printerSettings" Target="../printerSettings/printerSettings341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6.xml"/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7.xml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8.xml"/><Relationship Id="rId2" Type="http://schemas.openxmlformats.org/officeDocument/2006/relationships/printerSettings" Target="../printerSettings/printerSettings348.bin"/><Relationship Id="rId1" Type="http://schemas.openxmlformats.org/officeDocument/2006/relationships/printerSettings" Target="../printerSettings/printerSettings34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9.xml"/><Relationship Id="rId2" Type="http://schemas.openxmlformats.org/officeDocument/2006/relationships/printerSettings" Target="../printerSettings/printerSettings350.bin"/><Relationship Id="rId1" Type="http://schemas.openxmlformats.org/officeDocument/2006/relationships/printerSettings" Target="../printerSettings/printerSettings349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0.xml"/><Relationship Id="rId2" Type="http://schemas.openxmlformats.org/officeDocument/2006/relationships/printerSettings" Target="../printerSettings/printerSettings352.bin"/><Relationship Id="rId1" Type="http://schemas.openxmlformats.org/officeDocument/2006/relationships/printerSettings" Target="../printerSettings/printerSettings35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1.xml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2.xml"/><Relationship Id="rId2" Type="http://schemas.openxmlformats.org/officeDocument/2006/relationships/printerSettings" Target="../printerSettings/printerSettings356.bin"/><Relationship Id="rId1" Type="http://schemas.openxmlformats.org/officeDocument/2006/relationships/printerSettings" Target="../printerSettings/printerSettings355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3.xml"/><Relationship Id="rId2" Type="http://schemas.openxmlformats.org/officeDocument/2006/relationships/printerSettings" Target="../printerSettings/printerSettings358.bin"/><Relationship Id="rId1" Type="http://schemas.openxmlformats.org/officeDocument/2006/relationships/printerSettings" Target="../printerSettings/printerSettings357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4.xml"/><Relationship Id="rId2" Type="http://schemas.openxmlformats.org/officeDocument/2006/relationships/printerSettings" Target="../printerSettings/printerSettings360.bin"/><Relationship Id="rId1" Type="http://schemas.openxmlformats.org/officeDocument/2006/relationships/printerSettings" Target="../printerSettings/printerSettings359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5.xml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6.xml"/><Relationship Id="rId2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63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7.xml"/><Relationship Id="rId2" Type="http://schemas.openxmlformats.org/officeDocument/2006/relationships/printerSettings" Target="../printerSettings/printerSettings366.bin"/><Relationship Id="rId1" Type="http://schemas.openxmlformats.org/officeDocument/2006/relationships/printerSettings" Target="../printerSettings/printerSettings365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8.xml"/><Relationship Id="rId2" Type="http://schemas.openxmlformats.org/officeDocument/2006/relationships/printerSettings" Target="../printerSettings/printerSettings368.bin"/><Relationship Id="rId1" Type="http://schemas.openxmlformats.org/officeDocument/2006/relationships/printerSettings" Target="../printerSettings/printerSettings36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9.xml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0.xml"/><Relationship Id="rId2" Type="http://schemas.openxmlformats.org/officeDocument/2006/relationships/printerSettings" Target="../printerSettings/printerSettings372.bin"/><Relationship Id="rId1" Type="http://schemas.openxmlformats.org/officeDocument/2006/relationships/printerSettings" Target="../printerSettings/printerSettings37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1.xml"/><Relationship Id="rId2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73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2.xml"/><Relationship Id="rId2" Type="http://schemas.openxmlformats.org/officeDocument/2006/relationships/printerSettings" Target="../printerSettings/printerSettings376.bin"/><Relationship Id="rId1" Type="http://schemas.openxmlformats.org/officeDocument/2006/relationships/printerSettings" Target="../printerSettings/printerSettings375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3.xml"/><Relationship Id="rId2" Type="http://schemas.openxmlformats.org/officeDocument/2006/relationships/printerSettings" Target="../printerSettings/printerSettings378.bin"/><Relationship Id="rId1" Type="http://schemas.openxmlformats.org/officeDocument/2006/relationships/printerSettings" Target="../printerSettings/printerSettings377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4.xml"/><Relationship Id="rId2" Type="http://schemas.openxmlformats.org/officeDocument/2006/relationships/printerSettings" Target="../printerSettings/printerSettings380.bin"/><Relationship Id="rId1" Type="http://schemas.openxmlformats.org/officeDocument/2006/relationships/printerSettings" Target="../printerSettings/printerSettings379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5.xml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6.xml"/><Relationship Id="rId2" Type="http://schemas.openxmlformats.org/officeDocument/2006/relationships/printerSettings" Target="../printerSettings/printerSettings384.bin"/><Relationship Id="rId1" Type="http://schemas.openxmlformats.org/officeDocument/2006/relationships/printerSettings" Target="../printerSettings/printerSettings383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7.xml"/><Relationship Id="rId2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85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8.xml"/><Relationship Id="rId2" Type="http://schemas.openxmlformats.org/officeDocument/2006/relationships/printerSettings" Target="../printerSettings/printerSettings388.bin"/><Relationship Id="rId1" Type="http://schemas.openxmlformats.org/officeDocument/2006/relationships/printerSettings" Target="../printerSettings/printerSettings387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9.xml"/><Relationship Id="rId2" Type="http://schemas.openxmlformats.org/officeDocument/2006/relationships/printerSettings" Target="../printerSettings/printerSettings390.bin"/><Relationship Id="rId1" Type="http://schemas.openxmlformats.org/officeDocument/2006/relationships/printerSettings" Target="../printerSettings/printerSettings389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0.xml"/><Relationship Id="rId2" Type="http://schemas.openxmlformats.org/officeDocument/2006/relationships/printerSettings" Target="../printerSettings/printerSettings392.bin"/><Relationship Id="rId1" Type="http://schemas.openxmlformats.org/officeDocument/2006/relationships/printerSettings" Target="../printerSettings/printerSettings39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1.xml"/><Relationship Id="rId2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93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2.xml"/><Relationship Id="rId2" Type="http://schemas.openxmlformats.org/officeDocument/2006/relationships/printerSettings" Target="../printerSettings/printerSettings396.bin"/><Relationship Id="rId1" Type="http://schemas.openxmlformats.org/officeDocument/2006/relationships/printerSettings" Target="../printerSettings/printerSettings395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3.xml"/><Relationship Id="rId2" Type="http://schemas.openxmlformats.org/officeDocument/2006/relationships/printerSettings" Target="../printerSettings/printerSettings398.bin"/><Relationship Id="rId1" Type="http://schemas.openxmlformats.org/officeDocument/2006/relationships/printerSettings" Target="../printerSettings/printerSettings397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4.xml"/><Relationship Id="rId2" Type="http://schemas.openxmlformats.org/officeDocument/2006/relationships/printerSettings" Target="../printerSettings/printerSettings400.bin"/><Relationship Id="rId1" Type="http://schemas.openxmlformats.org/officeDocument/2006/relationships/printerSettings" Target="../printerSettings/printerSettings399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5.xml"/><Relationship Id="rId2" Type="http://schemas.openxmlformats.org/officeDocument/2006/relationships/printerSettings" Target="../printerSettings/printerSettings402.bin"/><Relationship Id="rId1" Type="http://schemas.openxmlformats.org/officeDocument/2006/relationships/printerSettings" Target="../printerSettings/printerSettings401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6.xml"/><Relationship Id="rId2" Type="http://schemas.openxmlformats.org/officeDocument/2006/relationships/printerSettings" Target="../printerSettings/printerSettings404.bin"/><Relationship Id="rId1" Type="http://schemas.openxmlformats.org/officeDocument/2006/relationships/printerSettings" Target="../printerSettings/printerSettings403.bin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7.xml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8.xml"/><Relationship Id="rId2" Type="http://schemas.openxmlformats.org/officeDocument/2006/relationships/printerSettings" Target="../printerSettings/printerSettings408.bin"/><Relationship Id="rId1" Type="http://schemas.openxmlformats.org/officeDocument/2006/relationships/printerSettings" Target="../printerSettings/printerSettings407.bin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9.xml"/><Relationship Id="rId2" Type="http://schemas.openxmlformats.org/officeDocument/2006/relationships/printerSettings" Target="../printerSettings/printerSettings410.bin"/><Relationship Id="rId1" Type="http://schemas.openxmlformats.org/officeDocument/2006/relationships/printerSettings" Target="../printerSettings/printerSettings409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0.xml"/><Relationship Id="rId2" Type="http://schemas.openxmlformats.org/officeDocument/2006/relationships/printerSettings" Target="../printerSettings/printerSettings412.bin"/><Relationship Id="rId1" Type="http://schemas.openxmlformats.org/officeDocument/2006/relationships/printerSettings" Target="../printerSettings/printerSettings41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1.xml"/><Relationship Id="rId2" Type="http://schemas.openxmlformats.org/officeDocument/2006/relationships/printerSettings" Target="../printerSettings/printerSettings414.bin"/><Relationship Id="rId1" Type="http://schemas.openxmlformats.org/officeDocument/2006/relationships/printerSettings" Target="../printerSettings/printerSettings413.bin"/></Relationships>
</file>

<file path=xl/worksheets/_rels/sheet2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2.xml"/><Relationship Id="rId2" Type="http://schemas.openxmlformats.org/officeDocument/2006/relationships/printerSettings" Target="../printerSettings/printerSettings416.bin"/><Relationship Id="rId1" Type="http://schemas.openxmlformats.org/officeDocument/2006/relationships/printerSettings" Target="../printerSettings/printerSettings415.bin"/></Relationships>
</file>

<file path=xl/worksheets/_rels/sheet2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3.xml"/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/Relationships>
</file>

<file path=xl/worksheets/_rels/sheet2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4.xml"/><Relationship Id="rId2" Type="http://schemas.openxmlformats.org/officeDocument/2006/relationships/printerSettings" Target="../printerSettings/printerSettings420.bin"/><Relationship Id="rId1" Type="http://schemas.openxmlformats.org/officeDocument/2006/relationships/printerSettings" Target="../printerSettings/printerSettings419.bin"/></Relationships>
</file>

<file path=xl/worksheets/_rels/sheet2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5.xml"/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/Relationships>
</file>

<file path=xl/worksheets/_rels/sheet2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6.xml"/><Relationship Id="rId2" Type="http://schemas.openxmlformats.org/officeDocument/2006/relationships/printerSettings" Target="../printerSettings/printerSettings424.bin"/><Relationship Id="rId1" Type="http://schemas.openxmlformats.org/officeDocument/2006/relationships/printerSettings" Target="../printerSettings/printerSettings423.bin"/></Relationships>
</file>

<file path=xl/worksheets/_rels/sheet2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7.xml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/Relationships>
</file>

<file path=xl/worksheets/_rels/sheet2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8.xml"/><Relationship Id="rId2" Type="http://schemas.openxmlformats.org/officeDocument/2006/relationships/printerSettings" Target="../printerSettings/printerSettings428.bin"/><Relationship Id="rId1" Type="http://schemas.openxmlformats.org/officeDocument/2006/relationships/printerSettings" Target="../printerSettings/printerSettings427.bin"/></Relationships>
</file>

<file path=xl/worksheets/_rels/sheet2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9.xml"/><Relationship Id="rId2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29.bin"/></Relationships>
</file>

<file path=xl/worksheets/_rels/sheet2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0.xml"/><Relationship Id="rId2" Type="http://schemas.openxmlformats.org/officeDocument/2006/relationships/printerSettings" Target="../printerSettings/printerSettings432.bin"/><Relationship Id="rId1" Type="http://schemas.openxmlformats.org/officeDocument/2006/relationships/printerSettings" Target="../printerSettings/printerSettings43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1.xml"/><Relationship Id="rId2" Type="http://schemas.openxmlformats.org/officeDocument/2006/relationships/printerSettings" Target="../printerSettings/printerSettings434.bin"/><Relationship Id="rId1" Type="http://schemas.openxmlformats.org/officeDocument/2006/relationships/printerSettings" Target="../printerSettings/printerSettings433.bin"/></Relationships>
</file>

<file path=xl/worksheets/_rels/sheet2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2.xml"/><Relationship Id="rId2" Type="http://schemas.openxmlformats.org/officeDocument/2006/relationships/printerSettings" Target="../printerSettings/printerSettings436.bin"/><Relationship Id="rId1" Type="http://schemas.openxmlformats.org/officeDocument/2006/relationships/printerSettings" Target="../printerSettings/printerSettings435.bin"/></Relationships>
</file>

<file path=xl/worksheets/_rels/sheet2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3.xml"/><Relationship Id="rId2" Type="http://schemas.openxmlformats.org/officeDocument/2006/relationships/printerSettings" Target="../printerSettings/printerSettings438.bin"/><Relationship Id="rId1" Type="http://schemas.openxmlformats.org/officeDocument/2006/relationships/printerSettings" Target="../printerSettings/printerSettings437.bin"/></Relationships>
</file>

<file path=xl/worksheets/_rels/sheet2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4.xml"/><Relationship Id="rId2" Type="http://schemas.openxmlformats.org/officeDocument/2006/relationships/printerSettings" Target="../printerSettings/printerSettings440.bin"/><Relationship Id="rId1" Type="http://schemas.openxmlformats.org/officeDocument/2006/relationships/printerSettings" Target="../printerSettings/printerSettings439.bin"/></Relationships>
</file>

<file path=xl/worksheets/_rels/sheet2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5.xml"/><Relationship Id="rId2" Type="http://schemas.openxmlformats.org/officeDocument/2006/relationships/printerSettings" Target="../printerSettings/printerSettings442.bin"/><Relationship Id="rId1" Type="http://schemas.openxmlformats.org/officeDocument/2006/relationships/printerSettings" Target="../printerSettings/printerSettings441.bin"/></Relationships>
</file>

<file path=xl/worksheets/_rels/sheet2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6.xml"/><Relationship Id="rId2" Type="http://schemas.openxmlformats.org/officeDocument/2006/relationships/printerSettings" Target="../printerSettings/printerSettings444.bin"/><Relationship Id="rId1" Type="http://schemas.openxmlformats.org/officeDocument/2006/relationships/printerSettings" Target="../printerSettings/printerSettings443.bin"/></Relationships>
</file>

<file path=xl/worksheets/_rels/sheet2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7.xml"/><Relationship Id="rId2" Type="http://schemas.openxmlformats.org/officeDocument/2006/relationships/printerSettings" Target="../printerSettings/printerSettings446.bin"/><Relationship Id="rId1" Type="http://schemas.openxmlformats.org/officeDocument/2006/relationships/printerSettings" Target="../printerSettings/printerSettings445.bin"/></Relationships>
</file>

<file path=xl/worksheets/_rels/sheet2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8.xml"/><Relationship Id="rId2" Type="http://schemas.openxmlformats.org/officeDocument/2006/relationships/printerSettings" Target="../printerSettings/printerSettings448.bin"/><Relationship Id="rId1" Type="http://schemas.openxmlformats.org/officeDocument/2006/relationships/printerSettings" Target="../printerSettings/printerSettings447.bin"/></Relationships>
</file>

<file path=xl/worksheets/_rels/sheet2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9.xml"/><Relationship Id="rId2" Type="http://schemas.openxmlformats.org/officeDocument/2006/relationships/printerSettings" Target="../printerSettings/printerSettings450.bin"/><Relationship Id="rId1" Type="http://schemas.openxmlformats.org/officeDocument/2006/relationships/printerSettings" Target="../printerSettings/printerSettings449.bin"/></Relationships>
</file>

<file path=xl/worksheets/_rels/sheet2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0.xml"/><Relationship Id="rId2" Type="http://schemas.openxmlformats.org/officeDocument/2006/relationships/printerSettings" Target="../printerSettings/printerSettings452.bin"/><Relationship Id="rId1" Type="http://schemas.openxmlformats.org/officeDocument/2006/relationships/printerSettings" Target="../printerSettings/printerSettings45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1.xml"/><Relationship Id="rId2" Type="http://schemas.openxmlformats.org/officeDocument/2006/relationships/printerSettings" Target="../printerSettings/printerSettings454.bin"/><Relationship Id="rId1" Type="http://schemas.openxmlformats.org/officeDocument/2006/relationships/printerSettings" Target="../printerSettings/printerSettings453.bin"/></Relationships>
</file>

<file path=xl/worksheets/_rels/sheet2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2.xml"/><Relationship Id="rId2" Type="http://schemas.openxmlformats.org/officeDocument/2006/relationships/printerSettings" Target="../printerSettings/printerSettings456.bin"/><Relationship Id="rId1" Type="http://schemas.openxmlformats.org/officeDocument/2006/relationships/printerSettings" Target="../printerSettings/printerSettings455.bin"/></Relationships>
</file>

<file path=xl/worksheets/_rels/sheet2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3.xml"/><Relationship Id="rId2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57.bin"/></Relationships>
</file>

<file path=xl/worksheets/_rels/sheet2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4.xml"/><Relationship Id="rId2" Type="http://schemas.openxmlformats.org/officeDocument/2006/relationships/printerSettings" Target="../printerSettings/printerSettings460.bin"/><Relationship Id="rId1" Type="http://schemas.openxmlformats.org/officeDocument/2006/relationships/printerSettings" Target="../printerSettings/printerSettings459.bin"/></Relationships>
</file>

<file path=xl/worksheets/_rels/sheet2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5.xml"/><Relationship Id="rId2" Type="http://schemas.openxmlformats.org/officeDocument/2006/relationships/printerSettings" Target="../printerSettings/printerSettings462.bin"/><Relationship Id="rId1" Type="http://schemas.openxmlformats.org/officeDocument/2006/relationships/printerSettings" Target="../printerSettings/printerSettings461.bin"/></Relationships>
</file>

<file path=xl/worksheets/_rels/sheet2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6.xml"/><Relationship Id="rId2" Type="http://schemas.openxmlformats.org/officeDocument/2006/relationships/printerSettings" Target="../printerSettings/printerSettings464.bin"/><Relationship Id="rId1" Type="http://schemas.openxmlformats.org/officeDocument/2006/relationships/printerSettings" Target="../printerSettings/printerSettings463.bin"/></Relationships>
</file>

<file path=xl/worksheets/_rels/sheet2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7.xml"/><Relationship Id="rId2" Type="http://schemas.openxmlformats.org/officeDocument/2006/relationships/printerSettings" Target="../printerSettings/printerSettings466.bin"/><Relationship Id="rId1" Type="http://schemas.openxmlformats.org/officeDocument/2006/relationships/printerSettings" Target="../printerSettings/printerSettings465.bin"/></Relationships>
</file>

<file path=xl/worksheets/_rels/sheet2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8.xml"/><Relationship Id="rId2" Type="http://schemas.openxmlformats.org/officeDocument/2006/relationships/printerSettings" Target="../printerSettings/printerSettings468.bin"/><Relationship Id="rId1" Type="http://schemas.openxmlformats.org/officeDocument/2006/relationships/printerSettings" Target="../printerSettings/printerSettings467.bin"/></Relationships>
</file>

<file path=xl/worksheets/_rels/sheet2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9.xml"/><Relationship Id="rId2" Type="http://schemas.openxmlformats.org/officeDocument/2006/relationships/printerSettings" Target="../printerSettings/printerSettings470.bin"/><Relationship Id="rId1" Type="http://schemas.openxmlformats.org/officeDocument/2006/relationships/printerSettings" Target="../printerSettings/printerSettings469.bin"/></Relationships>
</file>

<file path=xl/worksheets/_rels/sheet2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0.xml"/><Relationship Id="rId2" Type="http://schemas.openxmlformats.org/officeDocument/2006/relationships/printerSettings" Target="../printerSettings/printerSettings472.bin"/><Relationship Id="rId1" Type="http://schemas.openxmlformats.org/officeDocument/2006/relationships/printerSettings" Target="../printerSettings/printerSettings47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1.xml"/><Relationship Id="rId2" Type="http://schemas.openxmlformats.org/officeDocument/2006/relationships/printerSettings" Target="../printerSettings/printerSettings474.bin"/><Relationship Id="rId1" Type="http://schemas.openxmlformats.org/officeDocument/2006/relationships/printerSettings" Target="../printerSettings/printerSettings473.bin"/></Relationships>
</file>

<file path=xl/worksheets/_rels/sheet2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2.xml"/><Relationship Id="rId2" Type="http://schemas.openxmlformats.org/officeDocument/2006/relationships/printerSettings" Target="../printerSettings/printerSettings476.bin"/><Relationship Id="rId1" Type="http://schemas.openxmlformats.org/officeDocument/2006/relationships/printerSettings" Target="../printerSettings/printerSettings475.bin"/></Relationships>
</file>

<file path=xl/worksheets/_rels/sheet2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3.xml"/><Relationship Id="rId2" Type="http://schemas.openxmlformats.org/officeDocument/2006/relationships/printerSettings" Target="../printerSettings/printerSettings478.bin"/><Relationship Id="rId1" Type="http://schemas.openxmlformats.org/officeDocument/2006/relationships/printerSettings" Target="../printerSettings/printerSettings477.bin"/></Relationships>
</file>

<file path=xl/worksheets/_rels/sheet2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4.xml"/><Relationship Id="rId2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79.bin"/></Relationships>
</file>

<file path=xl/worksheets/_rels/sheet2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5.xml"/><Relationship Id="rId2" Type="http://schemas.openxmlformats.org/officeDocument/2006/relationships/printerSettings" Target="../printerSettings/printerSettings482.bin"/><Relationship Id="rId1" Type="http://schemas.openxmlformats.org/officeDocument/2006/relationships/printerSettings" Target="../printerSettings/printerSettings481.bin"/></Relationships>
</file>

<file path=xl/worksheets/_rels/sheet2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6.xml"/><Relationship Id="rId2" Type="http://schemas.openxmlformats.org/officeDocument/2006/relationships/printerSettings" Target="../printerSettings/printerSettings484.bin"/><Relationship Id="rId1" Type="http://schemas.openxmlformats.org/officeDocument/2006/relationships/printerSettings" Target="../printerSettings/printerSettings483.bin"/></Relationships>
</file>

<file path=xl/worksheets/_rels/sheet2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7.xml"/><Relationship Id="rId2" Type="http://schemas.openxmlformats.org/officeDocument/2006/relationships/printerSettings" Target="../printerSettings/printerSettings486.bin"/><Relationship Id="rId1" Type="http://schemas.openxmlformats.org/officeDocument/2006/relationships/printerSettings" Target="../printerSettings/printerSettings485.bin"/></Relationships>
</file>

<file path=xl/worksheets/_rels/sheet2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8.xml"/><Relationship Id="rId2" Type="http://schemas.openxmlformats.org/officeDocument/2006/relationships/printerSettings" Target="../printerSettings/printerSettings488.bin"/><Relationship Id="rId1" Type="http://schemas.openxmlformats.org/officeDocument/2006/relationships/printerSettings" Target="../printerSettings/printerSettings487.bin"/></Relationships>
</file>

<file path=xl/worksheets/_rels/sheet2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9.xml"/><Relationship Id="rId2" Type="http://schemas.openxmlformats.org/officeDocument/2006/relationships/printerSettings" Target="../printerSettings/printerSettings490.bin"/><Relationship Id="rId1" Type="http://schemas.openxmlformats.org/officeDocument/2006/relationships/printerSettings" Target="../printerSettings/printerSettings489.bin"/></Relationships>
</file>

<file path=xl/worksheets/_rels/sheet2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0.xml"/><Relationship Id="rId2" Type="http://schemas.openxmlformats.org/officeDocument/2006/relationships/printerSettings" Target="../printerSettings/printerSettings492.bin"/><Relationship Id="rId1" Type="http://schemas.openxmlformats.org/officeDocument/2006/relationships/printerSettings" Target="../printerSettings/printerSettings49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1.xml"/><Relationship Id="rId2" Type="http://schemas.openxmlformats.org/officeDocument/2006/relationships/printerSettings" Target="../printerSettings/printerSettings494.bin"/><Relationship Id="rId1" Type="http://schemas.openxmlformats.org/officeDocument/2006/relationships/printerSettings" Target="../printerSettings/printerSettings493.bin"/></Relationships>
</file>

<file path=xl/worksheets/_rels/sheet2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2.xml"/><Relationship Id="rId2" Type="http://schemas.openxmlformats.org/officeDocument/2006/relationships/printerSettings" Target="../printerSettings/printerSettings496.bin"/><Relationship Id="rId1" Type="http://schemas.openxmlformats.org/officeDocument/2006/relationships/printerSettings" Target="../printerSettings/printerSettings495.bin"/></Relationships>
</file>

<file path=xl/worksheets/_rels/sheet2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3.xml"/><Relationship Id="rId2" Type="http://schemas.openxmlformats.org/officeDocument/2006/relationships/printerSettings" Target="../printerSettings/printerSettings498.bin"/><Relationship Id="rId1" Type="http://schemas.openxmlformats.org/officeDocument/2006/relationships/printerSettings" Target="../printerSettings/printerSettings497.bin"/></Relationships>
</file>

<file path=xl/worksheets/_rels/sheet2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4.xml"/><Relationship Id="rId2" Type="http://schemas.openxmlformats.org/officeDocument/2006/relationships/printerSettings" Target="../printerSettings/printerSettings500.bin"/><Relationship Id="rId1" Type="http://schemas.openxmlformats.org/officeDocument/2006/relationships/printerSettings" Target="../printerSettings/printerSettings499.bin"/></Relationships>
</file>

<file path=xl/worksheets/_rels/sheet2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5.xml"/><Relationship Id="rId2" Type="http://schemas.openxmlformats.org/officeDocument/2006/relationships/printerSettings" Target="../printerSettings/printerSettings502.bin"/><Relationship Id="rId1" Type="http://schemas.openxmlformats.org/officeDocument/2006/relationships/printerSettings" Target="../printerSettings/printerSettings501.bin"/></Relationships>
</file>

<file path=xl/worksheets/_rels/sheet2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6.xml"/><Relationship Id="rId2" Type="http://schemas.openxmlformats.org/officeDocument/2006/relationships/printerSettings" Target="../printerSettings/printerSettings504.bin"/><Relationship Id="rId1" Type="http://schemas.openxmlformats.org/officeDocument/2006/relationships/printerSettings" Target="../printerSettings/printerSettings503.bin"/></Relationships>
</file>

<file path=xl/worksheets/_rels/sheet2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7.xml"/><Relationship Id="rId2" Type="http://schemas.openxmlformats.org/officeDocument/2006/relationships/printerSettings" Target="../printerSettings/printerSettings506.bin"/><Relationship Id="rId1" Type="http://schemas.openxmlformats.org/officeDocument/2006/relationships/printerSettings" Target="../printerSettings/printerSettings505.bin"/></Relationships>
</file>

<file path=xl/worksheets/_rels/sheet2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8.xml"/><Relationship Id="rId2" Type="http://schemas.openxmlformats.org/officeDocument/2006/relationships/printerSettings" Target="../printerSettings/printerSettings508.bin"/><Relationship Id="rId1" Type="http://schemas.openxmlformats.org/officeDocument/2006/relationships/printerSettings" Target="../printerSettings/printerSettings507.bin"/></Relationships>
</file>

<file path=xl/worksheets/_rels/sheet2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9.xml"/><Relationship Id="rId2" Type="http://schemas.openxmlformats.org/officeDocument/2006/relationships/printerSettings" Target="../printerSettings/printerSettings510.bin"/><Relationship Id="rId1" Type="http://schemas.openxmlformats.org/officeDocument/2006/relationships/printerSettings" Target="../printerSettings/printerSettings509.bin"/></Relationships>
</file>

<file path=xl/worksheets/_rels/sheet2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0.xml"/><Relationship Id="rId2" Type="http://schemas.openxmlformats.org/officeDocument/2006/relationships/printerSettings" Target="../printerSettings/printerSettings512.bin"/><Relationship Id="rId1" Type="http://schemas.openxmlformats.org/officeDocument/2006/relationships/printerSettings" Target="../printerSettings/printerSettings51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1.xml"/><Relationship Id="rId2" Type="http://schemas.openxmlformats.org/officeDocument/2006/relationships/printerSettings" Target="../printerSettings/printerSettings514.bin"/><Relationship Id="rId1" Type="http://schemas.openxmlformats.org/officeDocument/2006/relationships/printerSettings" Target="../printerSettings/printerSettings513.bin"/></Relationships>
</file>

<file path=xl/worksheets/_rels/sheet2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2.xml"/><Relationship Id="rId2" Type="http://schemas.openxmlformats.org/officeDocument/2006/relationships/printerSettings" Target="../printerSettings/printerSettings516.bin"/><Relationship Id="rId1" Type="http://schemas.openxmlformats.org/officeDocument/2006/relationships/printerSettings" Target="../printerSettings/printerSettings515.bin"/></Relationships>
</file>

<file path=xl/worksheets/_rels/sheet2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3.xml"/><Relationship Id="rId2" Type="http://schemas.openxmlformats.org/officeDocument/2006/relationships/printerSettings" Target="../printerSettings/printerSettings518.bin"/><Relationship Id="rId1" Type="http://schemas.openxmlformats.org/officeDocument/2006/relationships/printerSettings" Target="../printerSettings/printerSettings517.bin"/></Relationships>
</file>

<file path=xl/worksheets/_rels/sheet2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4.xml"/><Relationship Id="rId2" Type="http://schemas.openxmlformats.org/officeDocument/2006/relationships/printerSettings" Target="../printerSettings/printerSettings520.bin"/><Relationship Id="rId1" Type="http://schemas.openxmlformats.org/officeDocument/2006/relationships/printerSettings" Target="../printerSettings/printerSettings519.bin"/></Relationships>
</file>

<file path=xl/worksheets/_rels/sheet2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5.xml"/><Relationship Id="rId2" Type="http://schemas.openxmlformats.org/officeDocument/2006/relationships/printerSettings" Target="../printerSettings/printerSettings522.bin"/><Relationship Id="rId1" Type="http://schemas.openxmlformats.org/officeDocument/2006/relationships/printerSettings" Target="../printerSettings/printerSettings521.bin"/></Relationships>
</file>

<file path=xl/worksheets/_rels/sheet2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6.xml"/><Relationship Id="rId2" Type="http://schemas.openxmlformats.org/officeDocument/2006/relationships/printerSettings" Target="../printerSettings/printerSettings524.bin"/><Relationship Id="rId1" Type="http://schemas.openxmlformats.org/officeDocument/2006/relationships/printerSettings" Target="../printerSettings/printerSettings523.bin"/></Relationships>
</file>

<file path=xl/worksheets/_rels/sheet2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7.xml"/><Relationship Id="rId2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25.bin"/></Relationships>
</file>

<file path=xl/worksheets/_rels/sheet2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8.xml"/><Relationship Id="rId2" Type="http://schemas.openxmlformats.org/officeDocument/2006/relationships/printerSettings" Target="../printerSettings/printerSettings528.bin"/><Relationship Id="rId1" Type="http://schemas.openxmlformats.org/officeDocument/2006/relationships/printerSettings" Target="../printerSettings/printerSettings527.bin"/></Relationships>
</file>

<file path=xl/worksheets/_rels/sheet2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9.xml"/><Relationship Id="rId2" Type="http://schemas.openxmlformats.org/officeDocument/2006/relationships/printerSettings" Target="../printerSettings/printerSettings530.bin"/><Relationship Id="rId1" Type="http://schemas.openxmlformats.org/officeDocument/2006/relationships/printerSettings" Target="../printerSettings/printerSettings529.bin"/></Relationships>
</file>

<file path=xl/worksheets/_rels/sheet2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0.xml"/><Relationship Id="rId2" Type="http://schemas.openxmlformats.org/officeDocument/2006/relationships/printerSettings" Target="../printerSettings/printerSettings532.bin"/><Relationship Id="rId1" Type="http://schemas.openxmlformats.org/officeDocument/2006/relationships/printerSettings" Target="../printerSettings/printerSettings531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1.xml"/><Relationship Id="rId2" Type="http://schemas.openxmlformats.org/officeDocument/2006/relationships/printerSettings" Target="../printerSettings/printerSettings534.bin"/><Relationship Id="rId1" Type="http://schemas.openxmlformats.org/officeDocument/2006/relationships/printerSettings" Target="../printerSettings/printerSettings533.bin"/></Relationships>
</file>

<file path=xl/worksheets/_rels/sheet2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2.xml"/><Relationship Id="rId2" Type="http://schemas.openxmlformats.org/officeDocument/2006/relationships/printerSettings" Target="../printerSettings/printerSettings536.bin"/><Relationship Id="rId1" Type="http://schemas.openxmlformats.org/officeDocument/2006/relationships/printerSettings" Target="../printerSettings/printerSettings535.bin"/></Relationships>
</file>

<file path=xl/worksheets/_rels/sheet2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3.xml"/><Relationship Id="rId2" Type="http://schemas.openxmlformats.org/officeDocument/2006/relationships/printerSettings" Target="../printerSettings/printerSettings538.bin"/><Relationship Id="rId1" Type="http://schemas.openxmlformats.org/officeDocument/2006/relationships/printerSettings" Target="../printerSettings/printerSettings537.bin"/></Relationships>
</file>

<file path=xl/worksheets/_rels/sheet2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4.xml"/><Relationship Id="rId2" Type="http://schemas.openxmlformats.org/officeDocument/2006/relationships/printerSettings" Target="../printerSettings/printerSettings540.bin"/><Relationship Id="rId1" Type="http://schemas.openxmlformats.org/officeDocument/2006/relationships/printerSettings" Target="../printerSettings/printerSettings539.bin"/></Relationships>
</file>

<file path=xl/worksheets/_rels/sheet2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5.xml"/><Relationship Id="rId2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41.bin"/></Relationships>
</file>

<file path=xl/worksheets/_rels/sheet2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6.xml"/><Relationship Id="rId2" Type="http://schemas.openxmlformats.org/officeDocument/2006/relationships/printerSettings" Target="../printerSettings/printerSettings544.bin"/><Relationship Id="rId1" Type="http://schemas.openxmlformats.org/officeDocument/2006/relationships/printerSettings" Target="../printerSettings/printerSettings543.bin"/></Relationships>
</file>

<file path=xl/worksheets/_rels/sheet2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7.xml"/><Relationship Id="rId2" Type="http://schemas.openxmlformats.org/officeDocument/2006/relationships/printerSettings" Target="../printerSettings/printerSettings546.bin"/><Relationship Id="rId1" Type="http://schemas.openxmlformats.org/officeDocument/2006/relationships/printerSettings" Target="../printerSettings/printerSettings545.bin"/></Relationships>
</file>

<file path=xl/worksheets/_rels/sheet2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8.xml"/><Relationship Id="rId2" Type="http://schemas.openxmlformats.org/officeDocument/2006/relationships/printerSettings" Target="../printerSettings/printerSettings548.bin"/><Relationship Id="rId1" Type="http://schemas.openxmlformats.org/officeDocument/2006/relationships/printerSettings" Target="../printerSettings/printerSettings547.bin"/></Relationships>
</file>

<file path=xl/worksheets/_rels/sheet2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9.xml"/><Relationship Id="rId2" Type="http://schemas.openxmlformats.org/officeDocument/2006/relationships/printerSettings" Target="../printerSettings/printerSettings550.bin"/><Relationship Id="rId1" Type="http://schemas.openxmlformats.org/officeDocument/2006/relationships/printerSettings" Target="../printerSettings/printerSettings549.bin"/></Relationships>
</file>

<file path=xl/worksheets/_rels/sheet2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0.xml"/><Relationship Id="rId2" Type="http://schemas.openxmlformats.org/officeDocument/2006/relationships/printerSettings" Target="../printerSettings/printerSettings552.bin"/><Relationship Id="rId1" Type="http://schemas.openxmlformats.org/officeDocument/2006/relationships/printerSettings" Target="../printerSettings/printerSettings55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1.xml"/><Relationship Id="rId2" Type="http://schemas.openxmlformats.org/officeDocument/2006/relationships/printerSettings" Target="../printerSettings/printerSettings554.bin"/><Relationship Id="rId1" Type="http://schemas.openxmlformats.org/officeDocument/2006/relationships/printerSettings" Target="../printerSettings/printerSettings553.bin"/></Relationships>
</file>

<file path=xl/worksheets/_rels/sheet2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2.xml"/><Relationship Id="rId2" Type="http://schemas.openxmlformats.org/officeDocument/2006/relationships/printerSettings" Target="../printerSettings/printerSettings556.bin"/><Relationship Id="rId1" Type="http://schemas.openxmlformats.org/officeDocument/2006/relationships/printerSettings" Target="../printerSettings/printerSettings555.bin"/></Relationships>
</file>

<file path=xl/worksheets/_rels/sheet2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3.xml"/><Relationship Id="rId2" Type="http://schemas.openxmlformats.org/officeDocument/2006/relationships/printerSettings" Target="../printerSettings/printerSettings558.bin"/><Relationship Id="rId1" Type="http://schemas.openxmlformats.org/officeDocument/2006/relationships/printerSettings" Target="../printerSettings/printerSettings557.bin"/></Relationships>
</file>

<file path=xl/worksheets/_rels/sheet2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4.xml"/><Relationship Id="rId2" Type="http://schemas.openxmlformats.org/officeDocument/2006/relationships/printerSettings" Target="../printerSettings/printerSettings560.bin"/><Relationship Id="rId1" Type="http://schemas.openxmlformats.org/officeDocument/2006/relationships/printerSettings" Target="../printerSettings/printerSettings559.bin"/></Relationships>
</file>

<file path=xl/worksheets/_rels/sheet2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5.xml"/><Relationship Id="rId2" Type="http://schemas.openxmlformats.org/officeDocument/2006/relationships/printerSettings" Target="../printerSettings/printerSettings562.bin"/><Relationship Id="rId1" Type="http://schemas.openxmlformats.org/officeDocument/2006/relationships/printerSettings" Target="../printerSettings/printerSettings561.bin"/></Relationships>
</file>

<file path=xl/worksheets/_rels/sheet2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6.xml"/><Relationship Id="rId2" Type="http://schemas.openxmlformats.org/officeDocument/2006/relationships/printerSettings" Target="../printerSettings/printerSettings564.bin"/><Relationship Id="rId1" Type="http://schemas.openxmlformats.org/officeDocument/2006/relationships/printerSettings" Target="../printerSettings/printerSettings563.bin"/></Relationships>
</file>

<file path=xl/worksheets/_rels/sheet2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7.xml"/><Relationship Id="rId2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65.bin"/></Relationships>
</file>

<file path=xl/worksheets/_rels/sheet2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8.xml"/><Relationship Id="rId2" Type="http://schemas.openxmlformats.org/officeDocument/2006/relationships/printerSettings" Target="../printerSettings/printerSettings568.bin"/><Relationship Id="rId1" Type="http://schemas.openxmlformats.org/officeDocument/2006/relationships/printerSettings" Target="../printerSettings/printerSettings567.bin"/></Relationships>
</file>

<file path=xl/worksheets/_rels/sheet2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9.xml"/><Relationship Id="rId2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69.bin"/></Relationships>
</file>

<file path=xl/worksheets/_rels/sheet2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0.xml"/><Relationship Id="rId2" Type="http://schemas.openxmlformats.org/officeDocument/2006/relationships/printerSettings" Target="../printerSettings/printerSettings572.bin"/><Relationship Id="rId1" Type="http://schemas.openxmlformats.org/officeDocument/2006/relationships/printerSettings" Target="../printerSettings/printerSettings571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1.xml"/><Relationship Id="rId2" Type="http://schemas.openxmlformats.org/officeDocument/2006/relationships/printerSettings" Target="../printerSettings/printerSettings574.bin"/><Relationship Id="rId1" Type="http://schemas.openxmlformats.org/officeDocument/2006/relationships/printerSettings" Target="../printerSettings/printerSettings573.bin"/></Relationships>
</file>

<file path=xl/worksheets/_rels/sheet2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2.xml"/><Relationship Id="rId2" Type="http://schemas.openxmlformats.org/officeDocument/2006/relationships/printerSettings" Target="../printerSettings/printerSettings576.bin"/><Relationship Id="rId1" Type="http://schemas.openxmlformats.org/officeDocument/2006/relationships/printerSettings" Target="../printerSettings/printerSettings575.bin"/></Relationships>
</file>

<file path=xl/worksheets/_rels/sheet2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3.xml"/><Relationship Id="rId2" Type="http://schemas.openxmlformats.org/officeDocument/2006/relationships/printerSettings" Target="../printerSettings/printerSettings578.bin"/><Relationship Id="rId1" Type="http://schemas.openxmlformats.org/officeDocument/2006/relationships/printerSettings" Target="../printerSettings/printerSettings577.bin"/></Relationships>
</file>

<file path=xl/worksheets/_rels/sheet2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4.xml"/><Relationship Id="rId2" Type="http://schemas.openxmlformats.org/officeDocument/2006/relationships/printerSettings" Target="../printerSettings/printerSettings580.bin"/><Relationship Id="rId1" Type="http://schemas.openxmlformats.org/officeDocument/2006/relationships/printerSettings" Target="../printerSettings/printerSettings579.bin"/></Relationships>
</file>

<file path=xl/worksheets/_rels/sheet2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5.xml"/><Relationship Id="rId2" Type="http://schemas.openxmlformats.org/officeDocument/2006/relationships/printerSettings" Target="../printerSettings/printerSettings582.bin"/><Relationship Id="rId1" Type="http://schemas.openxmlformats.org/officeDocument/2006/relationships/printerSettings" Target="../printerSettings/printerSettings581.bin"/></Relationships>
</file>

<file path=xl/worksheets/_rels/sheet2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6.xml"/><Relationship Id="rId2" Type="http://schemas.openxmlformats.org/officeDocument/2006/relationships/printerSettings" Target="../printerSettings/printerSettings584.bin"/><Relationship Id="rId1" Type="http://schemas.openxmlformats.org/officeDocument/2006/relationships/printerSettings" Target="../printerSettings/printerSettings583.bin"/></Relationships>
</file>

<file path=xl/worksheets/_rels/sheet2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7.xml"/><Relationship Id="rId2" Type="http://schemas.openxmlformats.org/officeDocument/2006/relationships/printerSettings" Target="../printerSettings/printerSettings586.bin"/><Relationship Id="rId1" Type="http://schemas.openxmlformats.org/officeDocument/2006/relationships/printerSettings" Target="../printerSettings/printerSettings585.bin"/></Relationships>
</file>

<file path=xl/worksheets/_rels/sheet2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8.xml"/><Relationship Id="rId2" Type="http://schemas.openxmlformats.org/officeDocument/2006/relationships/printerSettings" Target="../printerSettings/printerSettings588.bin"/><Relationship Id="rId1" Type="http://schemas.openxmlformats.org/officeDocument/2006/relationships/printerSettings" Target="../printerSettings/printerSettings587.bin"/></Relationships>
</file>

<file path=xl/worksheets/_rels/sheet2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9.xml"/><Relationship Id="rId2" Type="http://schemas.openxmlformats.org/officeDocument/2006/relationships/printerSettings" Target="../printerSettings/printerSettings590.bin"/><Relationship Id="rId1" Type="http://schemas.openxmlformats.org/officeDocument/2006/relationships/printerSettings" Target="../printerSettings/printerSettings589.bin"/></Relationships>
</file>

<file path=xl/worksheets/_rels/sheet2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0.xml"/><Relationship Id="rId2" Type="http://schemas.openxmlformats.org/officeDocument/2006/relationships/printerSettings" Target="../printerSettings/printerSettings592.bin"/><Relationship Id="rId1" Type="http://schemas.openxmlformats.org/officeDocument/2006/relationships/printerSettings" Target="../printerSettings/printerSettings59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1.xml"/><Relationship Id="rId2" Type="http://schemas.openxmlformats.org/officeDocument/2006/relationships/printerSettings" Target="../printerSettings/printerSettings594.bin"/><Relationship Id="rId1" Type="http://schemas.openxmlformats.org/officeDocument/2006/relationships/printerSettings" Target="../printerSettings/printerSettings593.bin"/></Relationships>
</file>

<file path=xl/worksheets/_rels/sheet3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2.xml"/><Relationship Id="rId2" Type="http://schemas.openxmlformats.org/officeDocument/2006/relationships/printerSettings" Target="../printerSettings/printerSettings596.bin"/><Relationship Id="rId1" Type="http://schemas.openxmlformats.org/officeDocument/2006/relationships/printerSettings" Target="../printerSettings/printerSettings595.bin"/></Relationships>
</file>

<file path=xl/worksheets/_rels/sheet3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3.xml"/><Relationship Id="rId2" Type="http://schemas.openxmlformats.org/officeDocument/2006/relationships/printerSettings" Target="../printerSettings/printerSettings598.bin"/><Relationship Id="rId1" Type="http://schemas.openxmlformats.org/officeDocument/2006/relationships/printerSettings" Target="../printerSettings/printerSettings597.bin"/></Relationships>
</file>

<file path=xl/worksheets/_rels/sheet3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4.xml"/><Relationship Id="rId2" Type="http://schemas.openxmlformats.org/officeDocument/2006/relationships/printerSettings" Target="../printerSettings/printerSettings600.bin"/><Relationship Id="rId1" Type="http://schemas.openxmlformats.org/officeDocument/2006/relationships/printerSettings" Target="../printerSettings/printerSettings599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2.bin"/><Relationship Id="rId1" Type="http://schemas.openxmlformats.org/officeDocument/2006/relationships/printerSettings" Target="../printerSettings/printerSettings601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43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160.bin"/><Relationship Id="rId1" Type="http://schemas.openxmlformats.org/officeDocument/2006/relationships/printerSettings" Target="../printerSettings/printerSettings159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168.bin"/><Relationship Id="rId1" Type="http://schemas.openxmlformats.org/officeDocument/2006/relationships/printerSettings" Target="../printerSettings/printerSettings16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2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79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6.xml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3EDA00"/>
  </sheetPr>
  <dimension ref="A1:R26"/>
  <sheetViews>
    <sheetView view="pageBreakPreview" zoomScale="70" zoomScaleNormal="100" zoomScaleSheetLayoutView="70" workbookViewId="0">
      <selection activeCell="D17" sqref="D17"/>
    </sheetView>
  </sheetViews>
  <sheetFormatPr baseColWidth="10" defaultColWidth="11.42578125" defaultRowHeight="12.75" x14ac:dyDescent="0.2"/>
  <cols>
    <col min="1" max="1" width="85.42578125" style="706" bestFit="1" customWidth="1"/>
    <col min="2" max="2" width="12.42578125" style="706" bestFit="1" customWidth="1"/>
    <col min="3" max="3" width="9" style="706" bestFit="1" customWidth="1"/>
    <col min="4" max="4" width="12.7109375" style="706" customWidth="1"/>
    <col min="5" max="5" width="5" style="706" bestFit="1" customWidth="1"/>
    <col min="6" max="6" width="11.7109375" style="706" bestFit="1" customWidth="1"/>
    <col min="7" max="7" width="4.85546875" style="706" bestFit="1" customWidth="1"/>
    <col min="8" max="8" width="8.140625" style="706" bestFit="1" customWidth="1"/>
    <col min="9" max="9" width="2.140625" style="706" bestFit="1" customWidth="1"/>
    <col min="10" max="10" width="4.85546875" style="706" bestFit="1" customWidth="1"/>
    <col min="11" max="11" width="3.5703125" style="706" bestFit="1" customWidth="1"/>
    <col min="12" max="12" width="2.140625" style="706" bestFit="1" customWidth="1"/>
    <col min="13" max="13" width="4.85546875" style="706" bestFit="1" customWidth="1"/>
    <col min="14" max="14" width="14.85546875" style="706" customWidth="1"/>
    <col min="15" max="15" width="2.140625" style="706" bestFit="1" customWidth="1"/>
    <col min="16" max="16" width="4.85546875" style="706" bestFit="1" customWidth="1"/>
    <col min="17" max="16384" width="11.42578125" style="706"/>
  </cols>
  <sheetData>
    <row r="1" spans="1:18" ht="13.5" thickTop="1" x14ac:dyDescent="0.2">
      <c r="A1" s="709" t="s">
        <v>0</v>
      </c>
      <c r="B1" s="981"/>
      <c r="C1" s="981"/>
      <c r="D1" s="981"/>
      <c r="E1" s="981"/>
      <c r="F1" s="981"/>
      <c r="G1" s="981"/>
      <c r="H1" s="981"/>
      <c r="I1" s="981"/>
      <c r="J1" s="981"/>
      <c r="K1" s="981"/>
      <c r="L1" s="981"/>
      <c r="M1" s="981"/>
      <c r="N1" s="981"/>
      <c r="O1" s="710"/>
      <c r="P1" s="710"/>
      <c r="Q1" s="710"/>
      <c r="R1" s="711"/>
    </row>
    <row r="2" spans="1:18" ht="15" x14ac:dyDescent="0.2">
      <c r="A2" s="712" t="s">
        <v>1</v>
      </c>
      <c r="B2" s="713" t="s">
        <v>2</v>
      </c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8"/>
    </row>
    <row r="3" spans="1:18" ht="51" customHeight="1" x14ac:dyDescent="0.2">
      <c r="A3" s="714" t="s">
        <v>3</v>
      </c>
      <c r="B3" s="982" t="s">
        <v>4</v>
      </c>
      <c r="C3" s="982"/>
      <c r="D3" s="982"/>
      <c r="E3" s="982"/>
      <c r="F3" s="982"/>
      <c r="G3" s="982"/>
      <c r="H3" s="982"/>
      <c r="I3" s="982"/>
      <c r="J3" s="982"/>
      <c r="K3" s="982"/>
      <c r="L3" s="982"/>
      <c r="M3" s="982"/>
      <c r="N3" s="982"/>
      <c r="O3" s="789"/>
      <c r="P3" s="789"/>
      <c r="Q3" s="789"/>
      <c r="R3" s="790"/>
    </row>
    <row r="4" spans="1:18" ht="37.5" customHeight="1" x14ac:dyDescent="0.2">
      <c r="A4" s="712" t="s">
        <v>5</v>
      </c>
      <c r="B4" s="982" t="str">
        <f>B3</f>
        <v>OPTIMIZACIÓN Y AMPLIACIÓN DE LA RED ALCANTARILLADO DEL CORREGIMIENTO DE LAS MESAS, MUNICIPIO DE EL TABLON DE GOMEZ – DEPARTAMENTO DE NARIÑO.</v>
      </c>
      <c r="C4" s="982"/>
      <c r="D4" s="982"/>
      <c r="E4" s="982"/>
      <c r="F4" s="982"/>
      <c r="G4" s="982"/>
      <c r="H4" s="982"/>
      <c r="I4" s="982"/>
      <c r="J4" s="982"/>
      <c r="K4" s="982"/>
      <c r="L4" s="982"/>
      <c r="M4" s="982"/>
      <c r="N4" s="982"/>
      <c r="O4" s="789"/>
      <c r="P4" s="789"/>
      <c r="Q4" s="789"/>
      <c r="R4" s="790"/>
    </row>
    <row r="5" spans="1:18" x14ac:dyDescent="0.2">
      <c r="A5" s="712" t="s">
        <v>6</v>
      </c>
      <c r="B5" s="739" t="s">
        <v>7</v>
      </c>
      <c r="C5" s="716"/>
      <c r="D5" s="716"/>
      <c r="E5" s="716"/>
      <c r="F5" s="716"/>
      <c r="G5" s="716"/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708"/>
    </row>
    <row r="6" spans="1:18" x14ac:dyDescent="0.2">
      <c r="A6" s="712" t="s">
        <v>8</v>
      </c>
      <c r="B6" s="715" t="s">
        <v>9</v>
      </c>
      <c r="C6" s="707"/>
      <c r="D6" s="707"/>
      <c r="E6" s="707"/>
      <c r="F6" s="707"/>
      <c r="G6" s="707"/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8"/>
    </row>
    <row r="7" spans="1:18" x14ac:dyDescent="0.2">
      <c r="A7" s="712" t="s">
        <v>10</v>
      </c>
      <c r="B7" s="740">
        <v>0.3</v>
      </c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8"/>
    </row>
    <row r="8" spans="1:18" x14ac:dyDescent="0.2">
      <c r="A8" s="712" t="s">
        <v>11</v>
      </c>
      <c r="B8" s="736" t="s">
        <v>12</v>
      </c>
      <c r="C8" s="736"/>
      <c r="D8" s="736"/>
      <c r="E8" s="736"/>
      <c r="F8" s="736"/>
      <c r="G8" s="736"/>
      <c r="H8" s="736"/>
      <c r="I8" s="736"/>
      <c r="J8" s="736"/>
      <c r="K8" s="736"/>
      <c r="L8" s="736"/>
      <c r="M8" s="736"/>
      <c r="N8" s="736"/>
      <c r="O8" s="736"/>
      <c r="P8" s="736"/>
      <c r="Q8" s="736"/>
      <c r="R8" s="737"/>
    </row>
    <row r="9" spans="1:18" x14ac:dyDescent="0.2">
      <c r="A9" s="712" t="s">
        <v>13</v>
      </c>
      <c r="B9" s="736" t="s">
        <v>14</v>
      </c>
      <c r="C9" s="720"/>
      <c r="D9" s="720"/>
      <c r="E9" s="720"/>
      <c r="F9" s="720"/>
      <c r="G9" s="720"/>
      <c r="H9" s="720"/>
      <c r="I9" s="720"/>
      <c r="J9" s="720"/>
      <c r="K9" s="720"/>
      <c r="L9" s="720"/>
      <c r="M9" s="720"/>
      <c r="N9" s="720"/>
      <c r="O9" s="720"/>
      <c r="P9" s="720"/>
      <c r="Q9" s="720"/>
      <c r="R9" s="738"/>
    </row>
    <row r="10" spans="1:18" x14ac:dyDescent="0.2">
      <c r="A10" s="712" t="s">
        <v>15</v>
      </c>
      <c r="B10" s="736" t="s">
        <v>16</v>
      </c>
      <c r="C10" s="720"/>
      <c r="D10" s="720"/>
      <c r="E10" s="720"/>
      <c r="F10" s="720"/>
      <c r="G10" s="720"/>
      <c r="H10" s="720"/>
      <c r="I10" s="720"/>
      <c r="J10" s="720"/>
      <c r="K10" s="720"/>
      <c r="L10" s="720"/>
      <c r="M10" s="720"/>
      <c r="N10" s="720"/>
      <c r="O10" s="720"/>
      <c r="P10" s="720"/>
      <c r="Q10" s="720"/>
      <c r="R10" s="738"/>
    </row>
    <row r="11" spans="1:18" x14ac:dyDescent="0.2">
      <c r="A11" s="712" t="s">
        <v>17</v>
      </c>
      <c r="B11" s="736" t="str">
        <f>B8</f>
        <v>CORREGIMIENTO DE LAS MESAS-MUNICIPIO DETABLON DE GOMES (N)</v>
      </c>
      <c r="C11" s="720"/>
      <c r="D11" s="720"/>
      <c r="E11" s="720"/>
      <c r="F11" s="720"/>
      <c r="G11" s="720"/>
      <c r="H11" s="720"/>
      <c r="I11" s="720"/>
      <c r="J11" s="720"/>
      <c r="K11" s="720"/>
      <c r="L11" s="720"/>
      <c r="M11" s="720"/>
      <c r="N11" s="720"/>
      <c r="O11" s="720"/>
      <c r="P11" s="720"/>
      <c r="Q11" s="720"/>
      <c r="R11" s="738"/>
    </row>
    <row r="12" spans="1:18" x14ac:dyDescent="0.2">
      <c r="A12" s="712" t="s">
        <v>18</v>
      </c>
      <c r="B12" s="788"/>
      <c r="C12" s="720"/>
      <c r="D12" s="707"/>
      <c r="E12" s="707"/>
      <c r="F12" s="707"/>
      <c r="G12" s="707"/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8"/>
    </row>
    <row r="13" spans="1:18" x14ac:dyDescent="0.2">
      <c r="A13" s="712" t="s">
        <v>19</v>
      </c>
      <c r="B13" s="707"/>
      <c r="C13" s="907"/>
      <c r="D13" s="741">
        <v>0.06</v>
      </c>
      <c r="E13" s="707"/>
      <c r="F13" s="707"/>
      <c r="G13" s="707"/>
      <c r="H13" s="707"/>
      <c r="I13" s="707"/>
      <c r="J13" s="707"/>
      <c r="K13" s="707"/>
      <c r="L13" s="707"/>
      <c r="M13" s="707"/>
      <c r="N13" s="707"/>
      <c r="O13" s="707"/>
      <c r="P13" s="707"/>
      <c r="Q13" s="707"/>
      <c r="R13" s="708"/>
    </row>
    <row r="14" spans="1:18" x14ac:dyDescent="0.2">
      <c r="A14" s="712" t="s">
        <v>20</v>
      </c>
      <c r="B14" s="707"/>
      <c r="C14" s="907"/>
      <c r="D14" s="741">
        <v>0.06</v>
      </c>
      <c r="E14" s="707"/>
      <c r="F14" s="707"/>
      <c r="G14" s="707"/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8"/>
    </row>
    <row r="15" spans="1:18" x14ac:dyDescent="0.2">
      <c r="A15" s="712" t="s">
        <v>21</v>
      </c>
      <c r="B15" s="707"/>
      <c r="C15" s="907"/>
      <c r="D15" s="741">
        <v>0.06</v>
      </c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8"/>
    </row>
    <row r="16" spans="1:18" x14ac:dyDescent="0.2">
      <c r="A16" s="712" t="s">
        <v>22</v>
      </c>
      <c r="B16" s="707"/>
      <c r="C16" s="707"/>
      <c r="D16" s="741">
        <v>0.06</v>
      </c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8"/>
    </row>
    <row r="17" spans="1:18" ht="18" x14ac:dyDescent="0.25">
      <c r="A17" s="908" t="s">
        <v>23</v>
      </c>
      <c r="B17" s="791" t="str">
        <f>CONCATENATE(B10," (",B9,") ")</f>
        <v xml:space="preserve">TABLON DE GOMEZ (DEPARTAMENTO NARIÑO) 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4"/>
      <c r="P17" s="734"/>
      <c r="Q17" s="734"/>
      <c r="R17" s="735"/>
    </row>
    <row r="18" spans="1:18" ht="87" customHeight="1" x14ac:dyDescent="0.2">
      <c r="A18" s="139"/>
      <c r="B18" s="980"/>
      <c r="C18" s="980"/>
      <c r="D18" s="980"/>
      <c r="E18" s="980"/>
      <c r="F18" s="98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1"/>
    </row>
    <row r="19" spans="1:18" ht="47.25" thickBot="1" x14ac:dyDescent="0.4">
      <c r="A19" s="717" t="s">
        <v>7</v>
      </c>
      <c r="B19" s="718"/>
      <c r="C19" s="718"/>
      <c r="D19" s="718"/>
      <c r="E19" s="718"/>
      <c r="F19" s="718"/>
      <c r="G19" s="718"/>
      <c r="H19" s="718"/>
      <c r="I19" s="718"/>
      <c r="J19" s="718"/>
      <c r="K19" s="718"/>
      <c r="L19" s="718"/>
      <c r="M19" s="718"/>
      <c r="N19" s="718"/>
      <c r="O19" s="718"/>
      <c r="P19" s="718"/>
      <c r="Q19" s="718"/>
      <c r="R19" s="719"/>
    </row>
    <row r="20" spans="1:18" ht="13.5" thickTop="1" x14ac:dyDescent="0.2"/>
    <row r="26" spans="1:18" x14ac:dyDescent="0.2">
      <c r="H26" s="706">
        <v>1</v>
      </c>
    </row>
  </sheetData>
  <sheetProtection formatCells="0" formatColumns="0" formatRows="0" selectLockedCells="1"/>
  <customSheetViews>
    <customSheetView guid="{93F324B6-F965-4669-93FF-DBB148734A46}">
      <selection activeCell="B3" sqref="B3:N3"/>
      <pageMargins left="0" right="0" top="0" bottom="0" header="0" footer="0"/>
      <pageSetup scale="50" orientation="portrait" errors="blank" horizontalDpi="300" verticalDpi="300" r:id="rId1"/>
      <headerFooter differentOddEven="1" alignWithMargins="0"/>
    </customSheetView>
  </customSheetViews>
  <mergeCells count="4">
    <mergeCell ref="B18:F18"/>
    <mergeCell ref="B1:N1"/>
    <mergeCell ref="B3:N3"/>
    <mergeCell ref="B4:N4"/>
  </mergeCells>
  <phoneticPr fontId="0" type="noConversion"/>
  <pageMargins left="0.74803149606299213" right="0.74803149606299213" top="0.98425196850393704" bottom="0.98425196850393704" header="0" footer="0"/>
  <pageSetup scale="49" orientation="portrait" errors="blank" horizontalDpi="300" verticalDpi="300" r:id="rId2"/>
  <headerFooter differentOddEven="1" alignWithMargins="0"/>
  <colBreaks count="1" manualBreakCount="1">
    <brk id="14" max="18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1"/>
  <sheetViews>
    <sheetView tabSelected="1" view="pageBreakPreview" topLeftCell="B1" zoomScale="60" zoomScaleNormal="100" workbookViewId="0">
      <selection activeCell="H14" sqref="H14"/>
    </sheetView>
  </sheetViews>
  <sheetFormatPr baseColWidth="10" defaultRowHeight="12.75" x14ac:dyDescent="0.2"/>
  <cols>
    <col min="1" max="7" width="11.42578125" style="1541"/>
    <col min="8" max="8" width="33.85546875" style="1541" customWidth="1"/>
    <col min="9" max="9" width="13.7109375" style="1541" bestFit="1" customWidth="1"/>
    <col min="10" max="16384" width="11.42578125" style="1541"/>
  </cols>
  <sheetData>
    <row r="1" spans="2:9" ht="15.75" x14ac:dyDescent="0.25">
      <c r="B1" s="1478" t="s">
        <v>2082</v>
      </c>
      <c r="C1" s="1478"/>
      <c r="D1" s="1478"/>
      <c r="E1" s="1478"/>
      <c r="F1" s="1478"/>
      <c r="G1" s="1478"/>
      <c r="H1" s="1478"/>
    </row>
    <row r="2" spans="2:9" ht="15.75" x14ac:dyDescent="0.25">
      <c r="B2" s="1478" t="s">
        <v>2421</v>
      </c>
      <c r="C2" s="1478"/>
      <c r="D2" s="1478"/>
      <c r="E2" s="1478"/>
      <c r="F2" s="1478"/>
      <c r="G2" s="1478"/>
      <c r="H2" s="1478"/>
    </row>
    <row r="3" spans="2:9" ht="50.25" customHeight="1" x14ac:dyDescent="0.2">
      <c r="B3" s="1480" t="s">
        <v>4</v>
      </c>
      <c r="C3" s="1480"/>
      <c r="D3" s="1480"/>
      <c r="E3" s="1480"/>
      <c r="F3" s="1480"/>
      <c r="G3" s="1480"/>
      <c r="H3" s="1480"/>
    </row>
    <row r="5" spans="2:9" x14ac:dyDescent="0.2">
      <c r="B5" s="1543" t="s">
        <v>2419</v>
      </c>
      <c r="C5" s="1543"/>
      <c r="D5" s="1543"/>
      <c r="E5" s="1543"/>
      <c r="F5" s="1543"/>
      <c r="G5" s="1543"/>
      <c r="H5" s="1540" t="s">
        <v>2418</v>
      </c>
    </row>
    <row r="6" spans="2:9" ht="30.75" customHeight="1" x14ac:dyDescent="0.2">
      <c r="B6" s="1037" t="s">
        <v>2210</v>
      </c>
      <c r="C6" s="1037"/>
      <c r="D6" s="1037"/>
      <c r="E6" s="1037"/>
      <c r="F6" s="1037"/>
      <c r="G6" s="1037"/>
      <c r="H6" s="1544"/>
    </row>
    <row r="7" spans="2:9" ht="30.75" customHeight="1" x14ac:dyDescent="0.2">
      <c r="B7" s="1037" t="s">
        <v>2211</v>
      </c>
      <c r="C7" s="1037"/>
      <c r="D7" s="1037"/>
      <c r="E7" s="1037"/>
      <c r="F7" s="1037"/>
      <c r="G7" s="1037"/>
      <c r="H7" s="1544"/>
    </row>
    <row r="8" spans="2:9" ht="30.75" customHeight="1" x14ac:dyDescent="0.2">
      <c r="B8" s="1037" t="s">
        <v>2412</v>
      </c>
      <c r="C8" s="1037"/>
      <c r="D8" s="1037"/>
      <c r="E8" s="1037"/>
      <c r="F8" s="1037"/>
      <c r="G8" s="1037"/>
      <c r="H8" s="1544"/>
    </row>
    <row r="10" spans="2:9" x14ac:dyDescent="0.2">
      <c r="H10" s="1542"/>
    </row>
    <row r="11" spans="2:9" x14ac:dyDescent="0.2">
      <c r="H11" s="1542"/>
      <c r="I11" s="1542"/>
    </row>
  </sheetData>
  <sheetProtection algorithmName="SHA-512" hashValue="1lpsgl67Hh5SReN4oe9XVrKKEHBlNnfupQrdfbeQH0gu+thJIgtl+aeG1B4aKEVqmARxGovxZjtZf35IN7AQEQ==" saltValue="bPmBNB/5oa7jTDIKpRWGtQ==" spinCount="100000" sheet="1" objects="1" scenarios="1"/>
  <mergeCells count="7">
    <mergeCell ref="B7:G7"/>
    <mergeCell ref="B6:G6"/>
    <mergeCell ref="B8:G8"/>
    <mergeCell ref="B5:G5"/>
    <mergeCell ref="B1:H1"/>
    <mergeCell ref="B2:H2"/>
    <mergeCell ref="B3:H3"/>
  </mergeCells>
  <pageMargins left="0.7" right="0.7" top="0.75" bottom="0.75" header="0.3" footer="0.3"/>
  <pageSetup scale="7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9">
    <tabColor rgb="FF74FCFC"/>
    <pageSetUpPr fitToPage="1"/>
  </sheetPr>
  <dimension ref="A1:K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0.15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330</v>
      </c>
      <c r="B9" s="1216"/>
      <c r="C9" s="1217"/>
      <c r="D9" s="851" t="e">
        <f t="shared" si="0"/>
        <v>#REF!</v>
      </c>
      <c r="E9" s="13">
        <v>7.0000000000000007E-2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 t="s">
        <v>242</v>
      </c>
      <c r="B10" s="1216"/>
      <c r="C10" s="1217"/>
      <c r="D10" s="851" t="e">
        <f t="shared" si="0"/>
        <v>#REF!</v>
      </c>
      <c r="E10" s="161">
        <v>0.5</v>
      </c>
      <c r="F10" s="21" t="e">
        <f>IF(A10&lt;&gt;0,VLOOKUP(A10,Materiales,6,FALSE),$J$1)</f>
        <v>#REF!</v>
      </c>
      <c r="G10" s="22"/>
      <c r="H10" s="8" t="e">
        <f t="shared" si="1"/>
        <v>#REF!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>IF(A12&lt;&gt;0,VLOOKUP(A12,Materiales,6,FALSE),$J$1)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ref="F13:F18" si="2">IF(A13&lt;&gt;0,VLOOKUP(A13,Materiales,5,FALSE),$J$1)</f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1</v>
      </c>
      <c r="E23" s="28"/>
      <c r="F23" s="12">
        <f t="shared" ref="F23:F29" si="3">IF(A23&lt;&gt;0,VLOOKUP(A23,Equipos,6,FALSE),$J$1)</f>
        <v>3710</v>
      </c>
      <c r="G23" s="14">
        <v>0.15</v>
      </c>
      <c r="H23" s="8">
        <f>IF(A23&lt;&gt;0,ROUND((F23/D23)*G23,2),$J$1)</f>
        <v>556.5</v>
      </c>
      <c r="I23" s="69"/>
    </row>
    <row r="24" spans="1:9" x14ac:dyDescent="0.2">
      <c r="A24" s="1215" t="s">
        <v>474</v>
      </c>
      <c r="B24" s="1216"/>
      <c r="C24" s="1217"/>
      <c r="D24" s="26">
        <v>30</v>
      </c>
      <c r="E24" s="28"/>
      <c r="F24" s="12">
        <f>IF(A24&lt;&gt;0,VLOOKUP(A24,Equipos,6,FALSE),$J$1)</f>
        <v>530</v>
      </c>
      <c r="G24" s="14">
        <v>1</v>
      </c>
      <c r="H24" s="8">
        <f>IF(A24&lt;&gt;0,ROUND((F24*D24)*G24,2),$J$1)</f>
        <v>15900</v>
      </c>
      <c r="I24" s="69"/>
    </row>
    <row r="25" spans="1:9" x14ac:dyDescent="0.2">
      <c r="A25" s="1215" t="s">
        <v>482</v>
      </c>
      <c r="B25" s="1216"/>
      <c r="C25" s="1217"/>
      <c r="D25" s="26">
        <v>0.5</v>
      </c>
      <c r="E25" s="28"/>
      <c r="F25" s="12">
        <f>IF(A25&lt;&gt;0,VLOOKUP(A25,Equipos,6,FALSE),$J$1)</f>
        <v>1590</v>
      </c>
      <c r="G25" s="14">
        <v>1</v>
      </c>
      <c r="H25" s="8">
        <f>IF(A25&lt;&gt;0,ROUND((F25/D25)*G25,2),$J$1)</f>
        <v>3180</v>
      </c>
      <c r="I25" s="69"/>
    </row>
    <row r="26" spans="1:9" x14ac:dyDescent="0.2">
      <c r="A26" s="1215" t="s">
        <v>497</v>
      </c>
      <c r="B26" s="1216"/>
      <c r="C26" s="1217"/>
      <c r="D26" s="26">
        <v>1</v>
      </c>
      <c r="E26" s="28"/>
      <c r="F26" s="12">
        <f>IF(A26&lt;&gt;0,VLOOKUP(A26,Equipos,6,FALSE),$J$1)</f>
        <v>42400</v>
      </c>
      <c r="G26" s="14">
        <v>0.04</v>
      </c>
      <c r="H26" s="8">
        <f>IF(A26&lt;&gt;0,ROUND((F26/D26)*G26,2),$J$1)</f>
        <v>1696</v>
      </c>
      <c r="I26" s="69"/>
    </row>
    <row r="27" spans="1:9" x14ac:dyDescent="0.2">
      <c r="A27" s="1215" t="s">
        <v>484</v>
      </c>
      <c r="B27" s="1216"/>
      <c r="C27" s="1217"/>
      <c r="D27" s="26">
        <v>30</v>
      </c>
      <c r="E27" s="28"/>
      <c r="F27" s="12">
        <f>IF(A27&lt;&gt;0,VLOOKUP(A27,Equipos,6,FALSE),$J$1)</f>
        <v>1812.6</v>
      </c>
      <c r="G27" s="14">
        <v>1</v>
      </c>
      <c r="H27" s="8">
        <f>IF(A27&lt;&gt;0,ROUND((F27*D27)*G27,2),$J$1)</f>
        <v>54378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>IF(A28&lt;&gt;0,ROUND((F28/D28)*G28,2),$J$1)</f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>IF(A29&lt;&gt;0,ROUND((F29/D29)*G29,2),$J$1)</f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75710.5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4">IF(A35&lt;&gt;0,VLOOKUP(A35,Transporte,2,FALSE),$J$1)</f>
        <v>-</v>
      </c>
      <c r="G35" s="12"/>
      <c r="H35" s="8" t="str">
        <f t="shared" ref="H35:H40" si="5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4"/>
        <v>-</v>
      </c>
      <c r="G36" s="12"/>
      <c r="H36" s="8" t="str">
        <f t="shared" si="5"/>
        <v>-</v>
      </c>
      <c r="I36" s="344"/>
    </row>
    <row r="37" spans="1:9" x14ac:dyDescent="0.2">
      <c r="A37" s="1215"/>
      <c r="B37" s="1216"/>
      <c r="C37" s="1217"/>
      <c r="D37" s="46"/>
      <c r="E37" s="47"/>
      <c r="F37" s="15" t="str">
        <f t="shared" si="4"/>
        <v>-</v>
      </c>
      <c r="G37" s="12"/>
      <c r="H37" s="8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4"/>
        <v>-</v>
      </c>
      <c r="G39" s="12"/>
      <c r="H39" s="8" t="str">
        <f t="shared" si="5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4"/>
        <v>-</v>
      </c>
      <c r="G40" s="12"/>
      <c r="H40" s="8" t="str">
        <f t="shared" si="5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12</v>
      </c>
      <c r="G45" s="1222"/>
      <c r="H45" s="8">
        <f>IF(A45&lt;&gt;0,ROUND(D45/F45,2),$J$1)</f>
        <v>36007.99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36007.99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36007.99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0">
    <mergeCell ref="A10:C10"/>
    <mergeCell ref="A1:C1"/>
    <mergeCell ref="H1:I1"/>
    <mergeCell ref="C5:I5"/>
    <mergeCell ref="A8:C8"/>
    <mergeCell ref="A9:C9"/>
    <mergeCell ref="A39:C39"/>
    <mergeCell ref="A11:C11"/>
    <mergeCell ref="A12:C12"/>
    <mergeCell ref="A24:C24"/>
    <mergeCell ref="A25:C25"/>
    <mergeCell ref="A26:C26"/>
    <mergeCell ref="A27:C27"/>
    <mergeCell ref="B34:C34"/>
    <mergeCell ref="A35:C35"/>
    <mergeCell ref="A36:C36"/>
    <mergeCell ref="A37:C37"/>
    <mergeCell ref="B38:C38"/>
    <mergeCell ref="A40:C40"/>
    <mergeCell ref="A41:H41"/>
    <mergeCell ref="A42:I42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8:C29 A23:A29 B23:C23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13:C18 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indexed="35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1.03</v>
      </c>
      <c r="F8" s="21" t="e">
        <f t="shared" ref="F8:F13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362</v>
      </c>
      <c r="B9" s="1216"/>
      <c r="C9" s="1217"/>
      <c r="D9" s="851" t="e">
        <f t="shared" si="0"/>
        <v>#REF!</v>
      </c>
      <c r="E9" s="12">
        <v>3.12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345</v>
      </c>
      <c r="B10" s="1216"/>
      <c r="C10" s="1217"/>
      <c r="D10" s="851" t="e">
        <f t="shared" si="0"/>
        <v>#REF!</v>
      </c>
      <c r="E10" s="12">
        <v>0.7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330</v>
      </c>
      <c r="B11" s="1216"/>
      <c r="C11" s="1217"/>
      <c r="D11" s="851" t="e">
        <f t="shared" si="0"/>
        <v>#REF!</v>
      </c>
      <c r="E11" s="12">
        <v>2.38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242</v>
      </c>
      <c r="B12" s="1216"/>
      <c r="C12" s="1217"/>
      <c r="D12" s="851" t="e">
        <f t="shared" si="0"/>
        <v>#REF!</v>
      </c>
      <c r="E12" s="12">
        <f>5*0.25</f>
        <v>1.25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315</v>
      </c>
      <c r="B13" s="1216"/>
      <c r="C13" s="1217"/>
      <c r="D13" s="851" t="e">
        <f t="shared" si="0"/>
        <v>#REF!</v>
      </c>
      <c r="E13" s="12">
        <v>15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1215"/>
      <c r="B14" s="1216"/>
      <c r="C14" s="1217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2342</v>
      </c>
      <c r="E22" s="254"/>
      <c r="F22" s="235" t="s">
        <v>2219</v>
      </c>
      <c r="G22" s="881" t="s">
        <v>2220</v>
      </c>
      <c r="H22" s="257" t="s">
        <v>2343</v>
      </c>
      <c r="I22" s="72"/>
    </row>
    <row r="23" spans="1:9" x14ac:dyDescent="0.2">
      <c r="A23" s="871" t="s">
        <v>477</v>
      </c>
      <c r="B23" s="872"/>
      <c r="C23" s="873"/>
      <c r="D23" s="26">
        <v>0.5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>IF(A23&lt;&gt;0,ROUND((F23/D23)*G23,2),$J$1)</f>
        <v>7420</v>
      </c>
      <c r="I23" s="69"/>
    </row>
    <row r="24" spans="1:9" x14ac:dyDescent="0.2">
      <c r="A24" s="1215" t="s">
        <v>497</v>
      </c>
      <c r="B24" s="1216"/>
      <c r="C24" s="1217"/>
      <c r="D24" s="26">
        <v>0.25</v>
      </c>
      <c r="E24" s="28"/>
      <c r="F24" s="12">
        <f t="shared" si="3"/>
        <v>42400</v>
      </c>
      <c r="G24" s="14">
        <v>0.25</v>
      </c>
      <c r="H24" s="8">
        <f>IF(A24&lt;&gt;0,ROUND((F24/D24)*G24,2),$J$1)</f>
        <v>42400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/>
      <c r="I25" s="69"/>
    </row>
    <row r="26" spans="1:9" x14ac:dyDescent="0.2">
      <c r="A26" s="1215"/>
      <c r="B26" s="1216"/>
      <c r="C26" s="1217"/>
      <c r="D26" s="26"/>
      <c r="E26" s="28"/>
      <c r="F26" s="12" t="str">
        <f t="shared" si="3"/>
        <v>-</v>
      </c>
      <c r="G26" s="14"/>
      <c r="H26" s="8"/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>IF(A27&lt;&gt;0,ROUND((F27/D27)*G27,2),$J$1)</f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>IF(A28&lt;&gt;0,ROUND((F28/D28)*G28,2),$J$1)</f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>IF(A29&lt;&gt;0,ROUND((F29/D29)*G29,2),$J$1)</f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49820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4">IF(A35&lt;&gt;0,VLOOKUP(A35,Transporte,2,FALSE),$J$1)</f>
        <v>-</v>
      </c>
      <c r="G35" s="12"/>
      <c r="H35" s="8" t="str">
        <f t="shared" ref="H35:H40" si="5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4"/>
        <v>-</v>
      </c>
      <c r="G36" s="12"/>
      <c r="H36" s="8" t="str">
        <f t="shared" si="5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4"/>
        <v>-</v>
      </c>
      <c r="G37" s="12"/>
      <c r="H37" s="8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4"/>
        <v>-</v>
      </c>
      <c r="G39" s="12"/>
      <c r="H39" s="8" t="str">
        <f t="shared" si="5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4"/>
        <v>-</v>
      </c>
      <c r="G40" s="12"/>
      <c r="H40" s="8" t="str">
        <f t="shared" si="5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2.23</v>
      </c>
      <c r="G45" s="1222"/>
      <c r="H45" s="8">
        <f>IF(A45&lt;&gt;0,ROUND(D45/F45,2),$J$1)</f>
        <v>193764.95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193764.95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193764.95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1">
    <mergeCell ref="D48:E48"/>
    <mergeCell ref="A47:C47"/>
    <mergeCell ref="A48:C48"/>
    <mergeCell ref="H1:I1"/>
    <mergeCell ref="A10:C10"/>
    <mergeCell ref="A11:C11"/>
    <mergeCell ref="A12:C12"/>
    <mergeCell ref="C5:I5"/>
    <mergeCell ref="A8:C8"/>
    <mergeCell ref="A9:C9"/>
    <mergeCell ref="A1:C1"/>
    <mergeCell ref="A13:C13"/>
    <mergeCell ref="A41:H41"/>
    <mergeCell ref="A43:I43"/>
    <mergeCell ref="A14:C14"/>
    <mergeCell ref="A42:I42"/>
    <mergeCell ref="B38:C38"/>
    <mergeCell ref="A24:C24"/>
    <mergeCell ref="A26:C26"/>
    <mergeCell ref="F44:G44"/>
    <mergeCell ref="A25:C25"/>
    <mergeCell ref="A35:C35"/>
    <mergeCell ref="A36:C36"/>
    <mergeCell ref="A37:C37"/>
    <mergeCell ref="A39:C39"/>
    <mergeCell ref="A40:C40"/>
    <mergeCell ref="B34:C34"/>
    <mergeCell ref="F45:G45"/>
    <mergeCell ref="A46:C46"/>
    <mergeCell ref="D46:E46"/>
    <mergeCell ref="D44:E44"/>
    <mergeCell ref="D45:E45"/>
    <mergeCell ref="A44:C44"/>
    <mergeCell ref="A45:C45"/>
    <mergeCell ref="F46:G46"/>
    <mergeCell ref="A56:G56"/>
    <mergeCell ref="H56:I56"/>
    <mergeCell ref="F47:G47"/>
    <mergeCell ref="A49:C49"/>
    <mergeCell ref="A52:H52"/>
    <mergeCell ref="A51:I51"/>
    <mergeCell ref="A50:H50"/>
    <mergeCell ref="A54:G54"/>
    <mergeCell ref="F49:G49"/>
    <mergeCell ref="A55:C55"/>
    <mergeCell ref="D55:E55"/>
    <mergeCell ref="F55:I55"/>
    <mergeCell ref="A53:H53"/>
    <mergeCell ref="D49:E49"/>
    <mergeCell ref="F48:G48"/>
    <mergeCell ref="D47:E47"/>
  </mergeCells>
  <phoneticPr fontId="0" type="noConversion"/>
  <dataValidations count="5">
    <dataValidation type="list" allowBlank="1" showInputMessage="1" showErrorMessage="1" sqref="A9:A18 B15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7:C29 A23:A29 B23:C23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0">
    <tabColor rgb="FF74FCFC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10.140625" style="1" bestFit="1" customWidth="1"/>
    <col min="6" max="6" width="12.5703125" style="1" customWidth="1"/>
    <col min="7" max="7" width="12.7109375" style="1" customWidth="1"/>
    <col min="8" max="8" width="17.5703125" style="1" customWidth="1"/>
    <col min="9" max="9" width="17.140625" style="1" bestFit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20</v>
      </c>
      <c r="F8" s="21" t="e">
        <f t="shared" ref="F8:F16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122</v>
      </c>
      <c r="B9" s="1216"/>
      <c r="C9" s="1217"/>
      <c r="D9" s="851" t="e">
        <f t="shared" si="0"/>
        <v>#REF!</v>
      </c>
      <c r="E9" s="194">
        <v>1200</v>
      </c>
      <c r="F9" s="21" t="e">
        <f t="shared" si="1"/>
        <v>#REF!</v>
      </c>
      <c r="G9" s="22"/>
      <c r="H9" s="508" t="e">
        <f t="shared" si="2"/>
        <v>#REF!</v>
      </c>
      <c r="I9" s="69"/>
    </row>
    <row r="10" spans="1:10" x14ac:dyDescent="0.2">
      <c r="A10" s="1215" t="s">
        <v>228</v>
      </c>
      <c r="B10" s="1216"/>
      <c r="C10" s="1217"/>
      <c r="D10" s="851" t="e">
        <f t="shared" si="0"/>
        <v>#REF!</v>
      </c>
      <c r="E10" s="13">
        <v>2.1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149</v>
      </c>
      <c r="B11" s="1216"/>
      <c r="C11" s="1217"/>
      <c r="D11" s="851" t="e">
        <f t="shared" si="0"/>
        <v>#REF!</v>
      </c>
      <c r="E11" s="12">
        <v>12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2320</v>
      </c>
      <c r="B12" s="1216"/>
      <c r="C12" s="1217"/>
      <c r="D12" s="851" t="e">
        <f t="shared" si="0"/>
        <v>#REF!</v>
      </c>
      <c r="E12" s="12">
        <v>0.1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/>
      <c r="B13" s="1216"/>
      <c r="C13" s="1217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1215"/>
      <c r="B14" s="1216"/>
      <c r="C14" s="1217"/>
      <c r="D14" s="851" t="str">
        <f t="shared" si="0"/>
        <v>-</v>
      </c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1215"/>
      <c r="B15" s="1216"/>
      <c r="C15" s="1217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1086"/>
      <c r="B16" s="1087"/>
      <c r="C16" s="1119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0.5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>IF(A23&lt;&gt;0,ROUND((F23/D23)*G23,2),$J$1)</f>
        <v>7420</v>
      </c>
      <c r="I23" s="69"/>
    </row>
    <row r="24" spans="1:9" x14ac:dyDescent="0.2">
      <c r="A24" s="1215" t="s">
        <v>484</v>
      </c>
      <c r="B24" s="1216"/>
      <c r="C24" s="1217"/>
      <c r="D24" s="26">
        <v>0.5</v>
      </c>
      <c r="E24" s="28"/>
      <c r="F24" s="12">
        <f>IF(A24&lt;&gt;0,VLOOKUP(A24,Equipos,6,FALSE),$J$1)</f>
        <v>1812.6</v>
      </c>
      <c r="G24" s="14">
        <v>1</v>
      </c>
      <c r="H24" s="8">
        <f>IF(A24&lt;&gt;0,ROUND((F24/D24)*G24,2),$J$1)</f>
        <v>3625.2</v>
      </c>
      <c r="I24" s="69"/>
    </row>
    <row r="25" spans="1:9" x14ac:dyDescent="0.2">
      <c r="A25" s="1215" t="s">
        <v>473</v>
      </c>
      <c r="B25" s="1216"/>
      <c r="C25" s="1217"/>
      <c r="D25" s="26">
        <v>0.5</v>
      </c>
      <c r="E25" s="28"/>
      <c r="F25" s="12">
        <f t="shared" si="3"/>
        <v>2438</v>
      </c>
      <c r="G25" s="14">
        <v>1</v>
      </c>
      <c r="H25" s="8">
        <f>IF(A25&lt;&gt;0,ROUND((F25/D25)*G25,2),$J$1)</f>
        <v>4876</v>
      </c>
      <c r="I25" s="69"/>
    </row>
    <row r="26" spans="1:9" x14ac:dyDescent="0.2">
      <c r="A26" s="1215" t="s">
        <v>492</v>
      </c>
      <c r="B26" s="1216"/>
      <c r="C26" s="1217"/>
      <c r="D26" s="26">
        <v>1</v>
      </c>
      <c r="E26" s="28"/>
      <c r="F26" s="12">
        <f t="shared" si="3"/>
        <v>678400</v>
      </c>
      <c r="G26" s="14">
        <v>1</v>
      </c>
      <c r="H26" s="8">
        <f>IF(A26&lt;&gt;0,ROUND((F26/D26)/G26,2),$J$1)</f>
        <v>678400</v>
      </c>
      <c r="I26" s="69"/>
    </row>
    <row r="27" spans="1:9" x14ac:dyDescent="0.2">
      <c r="A27" s="1215" t="s">
        <v>500</v>
      </c>
      <c r="B27" s="1216"/>
      <c r="C27" s="1217"/>
      <c r="D27" s="26">
        <v>0.15</v>
      </c>
      <c r="E27" s="28"/>
      <c r="F27" s="12">
        <f t="shared" si="3"/>
        <v>265000</v>
      </c>
      <c r="G27" s="14">
        <v>1</v>
      </c>
      <c r="H27" s="8">
        <f>IF(A27&lt;&gt;0,ROUND((F27*D27)*G27,2),$J$1)</f>
        <v>39750</v>
      </c>
      <c r="I27" s="69"/>
    </row>
    <row r="28" spans="1:9" x14ac:dyDescent="0.2">
      <c r="A28" s="1215"/>
      <c r="B28" s="1216"/>
      <c r="C28" s="1217"/>
      <c r="D28" s="26"/>
      <c r="E28" s="28"/>
      <c r="F28" s="12" t="str">
        <f t="shared" si="3"/>
        <v>-</v>
      </c>
      <c r="G28" s="14"/>
      <c r="H28" s="8" t="str">
        <f>IF(A28&lt;&gt;0,ROUND((F28/D28)*G28,2),$J$1)</f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>IF(A29&lt;&gt;0,ROUND((F29/D29)*G29,2),$J$1)</f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734071.2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4">IF(A35&lt;&gt;0,VLOOKUP(A35,Transporte,2,FALSE),$J$1)</f>
        <v>-</v>
      </c>
      <c r="G35" s="12"/>
      <c r="H35" s="8" t="str">
        <f t="shared" ref="H35:H40" si="5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4"/>
        <v>-</v>
      </c>
      <c r="G36" s="12"/>
      <c r="H36" s="8" t="str">
        <f t="shared" si="5"/>
        <v>-</v>
      </c>
      <c r="I36" s="344"/>
    </row>
    <row r="37" spans="1:9" x14ac:dyDescent="0.2">
      <c r="A37" s="1215"/>
      <c r="B37" s="1216"/>
      <c r="C37" s="1217"/>
      <c r="D37" s="46"/>
      <c r="E37" s="47"/>
      <c r="F37" s="15" t="str">
        <f t="shared" si="4"/>
        <v>-</v>
      </c>
      <c r="G37" s="12"/>
      <c r="H37" s="8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4"/>
        <v>-</v>
      </c>
      <c r="G39" s="12"/>
      <c r="H39" s="8" t="str">
        <f t="shared" si="5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4"/>
        <v>-</v>
      </c>
      <c r="G40" s="12"/>
      <c r="H40" s="8" t="str">
        <f t="shared" si="5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0.2</v>
      </c>
      <c r="G45" s="1222"/>
      <c r="H45" s="8">
        <f>IF(A45&lt;&gt;0,ROUND(D45/F45,2),$J$1)</f>
        <v>2160479.2000000002</v>
      </c>
      <c r="I45" s="69"/>
    </row>
    <row r="46" spans="1:9" x14ac:dyDescent="0.2">
      <c r="A46" s="1215" t="s">
        <v>51</v>
      </c>
      <c r="B46" s="1216"/>
      <c r="C46" s="1217"/>
      <c r="D46" s="1225">
        <f>IF(A46&lt;&gt;0,VLOOKUP(A46,Cuadrillas,7,FALSE),$J$1)</f>
        <v>418739.68</v>
      </c>
      <c r="E46" s="1226"/>
      <c r="F46" s="1221">
        <v>0.25</v>
      </c>
      <c r="G46" s="1222"/>
      <c r="H46" s="8">
        <f>IF(A46&lt;&gt;0,ROUND(D46/F46,2),$J$1)</f>
        <v>1674958.72</v>
      </c>
      <c r="I46" s="69"/>
    </row>
    <row r="47" spans="1:9" x14ac:dyDescent="0.2">
      <c r="A47" s="1215" t="s">
        <v>39</v>
      </c>
      <c r="B47" s="1216"/>
      <c r="C47" s="1217"/>
      <c r="D47" s="1225">
        <f>IF(A47&lt;&gt;0,VLOOKUP(A47,Cuadrillas,7,FALSE),$J$1)</f>
        <v>154270.22</v>
      </c>
      <c r="E47" s="1226"/>
      <c r="F47" s="1221">
        <v>0.15</v>
      </c>
      <c r="G47" s="1222"/>
      <c r="H47" s="8">
        <f>IF(A47&lt;&gt;0,ROUND(D47/F47,2),$J$1)</f>
        <v>1028468.13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4863906.05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4863906.05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1309" t="e">
        <f>I52+I53</f>
        <v>#REF!</v>
      </c>
      <c r="I54" s="1310"/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H54*D55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H54+F55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2" orientation="portrait" blackAndWhite="1" errors="blank" r:id="rId1"/>
      <headerFooter alignWithMargins="0">
        <oddFooter xml:space="preserve">&amp;C  </oddFooter>
      </headerFooter>
    </customSheetView>
  </customSheetViews>
  <mergeCells count="57">
    <mergeCell ref="A56:G56"/>
    <mergeCell ref="H56:I56"/>
    <mergeCell ref="A53:H53"/>
    <mergeCell ref="A54:G54"/>
    <mergeCell ref="H54:I54"/>
    <mergeCell ref="A55:C55"/>
    <mergeCell ref="D55:E55"/>
    <mergeCell ref="F55:I55"/>
    <mergeCell ref="A52:H52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H50"/>
    <mergeCell ref="A51:I51"/>
    <mergeCell ref="A45:C45"/>
    <mergeCell ref="D45:E45"/>
    <mergeCell ref="F45:G45"/>
    <mergeCell ref="A46:C46"/>
    <mergeCell ref="D46:E46"/>
    <mergeCell ref="F46:G46"/>
    <mergeCell ref="A40:C40"/>
    <mergeCell ref="A41:H41"/>
    <mergeCell ref="A42:I42"/>
    <mergeCell ref="A43:I43"/>
    <mergeCell ref="A44:C44"/>
    <mergeCell ref="D44:E44"/>
    <mergeCell ref="F44:G44"/>
    <mergeCell ref="A39:C39"/>
    <mergeCell ref="A23:C23"/>
    <mergeCell ref="A24:C24"/>
    <mergeCell ref="A25:C25"/>
    <mergeCell ref="A26:C26"/>
    <mergeCell ref="A27:C27"/>
    <mergeCell ref="A28:C28"/>
    <mergeCell ref="B34:C34"/>
    <mergeCell ref="A35:C35"/>
    <mergeCell ref="A36:C36"/>
    <mergeCell ref="A37:C37"/>
    <mergeCell ref="B38:C38"/>
    <mergeCell ref="A16:C16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14:C14"/>
    <mergeCell ref="A15:C1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9:C29 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7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2" orientation="portrait" blackAndWhite="1" errors="blank" r:id="rId2"/>
  <headerFooter alignWithMargins="0">
    <oddFooter xml:space="preserve">&amp;C  </oddFooter>
  </headerFooter>
  <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74FCFC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10.140625" style="1" bestFit="1" customWidth="1"/>
    <col min="6" max="6" width="12.5703125" style="1" customWidth="1"/>
    <col min="7" max="7" width="12.7109375" style="1" customWidth="1"/>
    <col min="8" max="8" width="15.7109375" style="1" customWidth="1"/>
    <col min="9" max="9" width="17.140625" style="1" bestFit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6</v>
      </c>
      <c r="F8" s="21" t="e">
        <f t="shared" ref="F8:F16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122</v>
      </c>
      <c r="B9" s="1216"/>
      <c r="C9" s="1217"/>
      <c r="D9" s="851" t="e">
        <f t="shared" si="0"/>
        <v>#REF!</v>
      </c>
      <c r="E9" s="194">
        <v>1000</v>
      </c>
      <c r="F9" s="21" t="e">
        <f t="shared" si="1"/>
        <v>#REF!</v>
      </c>
      <c r="G9" s="22"/>
      <c r="H9" s="508" t="e">
        <f t="shared" si="2"/>
        <v>#REF!</v>
      </c>
      <c r="I9" s="69"/>
    </row>
    <row r="10" spans="1:10" x14ac:dyDescent="0.2">
      <c r="A10" s="1215" t="s">
        <v>228</v>
      </c>
      <c r="B10" s="1216"/>
      <c r="C10" s="1217"/>
      <c r="D10" s="851" t="e">
        <f t="shared" si="0"/>
        <v>#REF!</v>
      </c>
      <c r="E10" s="13">
        <v>2.1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149</v>
      </c>
      <c r="B11" s="1216"/>
      <c r="C11" s="1217"/>
      <c r="D11" s="851" t="e">
        <f t="shared" si="0"/>
        <v>#REF!</v>
      </c>
      <c r="E11" s="12">
        <v>12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2320</v>
      </c>
      <c r="B12" s="1216"/>
      <c r="C12" s="1217"/>
      <c r="D12" s="851" t="e">
        <f t="shared" si="0"/>
        <v>#REF!</v>
      </c>
      <c r="E12" s="12">
        <v>0.1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/>
      <c r="B13" s="1216"/>
      <c r="C13" s="1217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1215"/>
      <c r="B14" s="1216"/>
      <c r="C14" s="1217"/>
      <c r="D14" s="851" t="str">
        <f t="shared" si="0"/>
        <v>-</v>
      </c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1215"/>
      <c r="B15" s="1216"/>
      <c r="C15" s="1217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1086"/>
      <c r="B16" s="1087"/>
      <c r="C16" s="1119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0.5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>IF(A23&lt;&gt;0,ROUND((F23/D23)*G23,2),$J$1)</f>
        <v>7420</v>
      </c>
      <c r="I23" s="69"/>
    </row>
    <row r="24" spans="1:9" x14ac:dyDescent="0.2">
      <c r="A24" s="1215" t="s">
        <v>484</v>
      </c>
      <c r="B24" s="1216"/>
      <c r="C24" s="1217"/>
      <c r="D24" s="26">
        <v>0.5</v>
      </c>
      <c r="E24" s="28"/>
      <c r="F24" s="12">
        <f>IF(A24&lt;&gt;0,VLOOKUP(A24,Equipos,6,FALSE),$J$1)</f>
        <v>1812.6</v>
      </c>
      <c r="G24" s="14">
        <v>1</v>
      </c>
      <c r="H24" s="8">
        <f>IF(A24&lt;&gt;0,ROUND((F24/D24)*G24,2),$J$1)</f>
        <v>3625.2</v>
      </c>
      <c r="I24" s="69"/>
    </row>
    <row r="25" spans="1:9" x14ac:dyDescent="0.2">
      <c r="A25" s="1215" t="s">
        <v>473</v>
      </c>
      <c r="B25" s="1216"/>
      <c r="C25" s="1217"/>
      <c r="D25" s="26">
        <v>0.5</v>
      </c>
      <c r="E25" s="28"/>
      <c r="F25" s="12">
        <f t="shared" si="3"/>
        <v>2438</v>
      </c>
      <c r="G25" s="14">
        <v>1</v>
      </c>
      <c r="H25" s="8">
        <f>IF(A25&lt;&gt;0,ROUND((F25/D25)*G25,2),$J$1)</f>
        <v>4876</v>
      </c>
      <c r="I25" s="69"/>
    </row>
    <row r="26" spans="1:9" x14ac:dyDescent="0.2">
      <c r="A26" s="1215" t="s">
        <v>492</v>
      </c>
      <c r="B26" s="1216"/>
      <c r="C26" s="1217"/>
      <c r="D26" s="26">
        <v>1</v>
      </c>
      <c r="E26" s="28"/>
      <c r="F26" s="12">
        <f t="shared" si="3"/>
        <v>678400</v>
      </c>
      <c r="G26" s="14">
        <v>1</v>
      </c>
      <c r="H26" s="8">
        <f>IF(A26&lt;&gt;0,ROUND((F26/D26)/G26,2),$J$1)</f>
        <v>678400</v>
      </c>
      <c r="I26" s="69"/>
    </row>
    <row r="27" spans="1:9" x14ac:dyDescent="0.2">
      <c r="A27" s="1215" t="s">
        <v>500</v>
      </c>
      <c r="B27" s="1216"/>
      <c r="C27" s="1217"/>
      <c r="D27" s="26">
        <v>0.15</v>
      </c>
      <c r="E27" s="28"/>
      <c r="F27" s="12">
        <f t="shared" si="3"/>
        <v>265000</v>
      </c>
      <c r="G27" s="14">
        <v>1</v>
      </c>
      <c r="H27" s="8">
        <f>IF(A27&lt;&gt;0,ROUND((F27*D27)*G27,2),$J$1)</f>
        <v>39750</v>
      </c>
      <c r="I27" s="69"/>
    </row>
    <row r="28" spans="1:9" x14ac:dyDescent="0.2">
      <c r="A28" s="1215"/>
      <c r="B28" s="1216"/>
      <c r="C28" s="1217"/>
      <c r="D28" s="26"/>
      <c r="E28" s="28"/>
      <c r="F28" s="12" t="str">
        <f t="shared" si="3"/>
        <v>-</v>
      </c>
      <c r="G28" s="14"/>
      <c r="H28" s="8" t="str">
        <f>IF(A28&lt;&gt;0,ROUND((F28/D28)*G28,2),$J$1)</f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>IF(A29&lt;&gt;0,ROUND((F29/D29)*G29,2),$J$1)</f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734071.2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4">IF(A35&lt;&gt;0,VLOOKUP(A35,Transporte,2,FALSE),$J$1)</f>
        <v>-</v>
      </c>
      <c r="G35" s="12"/>
      <c r="H35" s="8" t="str">
        <f t="shared" ref="H35:H40" si="5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4"/>
        <v>-</v>
      </c>
      <c r="G36" s="12"/>
      <c r="H36" s="8" t="str">
        <f t="shared" si="5"/>
        <v>-</v>
      </c>
      <c r="I36" s="344"/>
    </row>
    <row r="37" spans="1:9" x14ac:dyDescent="0.2">
      <c r="A37" s="1215"/>
      <c r="B37" s="1216"/>
      <c r="C37" s="1217"/>
      <c r="D37" s="46"/>
      <c r="E37" s="47"/>
      <c r="F37" s="15" t="str">
        <f t="shared" si="4"/>
        <v>-</v>
      </c>
      <c r="G37" s="12"/>
      <c r="H37" s="8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4"/>
        <v>-</v>
      </c>
      <c r="G39" s="12"/>
      <c r="H39" s="8" t="str">
        <f t="shared" si="5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4"/>
        <v>-</v>
      </c>
      <c r="G40" s="12"/>
      <c r="H40" s="8" t="str">
        <f t="shared" si="5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0.2</v>
      </c>
      <c r="G45" s="1222"/>
      <c r="H45" s="8">
        <f>IF(A45&lt;&gt;0,ROUND(D45/F45,2),$J$1)</f>
        <v>2160479.2000000002</v>
      </c>
      <c r="I45" s="69"/>
    </row>
    <row r="46" spans="1:9" x14ac:dyDescent="0.2">
      <c r="A46" s="1215" t="s">
        <v>51</v>
      </c>
      <c r="B46" s="1216"/>
      <c r="C46" s="1217"/>
      <c r="D46" s="1225">
        <f>IF(A46&lt;&gt;0,VLOOKUP(A46,Cuadrillas,7,FALSE),$J$1)</f>
        <v>418739.68</v>
      </c>
      <c r="E46" s="1226"/>
      <c r="F46" s="1221">
        <v>0.25</v>
      </c>
      <c r="G46" s="1222"/>
      <c r="H46" s="8">
        <f>IF(A46&lt;&gt;0,ROUND(D46/F46,2),$J$1)</f>
        <v>1674958.72</v>
      </c>
      <c r="I46" s="69"/>
    </row>
    <row r="47" spans="1:9" x14ac:dyDescent="0.2">
      <c r="A47" s="1215" t="s">
        <v>39</v>
      </c>
      <c r="B47" s="1216"/>
      <c r="C47" s="1217"/>
      <c r="D47" s="1225">
        <f>IF(A47&lt;&gt;0,VLOOKUP(A47,Cuadrillas,7,FALSE),$J$1)</f>
        <v>154270.22</v>
      </c>
      <c r="E47" s="1226"/>
      <c r="F47" s="1221">
        <v>0.15</v>
      </c>
      <c r="G47" s="1222"/>
      <c r="H47" s="8">
        <f>IF(A47&lt;&gt;0,ROUND(D47/F47,2),$J$1)</f>
        <v>1028468.13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4863906.05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4863906.05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1309" t="e">
        <f>I52+I53</f>
        <v>#REF!</v>
      </c>
      <c r="I54" s="1310"/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H54*D55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H54+F55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3" orientation="portrait" blackAndWhite="1" errors="blank" r:id="rId1"/>
      <headerFooter alignWithMargins="0">
        <oddFooter xml:space="preserve">&amp;C  </oddFooter>
      </headerFooter>
    </customSheetView>
  </customSheetViews>
  <mergeCells count="57">
    <mergeCell ref="H54:I54"/>
    <mergeCell ref="D45:E45"/>
    <mergeCell ref="A44:C44"/>
    <mergeCell ref="H56:I56"/>
    <mergeCell ref="F47:G47"/>
    <mergeCell ref="A49:C49"/>
    <mergeCell ref="A52:H52"/>
    <mergeCell ref="A51:I51"/>
    <mergeCell ref="A50:H50"/>
    <mergeCell ref="A54:G54"/>
    <mergeCell ref="F49:G49"/>
    <mergeCell ref="A55:C55"/>
    <mergeCell ref="D55:E55"/>
    <mergeCell ref="A56:G56"/>
    <mergeCell ref="F55:I55"/>
    <mergeCell ref="A53:H53"/>
    <mergeCell ref="D49:E49"/>
    <mergeCell ref="A39:C39"/>
    <mergeCell ref="A40:C40"/>
    <mergeCell ref="A1:C1"/>
    <mergeCell ref="D46:E46"/>
    <mergeCell ref="B34:C34"/>
    <mergeCell ref="B38:C38"/>
    <mergeCell ref="A26:C26"/>
    <mergeCell ref="A27:C27"/>
    <mergeCell ref="A28:C28"/>
    <mergeCell ref="A36:C36"/>
    <mergeCell ref="A37:C37"/>
    <mergeCell ref="A46:C46"/>
    <mergeCell ref="A35:C35"/>
    <mergeCell ref="C5:I5"/>
    <mergeCell ref="A8:C8"/>
    <mergeCell ref="D44:E44"/>
    <mergeCell ref="A24:C24"/>
    <mergeCell ref="A25:C25"/>
    <mergeCell ref="A11:C11"/>
    <mergeCell ref="A12:C12"/>
    <mergeCell ref="A13:C13"/>
    <mergeCell ref="A14:C14"/>
    <mergeCell ref="A16:C16"/>
    <mergeCell ref="A15:C15"/>
    <mergeCell ref="H1:I1"/>
    <mergeCell ref="A48:C48"/>
    <mergeCell ref="F48:G48"/>
    <mergeCell ref="A43:I43"/>
    <mergeCell ref="F46:G46"/>
    <mergeCell ref="D47:E47"/>
    <mergeCell ref="D48:E48"/>
    <mergeCell ref="A47:C47"/>
    <mergeCell ref="F45:G45"/>
    <mergeCell ref="F44:G44"/>
    <mergeCell ref="A23:C23"/>
    <mergeCell ref="A9:C9"/>
    <mergeCell ref="A41:H41"/>
    <mergeCell ref="A42:I42"/>
    <mergeCell ref="A45:C45"/>
    <mergeCell ref="A10:C10"/>
  </mergeCells>
  <phoneticPr fontId="0" type="noConversion"/>
  <dataValidations disablePrompts="1" count="5">
    <dataValidation type="list" allowBlank="1" showInputMessage="1" showErrorMessage="1" sqref="A9:A18 B17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9:C29 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3" orientation="portrait" blackAndWhite="1" errors="blank" r:id="rId2"/>
  <headerFooter alignWithMargins="0">
    <oddFooter xml:space="preserve">&amp;C  </oddFooter>
  </headerFooter>
  <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7">
    <tabColor rgb="FFC00000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123</v>
      </c>
      <c r="B8" s="1216"/>
      <c r="C8" s="1217"/>
      <c r="D8" s="851" t="e">
        <f t="shared" ref="D8:D18" si="0">IF(A8&lt;&gt;0,VLOOKUP(A8,Materiales,2,FALSE),$J$1)</f>
        <v>#REF!</v>
      </c>
      <c r="E8" s="12">
        <v>1.01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145</v>
      </c>
      <c r="B9" s="1216"/>
      <c r="C9" s="1217"/>
      <c r="D9" s="851" t="e">
        <f t="shared" si="0"/>
        <v>#REF!</v>
      </c>
      <c r="E9" s="13">
        <v>3.0000000000000001E-3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180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20.61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20.61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1200</v>
      </c>
      <c r="G45" s="1222"/>
      <c r="H45" s="8">
        <f>IF(A45&lt;&gt;0,ROUND(D45/F45,2),$J$1)</f>
        <v>360.08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360.08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360.08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/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3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5:C45"/>
    <mergeCell ref="D45:E45"/>
    <mergeCell ref="F45:G45"/>
    <mergeCell ref="A23:C23"/>
    <mergeCell ref="A24:C24"/>
    <mergeCell ref="A25:C25"/>
    <mergeCell ref="B34:C34"/>
    <mergeCell ref="B38:C38"/>
    <mergeCell ref="A41:H41"/>
    <mergeCell ref="A42:I42"/>
    <mergeCell ref="A43:I43"/>
    <mergeCell ref="A44:C44"/>
    <mergeCell ref="D44:E44"/>
    <mergeCell ref="F44:G44"/>
    <mergeCell ref="A10:C10"/>
    <mergeCell ref="A1:C1"/>
    <mergeCell ref="H1:I1"/>
    <mergeCell ref="C5:I5"/>
    <mergeCell ref="A8:C8"/>
    <mergeCell ref="A9:C9"/>
    <mergeCell ref="A4:E4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6:C29 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1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FFFF00"/>
    <pageSetUpPr fitToPage="1"/>
  </sheetPr>
  <dimension ref="A1:R56"/>
  <sheetViews>
    <sheetView view="pageBreakPreview" zoomScaleNormal="100" zoomScaleSheetLayoutView="100" workbookViewId="0">
      <selection activeCell="L16" sqref="L16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5.7109375" style="1" customWidth="1"/>
    <col min="9" max="9" width="18.42578125" style="1" customWidth="1"/>
    <col min="10" max="16384" width="9.140625" style="1"/>
  </cols>
  <sheetData>
    <row r="1" spans="1:18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2344</v>
      </c>
      <c r="I1" s="1130"/>
      <c r="J1" s="34" t="s">
        <v>2212</v>
      </c>
    </row>
    <row r="2" spans="1:18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8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8" s="10" customFormat="1" ht="42.7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  <c r="J4" s="796"/>
      <c r="K4" s="796"/>
      <c r="L4" s="796"/>
      <c r="M4" s="796"/>
      <c r="N4" s="796"/>
      <c r="O4" s="796"/>
      <c r="P4" s="796"/>
      <c r="Q4" s="796"/>
      <c r="R4" s="796"/>
    </row>
    <row r="5" spans="1:18" x14ac:dyDescent="0.2">
      <c r="A5" s="246" t="s">
        <v>2213</v>
      </c>
      <c r="B5" s="280" t="e">
        <f>+OBRA!#REF!</f>
        <v>#REF!</v>
      </c>
      <c r="C5" s="1227" t="e">
        <f>+OBRA!#REF!</f>
        <v>#REF!</v>
      </c>
      <c r="D5" s="1227"/>
      <c r="E5" s="1227"/>
      <c r="F5" s="1227"/>
      <c r="G5" s="1227"/>
      <c r="H5" s="1227"/>
      <c r="I5" s="1228"/>
      <c r="J5" s="797"/>
      <c r="K5" s="797"/>
      <c r="L5" s="797"/>
      <c r="M5" s="797"/>
      <c r="N5" s="797"/>
      <c r="O5" s="797"/>
      <c r="P5" s="797"/>
      <c r="Q5" s="797"/>
      <c r="R5" s="797"/>
    </row>
    <row r="6" spans="1:18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+OBRA!#REF!</f>
        <v>#REF!</v>
      </c>
      <c r="J6" s="797"/>
      <c r="K6" s="797"/>
      <c r="L6" s="797"/>
      <c r="M6" s="797"/>
      <c r="N6" s="797"/>
      <c r="O6" s="797"/>
      <c r="P6" s="797"/>
      <c r="Q6" s="797"/>
      <c r="R6" s="797"/>
    </row>
    <row r="7" spans="1:18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  <c r="J7" s="798"/>
      <c r="K7" s="798"/>
      <c r="L7" s="798"/>
      <c r="M7" s="798"/>
      <c r="N7" s="798"/>
      <c r="O7" s="798"/>
      <c r="P7" s="798"/>
      <c r="Q7" s="798"/>
      <c r="R7" s="798"/>
    </row>
    <row r="8" spans="1:18" x14ac:dyDescent="0.2">
      <c r="A8" s="1215" t="s">
        <v>230</v>
      </c>
      <c r="B8" s="1216"/>
      <c r="C8" s="1217"/>
      <c r="D8" s="851" t="e">
        <f t="shared" ref="D8:D12" si="0">IF(A8&lt;&gt;0,VLOOKUP(A8,Materiales,2,FALSE),$J$1)</f>
        <v>#REF!</v>
      </c>
      <c r="E8" s="12">
        <f>11.9+1.54+0.45</f>
        <v>13.89</v>
      </c>
      <c r="F8" s="21" t="e">
        <f>IF(A8&lt;&gt;0,VLOOKUP(A8,Materiales,6,FALSE),$J$1)</f>
        <v>#REF!</v>
      </c>
      <c r="G8" s="22"/>
      <c r="H8" s="8" t="e">
        <f t="shared" ref="H8:H12" si="1">IF(A8&lt;&gt;0,ROUND(E8*F8,2),$J$1)</f>
        <v>#REF!</v>
      </c>
      <c r="I8" s="69"/>
      <c r="J8" s="797"/>
      <c r="K8" s="800" t="s">
        <v>2347</v>
      </c>
      <c r="L8" s="801">
        <v>8.25</v>
      </c>
      <c r="M8" s="797"/>
      <c r="N8" s="797"/>
      <c r="O8" s="797"/>
      <c r="P8" s="797"/>
      <c r="Q8" s="797"/>
      <c r="R8" s="797"/>
    </row>
    <row r="9" spans="1:18" x14ac:dyDescent="0.2">
      <c r="A9" s="1215" t="s">
        <v>453</v>
      </c>
      <c r="B9" s="1216"/>
      <c r="C9" s="1217"/>
      <c r="D9" s="851" t="e">
        <f t="shared" si="0"/>
        <v>#REF!</v>
      </c>
      <c r="E9" s="13">
        <v>803.58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  <c r="J9" s="797"/>
      <c r="K9" s="797"/>
      <c r="L9" s="797"/>
      <c r="M9" s="797"/>
      <c r="N9" s="797"/>
      <c r="O9" s="797"/>
      <c r="P9" s="797"/>
      <c r="Q9" s="797"/>
      <c r="R9" s="797"/>
    </row>
    <row r="10" spans="1:18" x14ac:dyDescent="0.2">
      <c r="A10" s="1215" t="s">
        <v>364</v>
      </c>
      <c r="B10" s="1216"/>
      <c r="C10" s="1217"/>
      <c r="D10" s="851" t="e">
        <f t="shared" si="0"/>
        <v>#REF!</v>
      </c>
      <c r="E10" s="12">
        <v>58</v>
      </c>
      <c r="F10" s="21" t="e">
        <f>IF(A10&lt;&gt;0,VLOOKUP(A10,Materiales,6,FALSE),$J$1)</f>
        <v>#REF!</v>
      </c>
      <c r="G10" s="22"/>
      <c r="H10" s="8" t="e">
        <f t="shared" si="1"/>
        <v>#REF!</v>
      </c>
      <c r="I10" s="69"/>
      <c r="J10" s="797"/>
      <c r="K10" s="797"/>
      <c r="L10" s="797"/>
      <c r="M10" s="797"/>
      <c r="N10" s="797"/>
      <c r="O10" s="797"/>
      <c r="P10" s="797"/>
      <c r="Q10" s="797"/>
      <c r="R10" s="797"/>
    </row>
    <row r="11" spans="1:18" x14ac:dyDescent="0.2">
      <c r="A11" s="1215" t="s">
        <v>275</v>
      </c>
      <c r="B11" s="1216"/>
      <c r="C11" s="1217"/>
      <c r="D11" s="851" t="e">
        <f t="shared" si="0"/>
        <v>#REF!</v>
      </c>
      <c r="E11" s="12">
        <v>42</v>
      </c>
      <c r="F11" s="21" t="e">
        <f>IF(A11&lt;&gt;0,VLOOKUP(A11,Materiales,6,FALSE),$J$1)</f>
        <v>#REF!</v>
      </c>
      <c r="G11" s="22"/>
      <c r="H11" s="8" t="e">
        <f t="shared" si="1"/>
        <v>#REF!</v>
      </c>
      <c r="I11" s="69"/>
      <c r="J11" s="797"/>
      <c r="K11" s="797"/>
      <c r="L11" s="797"/>
      <c r="M11" s="797"/>
      <c r="N11" s="797"/>
      <c r="O11" s="797"/>
      <c r="P11" s="797"/>
      <c r="Q11" s="797"/>
      <c r="R11" s="797"/>
    </row>
    <row r="12" spans="1:18" x14ac:dyDescent="0.2">
      <c r="A12" s="1215" t="s">
        <v>330</v>
      </c>
      <c r="B12" s="1216"/>
      <c r="C12" s="1217"/>
      <c r="D12" s="851" t="e">
        <f t="shared" si="0"/>
        <v>#REF!</v>
      </c>
      <c r="E12" s="12">
        <v>20</v>
      </c>
      <c r="F12" s="21" t="e">
        <f>IF(A12&lt;&gt;0,VLOOKUP(A12,Materiales,6,FALSE),$J$1)</f>
        <v>#REF!</v>
      </c>
      <c r="G12" s="22"/>
      <c r="H12" s="8" t="e">
        <f t="shared" si="1"/>
        <v>#REF!</v>
      </c>
      <c r="I12" s="69"/>
      <c r="J12" s="797"/>
      <c r="K12" s="797"/>
      <c r="L12" s="797"/>
      <c r="M12" s="797"/>
      <c r="N12" s="797"/>
      <c r="O12" s="797"/>
      <c r="P12" s="797"/>
      <c r="Q12" s="797"/>
      <c r="R12" s="797"/>
    </row>
    <row r="13" spans="1:18" x14ac:dyDescent="0.2">
      <c r="A13" s="871"/>
      <c r="B13" s="872"/>
      <c r="C13" s="873"/>
      <c r="D13" s="851"/>
      <c r="E13" s="12"/>
      <c r="F13" s="21"/>
      <c r="G13" s="22"/>
      <c r="H13" s="8"/>
      <c r="I13" s="69"/>
      <c r="J13" s="797"/>
      <c r="K13" s="797"/>
      <c r="L13" s="797"/>
      <c r="M13" s="797"/>
      <c r="N13" s="797"/>
      <c r="O13" s="797"/>
      <c r="P13" s="797"/>
      <c r="Q13" s="797"/>
      <c r="R13" s="797"/>
    </row>
    <row r="14" spans="1:18" x14ac:dyDescent="0.2">
      <c r="A14" s="871"/>
      <c r="B14" s="872"/>
      <c r="C14" s="873"/>
      <c r="D14" s="851"/>
      <c r="E14" s="12"/>
      <c r="F14" s="21"/>
      <c r="G14" s="22"/>
      <c r="H14" s="8"/>
      <c r="I14" s="69"/>
      <c r="J14" s="797"/>
      <c r="K14" s="797"/>
      <c r="L14" s="797"/>
      <c r="M14" s="797"/>
      <c r="N14" s="797"/>
      <c r="O14" s="797"/>
      <c r="P14" s="797"/>
      <c r="Q14" s="797"/>
      <c r="R14" s="797"/>
    </row>
    <row r="15" spans="1:18" x14ac:dyDescent="0.2">
      <c r="A15" s="871"/>
      <c r="B15" s="872"/>
      <c r="C15" s="873"/>
      <c r="D15" s="851"/>
      <c r="E15" s="12"/>
      <c r="F15" s="21"/>
      <c r="G15" s="22"/>
      <c r="H15" s="8"/>
      <c r="I15" s="69"/>
      <c r="J15" s="797"/>
      <c r="K15" s="797"/>
      <c r="L15" s="797"/>
      <c r="M15" s="797"/>
      <c r="N15" s="797"/>
      <c r="O15" s="797"/>
      <c r="P15" s="797"/>
      <c r="Q15" s="797"/>
      <c r="R15" s="797"/>
    </row>
    <row r="16" spans="1:18" x14ac:dyDescent="0.2">
      <c r="A16" s="871"/>
      <c r="B16" s="872"/>
      <c r="C16" s="873"/>
      <c r="D16" s="851"/>
      <c r="E16" s="12"/>
      <c r="F16" s="21"/>
      <c r="G16" s="22"/>
      <c r="H16" s="8"/>
      <c r="I16" s="69"/>
      <c r="J16" s="797"/>
      <c r="K16" s="797"/>
      <c r="L16" s="797"/>
      <c r="M16" s="797"/>
      <c r="N16" s="797"/>
      <c r="O16" s="797"/>
      <c r="P16" s="797"/>
      <c r="Q16" s="797"/>
      <c r="R16" s="797"/>
    </row>
    <row r="17" spans="1:18" x14ac:dyDescent="0.2">
      <c r="A17" s="871"/>
      <c r="B17" s="872"/>
      <c r="C17" s="873"/>
      <c r="D17" s="851"/>
      <c r="E17" s="12"/>
      <c r="F17" s="21"/>
      <c r="G17" s="22"/>
      <c r="H17" s="8"/>
      <c r="I17" s="73"/>
      <c r="J17" s="797"/>
      <c r="K17" s="797"/>
      <c r="L17" s="797"/>
      <c r="M17" s="797"/>
      <c r="N17" s="797"/>
      <c r="O17" s="797"/>
      <c r="P17" s="797"/>
      <c r="Q17" s="797"/>
      <c r="R17" s="797"/>
    </row>
    <row r="18" spans="1:18" x14ac:dyDescent="0.2">
      <c r="A18" s="850" t="s">
        <v>2217</v>
      </c>
      <c r="B18" s="872"/>
      <c r="C18" s="872"/>
      <c r="D18" s="872"/>
      <c r="E18" s="872"/>
      <c r="F18" s="872"/>
      <c r="G18" s="872"/>
      <c r="H18" s="873"/>
      <c r="I18" s="241" t="e">
        <f>SUM(H8:H17)</f>
        <v>#REF!</v>
      </c>
      <c r="J18" s="797"/>
      <c r="K18" s="797"/>
      <c r="L18" s="797"/>
      <c r="M18" s="797"/>
      <c r="N18" s="797"/>
      <c r="O18" s="797"/>
      <c r="P18" s="797"/>
      <c r="Q18" s="797"/>
      <c r="R18" s="797"/>
    </row>
    <row r="19" spans="1:18" x14ac:dyDescent="0.2">
      <c r="A19" s="76"/>
      <c r="B19" s="27"/>
      <c r="C19" s="27"/>
      <c r="D19" s="27"/>
      <c r="E19" s="27"/>
      <c r="F19" s="27"/>
      <c r="G19" s="27"/>
      <c r="H19" s="27"/>
      <c r="I19" s="64"/>
      <c r="J19" s="797"/>
      <c r="K19" s="797"/>
      <c r="L19" s="797"/>
      <c r="M19" s="797"/>
      <c r="N19" s="797"/>
      <c r="O19" s="797" t="s">
        <v>2270</v>
      </c>
      <c r="P19" s="797"/>
      <c r="Q19" s="797"/>
      <c r="R19" s="797"/>
    </row>
    <row r="20" spans="1:18" x14ac:dyDescent="0.2">
      <c r="A20" s="875" t="s">
        <v>454</v>
      </c>
      <c r="B20" s="876"/>
      <c r="C20" s="876"/>
      <c r="D20" s="876"/>
      <c r="E20" s="876"/>
      <c r="F20" s="876"/>
      <c r="G20" s="876"/>
      <c r="H20" s="876"/>
      <c r="I20" s="877"/>
      <c r="J20" s="797"/>
      <c r="K20" s="797"/>
      <c r="L20" s="797"/>
      <c r="M20" s="797"/>
      <c r="N20" s="797"/>
      <c r="O20" s="797"/>
      <c r="P20" s="797"/>
      <c r="Q20" s="797"/>
      <c r="R20" s="797"/>
    </row>
    <row r="21" spans="1:18" s="9" customFormat="1" ht="25.5" x14ac:dyDescent="0.2">
      <c r="A21" s="255" t="s">
        <v>26</v>
      </c>
      <c r="B21" s="256"/>
      <c r="C21" s="254"/>
      <c r="D21" s="253" t="s">
        <v>2218</v>
      </c>
      <c r="E21" s="254"/>
      <c r="F21" s="235" t="s">
        <v>2219</v>
      </c>
      <c r="G21" s="881" t="s">
        <v>2220</v>
      </c>
      <c r="H21" s="257" t="s">
        <v>2216</v>
      </c>
      <c r="I21" s="72"/>
      <c r="J21" s="799"/>
      <c r="K21" s="799"/>
      <c r="L21" s="799"/>
      <c r="M21" s="799"/>
      <c r="N21" s="799"/>
      <c r="O21" s="799"/>
      <c r="P21" s="799"/>
      <c r="Q21" s="799"/>
      <c r="R21" s="799"/>
    </row>
    <row r="22" spans="1:18" x14ac:dyDescent="0.2">
      <c r="A22" s="1215" t="s">
        <v>477</v>
      </c>
      <c r="B22" s="1216"/>
      <c r="C22" s="1217"/>
      <c r="D22" s="26">
        <v>0.3</v>
      </c>
      <c r="E22" s="28"/>
      <c r="F22" s="12">
        <f t="shared" ref="F22:F24" si="2">IF(A22&lt;&gt;0,VLOOKUP(A22,Equipos,6,FALSE),$J$1)</f>
        <v>3710</v>
      </c>
      <c r="G22" s="14">
        <v>0.05</v>
      </c>
      <c r="H22" s="8">
        <f t="shared" ref="H22:H24" si="3">IF(A22&lt;&gt;0,ROUND((F22/D22)*G22,2),$J$1)</f>
        <v>618.33000000000004</v>
      </c>
      <c r="I22" s="69"/>
      <c r="J22" s="797"/>
      <c r="K22" s="797"/>
      <c r="L22" s="797"/>
      <c r="M22" s="797"/>
      <c r="N22" s="797"/>
      <c r="O22" s="797"/>
      <c r="P22" s="797"/>
      <c r="Q22" s="797"/>
      <c r="R22" s="797"/>
    </row>
    <row r="23" spans="1:18" x14ac:dyDescent="0.2">
      <c r="A23" s="1215" t="s">
        <v>498</v>
      </c>
      <c r="B23" s="1216"/>
      <c r="C23" s="1217"/>
      <c r="D23" s="26">
        <v>0.5</v>
      </c>
      <c r="E23" s="28"/>
      <c r="F23" s="12">
        <f t="shared" si="2"/>
        <v>39135.199999999997</v>
      </c>
      <c r="G23" s="14">
        <v>0.45</v>
      </c>
      <c r="H23" s="8">
        <f t="shared" si="3"/>
        <v>35221.68</v>
      </c>
      <c r="I23" s="69"/>
      <c r="J23" s="797"/>
      <c r="K23" s="797"/>
      <c r="L23" s="797"/>
      <c r="M23" s="797"/>
      <c r="N23" s="797"/>
      <c r="O23" s="797"/>
      <c r="P23" s="797"/>
      <c r="Q23" s="797"/>
      <c r="R23" s="797"/>
    </row>
    <row r="24" spans="1:18" x14ac:dyDescent="0.2">
      <c r="A24" s="1215" t="s">
        <v>503</v>
      </c>
      <c r="B24" s="1216"/>
      <c r="C24" s="1217"/>
      <c r="D24" s="26">
        <v>0.1</v>
      </c>
      <c r="E24" s="28"/>
      <c r="F24" s="12">
        <f t="shared" si="2"/>
        <v>3180</v>
      </c>
      <c r="G24" s="14">
        <v>0.5</v>
      </c>
      <c r="H24" s="8">
        <f t="shared" si="3"/>
        <v>15900</v>
      </c>
      <c r="I24" s="69"/>
      <c r="J24" s="797"/>
      <c r="K24" s="797"/>
      <c r="L24" s="797"/>
      <c r="M24" s="797"/>
      <c r="N24" s="797"/>
      <c r="O24" s="797"/>
      <c r="P24" s="797"/>
      <c r="Q24" s="797"/>
      <c r="R24" s="797"/>
    </row>
    <row r="25" spans="1:18" x14ac:dyDescent="0.2">
      <c r="A25" s="871"/>
      <c r="B25" s="872"/>
      <c r="C25" s="873"/>
      <c r="D25" s="26"/>
      <c r="E25" s="28"/>
      <c r="F25" s="12"/>
      <c r="G25" s="14"/>
      <c r="H25" s="8"/>
      <c r="I25" s="69"/>
      <c r="J25" s="797"/>
      <c r="K25" s="797"/>
      <c r="L25" s="797"/>
      <c r="M25" s="797"/>
      <c r="N25" s="797"/>
      <c r="O25" s="797"/>
      <c r="P25" s="797"/>
      <c r="Q25" s="797"/>
      <c r="R25" s="797"/>
    </row>
    <row r="26" spans="1:18" x14ac:dyDescent="0.2">
      <c r="A26" s="871"/>
      <c r="B26" s="872"/>
      <c r="C26" s="873"/>
      <c r="D26" s="26"/>
      <c r="E26" s="28"/>
      <c r="F26" s="12"/>
      <c r="G26" s="14"/>
      <c r="H26" s="8"/>
      <c r="I26" s="69"/>
      <c r="J26" s="797"/>
      <c r="K26" s="797"/>
      <c r="L26" s="797"/>
      <c r="M26" s="797"/>
      <c r="N26" s="797"/>
      <c r="O26" s="797"/>
      <c r="P26" s="797"/>
      <c r="Q26" s="797"/>
      <c r="R26" s="797"/>
    </row>
    <row r="27" spans="1:18" x14ac:dyDescent="0.2">
      <c r="A27" s="871"/>
      <c r="B27" s="872"/>
      <c r="C27" s="873"/>
      <c r="D27" s="26"/>
      <c r="E27" s="28"/>
      <c r="F27" s="12"/>
      <c r="G27" s="14"/>
      <c r="H27" s="8"/>
      <c r="I27" s="69"/>
      <c r="J27" s="797"/>
      <c r="K27" s="797"/>
      <c r="L27" s="797"/>
      <c r="M27" s="797"/>
      <c r="N27" s="797"/>
      <c r="O27" s="797"/>
      <c r="P27" s="797"/>
      <c r="Q27" s="797"/>
      <c r="R27" s="797"/>
    </row>
    <row r="28" spans="1:18" x14ac:dyDescent="0.2">
      <c r="A28" s="871"/>
      <c r="B28" s="872"/>
      <c r="C28" s="873"/>
      <c r="D28" s="26"/>
      <c r="E28" s="28"/>
      <c r="F28" s="12"/>
      <c r="G28" s="14"/>
      <c r="H28" s="8"/>
      <c r="I28" s="73"/>
      <c r="J28" s="797"/>
      <c r="K28" s="797"/>
      <c r="L28" s="797"/>
      <c r="M28" s="797"/>
      <c r="N28" s="797"/>
      <c r="O28" s="797"/>
      <c r="P28" s="797"/>
      <c r="Q28" s="797"/>
      <c r="R28" s="797"/>
    </row>
    <row r="29" spans="1:18" x14ac:dyDescent="0.2">
      <c r="A29" s="850" t="s">
        <v>2221</v>
      </c>
      <c r="B29" s="872"/>
      <c r="C29" s="872"/>
      <c r="D29" s="872"/>
      <c r="E29" s="872"/>
      <c r="F29" s="872"/>
      <c r="G29" s="872"/>
      <c r="H29" s="873"/>
      <c r="I29" s="241">
        <f>SUM(H22:H28)</f>
        <v>51740.01</v>
      </c>
      <c r="J29" s="797"/>
      <c r="K29" s="797"/>
      <c r="L29" s="797"/>
      <c r="M29" s="797"/>
      <c r="N29" s="797"/>
      <c r="O29" s="797"/>
      <c r="P29" s="797"/>
      <c r="Q29" s="797"/>
      <c r="R29" s="797"/>
    </row>
    <row r="30" spans="1:18" x14ac:dyDescent="0.2">
      <c r="A30" s="76"/>
      <c r="B30" s="27"/>
      <c r="C30" s="27"/>
      <c r="D30" s="27"/>
      <c r="E30" s="27"/>
      <c r="F30" s="27"/>
      <c r="G30" s="27"/>
      <c r="H30" s="27"/>
      <c r="I30" s="64"/>
      <c r="J30" s="797"/>
      <c r="K30" s="797"/>
      <c r="L30" s="797"/>
      <c r="M30" s="797"/>
      <c r="N30" s="797"/>
      <c r="O30" s="797"/>
      <c r="P30" s="797"/>
      <c r="Q30" s="797"/>
      <c r="R30" s="797"/>
    </row>
    <row r="31" spans="1:18" x14ac:dyDescent="0.2">
      <c r="A31" s="875" t="s">
        <v>2222</v>
      </c>
      <c r="B31" s="876"/>
      <c r="C31" s="876"/>
      <c r="D31" s="876"/>
      <c r="E31" s="876"/>
      <c r="F31" s="876"/>
      <c r="G31" s="876"/>
      <c r="H31" s="876"/>
      <c r="I31" s="877"/>
      <c r="J31" s="797"/>
      <c r="K31" s="797"/>
      <c r="L31" s="797"/>
      <c r="M31" s="797"/>
      <c r="N31" s="797"/>
      <c r="O31" s="797"/>
      <c r="P31" s="797"/>
      <c r="Q31" s="797"/>
      <c r="R31" s="797"/>
    </row>
    <row r="32" spans="1:18" s="9" customFormat="1" ht="25.5" x14ac:dyDescent="0.2">
      <c r="A32" s="250" t="s">
        <v>26</v>
      </c>
      <c r="B32" s="251"/>
      <c r="C32" s="252"/>
      <c r="D32" s="253" t="s">
        <v>2223</v>
      </c>
      <c r="E32" s="254"/>
      <c r="F32" s="881" t="s">
        <v>2224</v>
      </c>
      <c r="G32" s="881" t="s">
        <v>2225</v>
      </c>
      <c r="H32" s="257" t="s">
        <v>2216</v>
      </c>
      <c r="I32" s="72"/>
      <c r="J32" s="799"/>
      <c r="K32" s="799"/>
      <c r="L32" s="799"/>
      <c r="M32" s="799"/>
      <c r="N32" s="799"/>
      <c r="O32" s="799"/>
      <c r="P32" s="799"/>
      <c r="Q32" s="799"/>
      <c r="R32" s="799"/>
    </row>
    <row r="33" spans="1:18" x14ac:dyDescent="0.2">
      <c r="A33" s="890"/>
      <c r="B33" s="1105" t="s">
        <v>2226</v>
      </c>
      <c r="C33" s="1104"/>
      <c r="D33" s="46"/>
      <c r="E33" s="47"/>
      <c r="F33" s="15"/>
      <c r="G33" s="12"/>
      <c r="H33" s="8"/>
      <c r="I33" s="343"/>
      <c r="J33" s="797"/>
      <c r="K33" s="797"/>
      <c r="L33" s="797"/>
      <c r="M33" s="797"/>
      <c r="N33" s="797"/>
      <c r="O33" s="797"/>
      <c r="P33" s="797"/>
      <c r="Q33" s="797"/>
      <c r="R33" s="797"/>
    </row>
    <row r="34" spans="1:18" x14ac:dyDescent="0.2">
      <c r="A34" s="1215"/>
      <c r="B34" s="1216"/>
      <c r="C34" s="1217"/>
      <c r="D34" s="46"/>
      <c r="E34" s="47"/>
      <c r="F34" s="15"/>
      <c r="G34" s="12"/>
      <c r="H34" s="8"/>
      <c r="I34" s="344"/>
      <c r="J34" s="797"/>
      <c r="K34" s="797"/>
      <c r="L34" s="797"/>
      <c r="M34" s="797"/>
      <c r="N34" s="797"/>
      <c r="O34" s="797"/>
      <c r="P34" s="797"/>
      <c r="Q34" s="797"/>
      <c r="R34" s="797"/>
    </row>
    <row r="35" spans="1:18" x14ac:dyDescent="0.2">
      <c r="A35" s="1215"/>
      <c r="B35" s="1216"/>
      <c r="C35" s="1217"/>
      <c r="D35" s="46"/>
      <c r="E35" s="47"/>
      <c r="F35" s="15"/>
      <c r="G35" s="12"/>
      <c r="H35" s="8"/>
      <c r="I35" s="344"/>
    </row>
    <row r="36" spans="1:18" x14ac:dyDescent="0.2">
      <c r="A36" s="1215"/>
      <c r="B36" s="1216"/>
      <c r="C36" s="1217"/>
      <c r="D36" s="46"/>
      <c r="E36" s="47"/>
      <c r="F36" s="15"/>
      <c r="G36" s="12"/>
      <c r="H36" s="8"/>
      <c r="I36" s="345"/>
    </row>
    <row r="37" spans="1:18" x14ac:dyDescent="0.2">
      <c r="A37" s="871"/>
      <c r="B37" s="1105" t="s">
        <v>2227</v>
      </c>
      <c r="C37" s="1104"/>
      <c r="D37" s="46"/>
      <c r="E37" s="47"/>
      <c r="F37" s="15"/>
      <c r="G37" s="12"/>
      <c r="H37" s="8"/>
      <c r="I37" s="343"/>
    </row>
    <row r="38" spans="1:18" x14ac:dyDescent="0.2">
      <c r="A38" s="1215"/>
      <c r="B38" s="1216"/>
      <c r="C38" s="1217"/>
      <c r="D38" s="46"/>
      <c r="E38" s="47"/>
      <c r="F38" s="15"/>
      <c r="G38" s="12"/>
      <c r="H38" s="8"/>
      <c r="I38" s="344"/>
    </row>
    <row r="39" spans="1:18" x14ac:dyDescent="0.2">
      <c r="A39" s="1215"/>
      <c r="B39" s="1216"/>
      <c r="C39" s="1217"/>
      <c r="D39" s="46"/>
      <c r="E39" s="47"/>
      <c r="F39" s="15"/>
      <c r="G39" s="12"/>
      <c r="H39" s="8"/>
      <c r="I39" s="73"/>
    </row>
    <row r="40" spans="1:18" x14ac:dyDescent="0.2">
      <c r="A40" s="1084" t="s">
        <v>2228</v>
      </c>
      <c r="B40" s="1216"/>
      <c r="C40" s="1216"/>
      <c r="D40" s="1216"/>
      <c r="E40" s="1216"/>
      <c r="F40" s="1216"/>
      <c r="G40" s="1216"/>
      <c r="H40" s="1217"/>
      <c r="I40" s="241"/>
    </row>
    <row r="41" spans="1:18" x14ac:dyDescent="0.2">
      <c r="A41" s="1086"/>
      <c r="B41" s="1087"/>
      <c r="C41" s="1087"/>
      <c r="D41" s="1087"/>
      <c r="E41" s="1087"/>
      <c r="F41" s="1087"/>
      <c r="G41" s="1087"/>
      <c r="H41" s="1087"/>
      <c r="I41" s="1088"/>
    </row>
    <row r="42" spans="1:18" x14ac:dyDescent="0.2">
      <c r="A42" s="1200" t="s">
        <v>554</v>
      </c>
      <c r="B42" s="1201"/>
      <c r="C42" s="1201"/>
      <c r="D42" s="1201"/>
      <c r="E42" s="1201"/>
      <c r="F42" s="1201"/>
      <c r="G42" s="1201"/>
      <c r="H42" s="1201"/>
      <c r="I42" s="1202"/>
    </row>
    <row r="43" spans="1:18" s="9" customFormat="1" ht="25.5" x14ac:dyDescent="0.2">
      <c r="A43" s="1229" t="s">
        <v>2229</v>
      </c>
      <c r="B43" s="1230"/>
      <c r="C43" s="1231"/>
      <c r="D43" s="1223" t="s">
        <v>2230</v>
      </c>
      <c r="E43" s="1224"/>
      <c r="F43" s="1223" t="s">
        <v>2218</v>
      </c>
      <c r="G43" s="1224"/>
      <c r="H43" s="257" t="s">
        <v>2216</v>
      </c>
      <c r="I43" s="72"/>
    </row>
    <row r="44" spans="1:18" x14ac:dyDescent="0.2">
      <c r="A44" s="1215" t="s">
        <v>49</v>
      </c>
      <c r="B44" s="1216"/>
      <c r="C44" s="1217"/>
      <c r="D44" s="1225">
        <f>IF(A44&lt;&gt;0,VLOOKUP(A44,Cuadrillas,7,FALSE),$J$1)</f>
        <v>432095.84</v>
      </c>
      <c r="E44" s="1226"/>
      <c r="F44" s="1221">
        <v>0.1</v>
      </c>
      <c r="G44" s="1222"/>
      <c r="H44" s="8">
        <f>IF(A44&lt;&gt;0,ROUND(D44/F44,2),$J$1)</f>
        <v>4320958.4000000004</v>
      </c>
      <c r="I44" s="69"/>
    </row>
    <row r="45" spans="1:18" x14ac:dyDescent="0.2">
      <c r="A45" s="1215"/>
      <c r="B45" s="1216"/>
      <c r="C45" s="1217"/>
      <c r="D45" s="1225"/>
      <c r="E45" s="1226"/>
      <c r="F45" s="1221"/>
      <c r="G45" s="1222"/>
      <c r="H45" s="8"/>
      <c r="I45" s="69"/>
    </row>
    <row r="46" spans="1:18" x14ac:dyDescent="0.2">
      <c r="A46" s="1215"/>
      <c r="B46" s="1216"/>
      <c r="C46" s="1217"/>
      <c r="D46" s="1225"/>
      <c r="E46" s="1226"/>
      <c r="F46" s="1221"/>
      <c r="G46" s="1222"/>
      <c r="H46" s="8"/>
      <c r="I46" s="69"/>
    </row>
    <row r="47" spans="1:18" x14ac:dyDescent="0.2">
      <c r="A47" s="1215"/>
      <c r="B47" s="1216"/>
      <c r="C47" s="1217"/>
      <c r="D47" s="1225"/>
      <c r="E47" s="1226"/>
      <c r="F47" s="1221"/>
      <c r="G47" s="1222"/>
      <c r="H47" s="8"/>
      <c r="I47" s="69"/>
    </row>
    <row r="48" spans="1:18" x14ac:dyDescent="0.2">
      <c r="A48" s="1215"/>
      <c r="B48" s="1216"/>
      <c r="C48" s="1217"/>
      <c r="D48" s="1225"/>
      <c r="E48" s="1226"/>
      <c r="F48" s="1221"/>
      <c r="G48" s="1222"/>
      <c r="H48" s="8"/>
      <c r="I48" s="73"/>
    </row>
    <row r="49" spans="1:11" x14ac:dyDescent="0.2">
      <c r="A49" s="1084" t="s">
        <v>2231</v>
      </c>
      <c r="B49" s="1085"/>
      <c r="C49" s="1085"/>
      <c r="D49" s="1085"/>
      <c r="E49" s="1085"/>
      <c r="F49" s="1085"/>
      <c r="G49" s="1085"/>
      <c r="H49" s="1133"/>
      <c r="I49" s="240">
        <f>SUM(H44:H48)</f>
        <v>4320958.4000000004</v>
      </c>
    </row>
    <row r="50" spans="1:11" x14ac:dyDescent="0.2">
      <c r="A50" s="1086"/>
      <c r="B50" s="1087"/>
      <c r="C50" s="1087"/>
      <c r="D50" s="1087"/>
      <c r="E50" s="1087"/>
      <c r="F50" s="1087"/>
      <c r="G50" s="1087"/>
      <c r="H50" s="1087"/>
      <c r="I50" s="1088"/>
    </row>
    <row r="51" spans="1:11" x14ac:dyDescent="0.2">
      <c r="A51" s="1089" t="s">
        <v>2232</v>
      </c>
      <c r="B51" s="1090"/>
      <c r="C51" s="1090"/>
      <c r="D51" s="1090"/>
      <c r="E51" s="1090"/>
      <c r="F51" s="1090"/>
      <c r="G51" s="1090"/>
      <c r="H51" s="1090"/>
      <c r="I51" s="237" t="e">
        <f>I18+I29+I40</f>
        <v>#REF!</v>
      </c>
    </row>
    <row r="52" spans="1:11" ht="13.5" thickBot="1" x14ac:dyDescent="0.25">
      <c r="A52" s="1193" t="s">
        <v>2233</v>
      </c>
      <c r="B52" s="1194"/>
      <c r="C52" s="1194"/>
      <c r="D52" s="1194"/>
      <c r="E52" s="1194"/>
      <c r="F52" s="1194"/>
      <c r="G52" s="1194"/>
      <c r="H52" s="1194"/>
      <c r="I52" s="238">
        <f>I49</f>
        <v>4320958.4000000004</v>
      </c>
    </row>
    <row r="53" spans="1:11" s="9" customFormat="1" ht="25.5" customHeight="1" thickTop="1" thickBot="1" x14ac:dyDescent="0.25">
      <c r="A53" s="1195" t="s">
        <v>2234</v>
      </c>
      <c r="B53" s="1196"/>
      <c r="C53" s="1196"/>
      <c r="D53" s="1196"/>
      <c r="E53" s="1196"/>
      <c r="F53" s="1196"/>
      <c r="G53" s="1196"/>
      <c r="H53" s="258"/>
      <c r="I53" s="239" t="e">
        <f>ROUND(I51+I52,0)</f>
        <v>#REF!</v>
      </c>
    </row>
    <row r="54" spans="1:11" s="9" customFormat="1" ht="25.5" customHeight="1" thickTop="1" thickBot="1" x14ac:dyDescent="0.25">
      <c r="A54" s="1095" t="s">
        <v>10</v>
      </c>
      <c r="B54" s="1096"/>
      <c r="C54" s="1232"/>
      <c r="D54" s="1097">
        <f>+'Datos entrada'!B7</f>
        <v>0.3</v>
      </c>
      <c r="E54" s="1098"/>
      <c r="F54" s="1233" t="e">
        <f>I53*D54</f>
        <v>#REF!</v>
      </c>
      <c r="G54" s="1099"/>
      <c r="H54" s="1099"/>
      <c r="I54" s="1100"/>
      <c r="K54" s="9" t="s">
        <v>2235</v>
      </c>
    </row>
    <row r="55" spans="1:11" s="9" customFormat="1" ht="25.5" customHeight="1" thickTop="1" thickBot="1" x14ac:dyDescent="0.25">
      <c r="A55" s="1095" t="s">
        <v>2236</v>
      </c>
      <c r="B55" s="1096"/>
      <c r="C55" s="1096"/>
      <c r="D55" s="1096"/>
      <c r="E55" s="1096"/>
      <c r="F55" s="1096"/>
      <c r="G55" s="1096"/>
      <c r="H55" s="1191" t="e">
        <f>I53+F54</f>
        <v>#REF!</v>
      </c>
      <c r="I55" s="1192"/>
    </row>
    <row r="56" spans="1:11" ht="13.5" thickTop="1" x14ac:dyDescent="0.2"/>
  </sheetData>
  <customSheetViews>
    <customSheetView guid="{93F324B6-F965-4669-93FF-DBB148734A46}" fitToPage="1">
      <selection activeCell="L4" sqref="L4"/>
      <pageMargins left="0" right="0" top="0" bottom="0" header="0" footer="0"/>
      <printOptions horizontalCentered="1" verticalCentered="1"/>
      <pageSetup scale="75" orientation="portrait" blackAndWhite="1" errors="blank" r:id="rId1"/>
      <headerFooter alignWithMargins="0">
        <oddFooter xml:space="preserve">&amp;C  </oddFooter>
      </headerFooter>
    </customSheetView>
  </customSheetViews>
  <mergeCells count="50">
    <mergeCell ref="A1:C1"/>
    <mergeCell ref="B33:C33"/>
    <mergeCell ref="B37:C37"/>
    <mergeCell ref="A23:C23"/>
    <mergeCell ref="A24:C24"/>
    <mergeCell ref="A4:E4"/>
    <mergeCell ref="A10:C10"/>
    <mergeCell ref="A11:C11"/>
    <mergeCell ref="A12:C12"/>
    <mergeCell ref="C5:I5"/>
    <mergeCell ref="A8:C8"/>
    <mergeCell ref="A34:C34"/>
    <mergeCell ref="D43:E43"/>
    <mergeCell ref="D44:E44"/>
    <mergeCell ref="A43:C43"/>
    <mergeCell ref="A35:C35"/>
    <mergeCell ref="A36:C36"/>
    <mergeCell ref="A38:C38"/>
    <mergeCell ref="A39:C39"/>
    <mergeCell ref="A44:C44"/>
    <mergeCell ref="A55:G55"/>
    <mergeCell ref="H55:I55"/>
    <mergeCell ref="F46:G46"/>
    <mergeCell ref="A48:C48"/>
    <mergeCell ref="A51:H51"/>
    <mergeCell ref="A50:I50"/>
    <mergeCell ref="A49:H49"/>
    <mergeCell ref="A53:G53"/>
    <mergeCell ref="F48:G48"/>
    <mergeCell ref="A54:C54"/>
    <mergeCell ref="D54:E54"/>
    <mergeCell ref="F54:I54"/>
    <mergeCell ref="A52:H52"/>
    <mergeCell ref="D48:E48"/>
    <mergeCell ref="A45:C45"/>
    <mergeCell ref="D45:E45"/>
    <mergeCell ref="H1:I1"/>
    <mergeCell ref="A47:C47"/>
    <mergeCell ref="F47:G47"/>
    <mergeCell ref="A42:I42"/>
    <mergeCell ref="F45:G45"/>
    <mergeCell ref="D46:E46"/>
    <mergeCell ref="D47:E47"/>
    <mergeCell ref="A46:C46"/>
    <mergeCell ref="F44:G44"/>
    <mergeCell ref="F43:G43"/>
    <mergeCell ref="A40:H40"/>
    <mergeCell ref="A41:I41"/>
    <mergeCell ref="A22:C22"/>
    <mergeCell ref="A9:C9"/>
  </mergeCells>
  <phoneticPr fontId="0" type="noConversion"/>
  <dataValidations count="5">
    <dataValidation type="list" allowBlank="1" showInputMessage="1" showErrorMessage="1" sqref="B10:C17 A9:A17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5:C28 A22:A28">
      <formula1>Descrip_equipos</formula1>
    </dataValidation>
    <dataValidation type="list" allowBlank="1" showInputMessage="1" showErrorMessage="1" sqref="A44:C48">
      <formula1>Descrip_cuadrillas</formula1>
    </dataValidation>
    <dataValidation type="list" allowBlank="1" showInputMessage="1" showErrorMessage="1" sqref="A33:A39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FFFF00"/>
    <pageSetUpPr fitToPage="1"/>
  </sheetPr>
  <dimension ref="A1:K57"/>
  <sheetViews>
    <sheetView view="pageBreakPreview" topLeftCell="A5" zoomScaleNormal="100" zoomScaleSheetLayoutView="100" workbookViewId="0">
      <selection activeCell="N22" sqref="N22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2344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45.7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80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121</v>
      </c>
      <c r="B8" s="1216"/>
      <c r="C8" s="1217"/>
      <c r="D8" s="851" t="e">
        <f t="shared" ref="D8:D9" si="0">IF(A8&lt;&gt;0,VLOOKUP(A8,Materiales,2,FALSE),$J$1)</f>
        <v>#REF!</v>
      </c>
      <c r="E8" s="12">
        <v>1.01</v>
      </c>
      <c r="F8" s="21" t="e">
        <f>IF(A8&lt;&gt;0,VLOOKUP(A8,Materiales,6,FALSE),$J$1)</f>
        <v>#REF!</v>
      </c>
      <c r="G8" s="22"/>
      <c r="H8" s="8" t="e">
        <f t="shared" ref="H8:H9" si="1">IF(A8&lt;&gt;0,ROUND(E8*F8,2),$J$1)</f>
        <v>#REF!</v>
      </c>
      <c r="I8" s="69"/>
    </row>
    <row r="9" spans="1:10" x14ac:dyDescent="0.2">
      <c r="A9" s="1215" t="s">
        <v>145</v>
      </c>
      <c r="B9" s="1216"/>
      <c r="C9" s="1217"/>
      <c r="D9" s="851" t="e">
        <f t="shared" si="0"/>
        <v>#REF!</v>
      </c>
      <c r="E9" s="13">
        <v>3.0000000000000001E-3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/>
      <c r="E10" s="13"/>
      <c r="F10" s="21"/>
      <c r="G10" s="22"/>
      <c r="H10" s="8"/>
      <c r="I10" s="69"/>
    </row>
    <row r="11" spans="1:10" x14ac:dyDescent="0.2">
      <c r="A11" s="871"/>
      <c r="B11" s="872"/>
      <c r="C11" s="873"/>
      <c r="D11" s="851"/>
      <c r="E11" s="12"/>
      <c r="F11" s="21"/>
      <c r="G11" s="22"/>
      <c r="H11" s="8"/>
      <c r="I11" s="69"/>
    </row>
    <row r="12" spans="1:10" x14ac:dyDescent="0.2">
      <c r="A12" s="871"/>
      <c r="B12" s="872"/>
      <c r="C12" s="873"/>
      <c r="D12" s="851"/>
      <c r="E12" s="12"/>
      <c r="F12" s="21"/>
      <c r="G12" s="22"/>
      <c r="H12" s="8"/>
      <c r="I12" s="69"/>
    </row>
    <row r="13" spans="1:10" x14ac:dyDescent="0.2">
      <c r="A13" s="871"/>
      <c r="B13" s="872"/>
      <c r="C13" s="873"/>
      <c r="D13" s="851"/>
      <c r="E13" s="12"/>
      <c r="F13" s="21"/>
      <c r="G13" s="22"/>
      <c r="H13" s="8"/>
      <c r="I13" s="69"/>
    </row>
    <row r="14" spans="1:10" x14ac:dyDescent="0.2">
      <c r="A14" s="871"/>
      <c r="B14" s="872"/>
      <c r="C14" s="873"/>
      <c r="D14" s="851"/>
      <c r="E14" s="12"/>
      <c r="F14" s="21"/>
      <c r="G14" s="22"/>
      <c r="H14" s="8"/>
      <c r="I14" s="69"/>
    </row>
    <row r="15" spans="1:10" x14ac:dyDescent="0.2">
      <c r="A15" s="871"/>
      <c r="B15" s="872"/>
      <c r="C15" s="873"/>
      <c r="D15" s="851"/>
      <c r="E15" s="12"/>
      <c r="F15" s="21"/>
      <c r="G15" s="22"/>
      <c r="H15" s="8"/>
      <c r="I15" s="69"/>
    </row>
    <row r="16" spans="1:10" x14ac:dyDescent="0.2">
      <c r="A16" s="871"/>
      <c r="B16" s="872"/>
      <c r="C16" s="873"/>
      <c r="D16" s="851"/>
      <c r="E16" s="12"/>
      <c r="F16" s="21"/>
      <c r="G16" s="22"/>
      <c r="H16" s="8"/>
      <c r="I16" s="69"/>
    </row>
    <row r="17" spans="1:9" x14ac:dyDescent="0.2">
      <c r="A17" s="871"/>
      <c r="B17" s="872"/>
      <c r="C17" s="873"/>
      <c r="D17" s="851"/>
      <c r="E17" s="12"/>
      <c r="F17" s="21"/>
      <c r="G17" s="22"/>
      <c r="H17" s="8"/>
      <c r="I17" s="69"/>
    </row>
    <row r="18" spans="1:9" x14ac:dyDescent="0.2">
      <c r="A18" s="871"/>
      <c r="B18" s="872"/>
      <c r="C18" s="873"/>
      <c r="D18" s="851"/>
      <c r="E18" s="12"/>
      <c r="F18" s="21"/>
      <c r="G18" s="22"/>
      <c r="H18" s="8"/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180</v>
      </c>
      <c r="E23" s="28"/>
      <c r="F23" s="12">
        <f t="shared" ref="F23" si="2">IF(A23&lt;&gt;0,VLOOKUP(A23,Equipos,6,FALSE),$J$1)</f>
        <v>3710</v>
      </c>
      <c r="G23" s="14">
        <v>1</v>
      </c>
      <c r="H23" s="8">
        <f t="shared" ref="H23" si="3">IF(A23&lt;&gt;0,ROUND((F23/D23)*G23,2),$J$1)</f>
        <v>20.61</v>
      </c>
      <c r="I23" s="69"/>
    </row>
    <row r="24" spans="1:9" x14ac:dyDescent="0.2">
      <c r="A24" s="1215"/>
      <c r="B24" s="1216"/>
      <c r="C24" s="1217"/>
      <c r="D24" s="26"/>
      <c r="E24" s="28"/>
      <c r="F24" s="12"/>
      <c r="G24" s="14"/>
      <c r="H24" s="8"/>
      <c r="I24" s="69"/>
    </row>
    <row r="25" spans="1:9" x14ac:dyDescent="0.2">
      <c r="A25" s="1215"/>
      <c r="B25" s="1216"/>
      <c r="C25" s="1217"/>
      <c r="D25" s="26"/>
      <c r="E25" s="28"/>
      <c r="F25" s="12"/>
      <c r="G25" s="14"/>
      <c r="H25" s="8"/>
      <c r="I25" s="69"/>
    </row>
    <row r="26" spans="1:9" x14ac:dyDescent="0.2">
      <c r="A26" s="871"/>
      <c r="B26" s="872"/>
      <c r="C26" s="873"/>
      <c r="D26" s="26"/>
      <c r="E26" s="28"/>
      <c r="F26" s="12"/>
      <c r="G26" s="14"/>
      <c r="H26" s="8"/>
      <c r="I26" s="69"/>
    </row>
    <row r="27" spans="1:9" x14ac:dyDescent="0.2">
      <c r="A27" s="871"/>
      <c r="B27" s="872"/>
      <c r="C27" s="873"/>
      <c r="D27" s="26"/>
      <c r="E27" s="28"/>
      <c r="F27" s="12"/>
      <c r="G27" s="14"/>
      <c r="H27" s="8"/>
      <c r="I27" s="69"/>
    </row>
    <row r="28" spans="1:9" x14ac:dyDescent="0.2">
      <c r="A28" s="871"/>
      <c r="B28" s="872"/>
      <c r="C28" s="873"/>
      <c r="D28" s="26"/>
      <c r="E28" s="28"/>
      <c r="F28" s="12"/>
      <c r="G28" s="14"/>
      <c r="H28" s="8"/>
      <c r="I28" s="69"/>
    </row>
    <row r="29" spans="1:9" x14ac:dyDescent="0.2">
      <c r="A29" s="871"/>
      <c r="B29" s="872"/>
      <c r="C29" s="873"/>
      <c r="D29" s="26"/>
      <c r="E29" s="28"/>
      <c r="F29" s="12"/>
      <c r="G29" s="14"/>
      <c r="H29" s="8"/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20.61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/>
    </row>
    <row r="35" spans="1:9" x14ac:dyDescent="0.2">
      <c r="A35" s="1215"/>
      <c r="B35" s="1216"/>
      <c r="C35" s="1217"/>
      <c r="D35" s="46"/>
      <c r="E35" s="47"/>
      <c r="F35" s="15"/>
      <c r="G35" s="12"/>
      <c r="H35" s="8"/>
      <c r="I35" s="344"/>
    </row>
    <row r="36" spans="1:9" x14ac:dyDescent="0.2">
      <c r="A36" s="1215"/>
      <c r="B36" s="1216"/>
      <c r="C36" s="1217"/>
      <c r="D36" s="46"/>
      <c r="E36" s="47"/>
      <c r="F36" s="15"/>
      <c r="G36" s="12"/>
      <c r="H36" s="8"/>
      <c r="I36" s="344"/>
    </row>
    <row r="37" spans="1:9" x14ac:dyDescent="0.2">
      <c r="A37" s="1215"/>
      <c r="B37" s="1216"/>
      <c r="C37" s="1217"/>
      <c r="D37" s="46"/>
      <c r="E37" s="47"/>
      <c r="F37" s="15"/>
      <c r="G37" s="12"/>
      <c r="H37" s="8"/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/>
    </row>
    <row r="39" spans="1:9" x14ac:dyDescent="0.2">
      <c r="A39" s="1215"/>
      <c r="B39" s="1216"/>
      <c r="C39" s="1217"/>
      <c r="D39" s="46"/>
      <c r="E39" s="47"/>
      <c r="F39" s="15"/>
      <c r="G39" s="12"/>
      <c r="H39" s="8"/>
      <c r="I39" s="344"/>
    </row>
    <row r="40" spans="1:9" x14ac:dyDescent="0.2">
      <c r="A40" s="1215"/>
      <c r="B40" s="1216"/>
      <c r="C40" s="1217"/>
      <c r="D40" s="46"/>
      <c r="E40" s="47"/>
      <c r="F40" s="15"/>
      <c r="G40" s="12"/>
      <c r="H40" s="8"/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/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1100</v>
      </c>
      <c r="G45" s="1222"/>
      <c r="H45" s="8">
        <f>IF(A45&lt;&gt;0,ROUND(D45/F45,2),$J$1)</f>
        <v>392.81</v>
      </c>
      <c r="I45" s="69"/>
    </row>
    <row r="46" spans="1:9" x14ac:dyDescent="0.2">
      <c r="A46" s="1215"/>
      <c r="B46" s="1216"/>
      <c r="C46" s="1217"/>
      <c r="D46" s="1225"/>
      <c r="E46" s="1226"/>
      <c r="F46" s="1221"/>
      <c r="G46" s="1222"/>
      <c r="H46" s="8"/>
      <c r="I46" s="69"/>
    </row>
    <row r="47" spans="1:9" x14ac:dyDescent="0.2">
      <c r="A47" s="1215"/>
      <c r="B47" s="1216"/>
      <c r="C47" s="1217"/>
      <c r="D47" s="1225"/>
      <c r="E47" s="1226"/>
      <c r="F47" s="1221"/>
      <c r="G47" s="1222"/>
      <c r="H47" s="8"/>
      <c r="I47" s="69"/>
    </row>
    <row r="48" spans="1:9" x14ac:dyDescent="0.2">
      <c r="A48" s="1215"/>
      <c r="B48" s="1216"/>
      <c r="C48" s="1217"/>
      <c r="D48" s="1225"/>
      <c r="E48" s="1226"/>
      <c r="F48" s="1221"/>
      <c r="G48" s="1222"/>
      <c r="H48" s="8"/>
      <c r="I48" s="69"/>
    </row>
    <row r="49" spans="1:11" x14ac:dyDescent="0.2">
      <c r="A49" s="1215"/>
      <c r="B49" s="1216"/>
      <c r="C49" s="1217"/>
      <c r="D49" s="1225"/>
      <c r="E49" s="1226"/>
      <c r="F49" s="1221"/>
      <c r="G49" s="1222"/>
      <c r="H49" s="8"/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392.81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392.81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ROUND(I52+I53,0)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/>
  </sheetData>
  <customSheetViews>
    <customSheetView guid="{93F324B6-F965-4669-93FF-DBB148734A46}" fitToPage="1" topLeftCell="A34">
      <selection activeCell="L4" sqref="L4"/>
      <pageMargins left="0" right="0" top="0" bottom="0" header="0" footer="0"/>
      <printOptions horizontalCentered="1" verticalCentered="1"/>
      <pageSetup scale="75" orientation="portrait" blackAndWhite="1" errors="blank" r:id="rId1"/>
      <headerFooter alignWithMargins="0">
        <oddFooter xml:space="preserve">&amp;C  </oddFooter>
      </headerFooter>
    </customSheetView>
  </customSheetViews>
  <mergeCells count="48">
    <mergeCell ref="A56:G56"/>
    <mergeCell ref="H56:I56"/>
    <mergeCell ref="A55:C55"/>
    <mergeCell ref="A48:C48"/>
    <mergeCell ref="F48:G48"/>
    <mergeCell ref="D48:E48"/>
    <mergeCell ref="A54:G54"/>
    <mergeCell ref="F49:G49"/>
    <mergeCell ref="D55:E55"/>
    <mergeCell ref="F55:I55"/>
    <mergeCell ref="A53:H53"/>
    <mergeCell ref="D49:E49"/>
    <mergeCell ref="A49:C49"/>
    <mergeCell ref="A52:H52"/>
    <mergeCell ref="A51:I51"/>
    <mergeCell ref="A50:H50"/>
    <mergeCell ref="D47:E47"/>
    <mergeCell ref="A47:C47"/>
    <mergeCell ref="D46:E46"/>
    <mergeCell ref="F46:G46"/>
    <mergeCell ref="A46:C46"/>
    <mergeCell ref="F47:G47"/>
    <mergeCell ref="A45:C45"/>
    <mergeCell ref="C5:I5"/>
    <mergeCell ref="A8:C8"/>
    <mergeCell ref="D44:E44"/>
    <mergeCell ref="D45:E45"/>
    <mergeCell ref="A44:C44"/>
    <mergeCell ref="A41:H41"/>
    <mergeCell ref="A42:I42"/>
    <mergeCell ref="A23:C23"/>
    <mergeCell ref="A43:I43"/>
    <mergeCell ref="F45:G45"/>
    <mergeCell ref="F44:G44"/>
    <mergeCell ref="B34:C34"/>
    <mergeCell ref="A35:C35"/>
    <mergeCell ref="A36:C36"/>
    <mergeCell ref="A37:C37"/>
    <mergeCell ref="A39:C39"/>
    <mergeCell ref="A40:C40"/>
    <mergeCell ref="H1:I1"/>
    <mergeCell ref="A9:C9"/>
    <mergeCell ref="A10:C10"/>
    <mergeCell ref="A24:C24"/>
    <mergeCell ref="A25:C25"/>
    <mergeCell ref="A1:C1"/>
    <mergeCell ref="B38:C38"/>
    <mergeCell ref="A4:E4"/>
  </mergeCells>
  <phoneticPr fontId="0" type="noConversion"/>
  <dataValidations count="5">
    <dataValidation type="list" allowBlank="1" showInputMessage="1" showErrorMessage="1" sqref="A9:A18 B11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6:C29 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1">
    <tabColor rgb="FFC00000"/>
    <pageSetUpPr fitToPage="1"/>
  </sheetPr>
  <dimension ref="A1:K56"/>
  <sheetViews>
    <sheetView workbookViewId="0">
      <selection sqref="A1:C1"/>
    </sheetView>
  </sheetViews>
  <sheetFormatPr baseColWidth="10" defaultColWidth="9.140625" defaultRowHeight="12.75" x14ac:dyDescent="0.2"/>
  <cols>
    <col min="1" max="1" width="8.710937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8" t="str">
        <f>'Datos entrada'!B6</f>
        <v>Presupuesto de Obra</v>
      </c>
      <c r="G4" s="89"/>
      <c r="H4" s="89"/>
      <c r="I4" s="90"/>
    </row>
    <row r="5" spans="1:10" ht="20.25" customHeight="1" x14ac:dyDescent="0.2">
      <c r="A5" s="265" t="s">
        <v>2213</v>
      </c>
      <c r="B5" s="519" t="e">
        <f>+#REF!</f>
        <v>#REF!</v>
      </c>
      <c r="C5" s="1312" t="e">
        <f>+#REF!</f>
        <v>#REF!</v>
      </c>
      <c r="D5" s="1313"/>
      <c r="E5" s="1313"/>
      <c r="F5" s="1313"/>
      <c r="G5" s="1313"/>
      <c r="H5" s="1313"/>
      <c r="I5" s="1314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57" t="s">
        <v>2214</v>
      </c>
      <c r="E7" s="857" t="s">
        <v>2071</v>
      </c>
      <c r="F7" s="225" t="s">
        <v>2305</v>
      </c>
      <c r="G7" s="225"/>
      <c r="H7" s="858" t="s">
        <v>2216</v>
      </c>
      <c r="I7" s="72"/>
    </row>
    <row r="8" spans="1:10" x14ac:dyDescent="0.2">
      <c r="A8" s="1080" t="s">
        <v>150</v>
      </c>
      <c r="B8" s="1081"/>
      <c r="C8" s="1081"/>
      <c r="D8" s="844" t="e">
        <f t="shared" ref="D8:D17" si="0">IF(A8&lt;&gt;0,VLOOKUP(A8,Materiales,2,FALSE),$J$1)</f>
        <v>#REF!</v>
      </c>
      <c r="E8" s="12">
        <v>1</v>
      </c>
      <c r="F8" s="58" t="e">
        <f t="shared" ref="F8:F14" si="1">IF(A8&lt;&gt;0,VLOOKUP(A8,Materiales,6,FALSE),$J$1)</f>
        <v>#REF!</v>
      </c>
      <c r="G8" s="58"/>
      <c r="H8" s="7" t="e">
        <f t="shared" ref="H8:H17" si="2">IF(A8&lt;&gt;0,ROUND(E8*F8,2),$J$1)</f>
        <v>#REF!</v>
      </c>
      <c r="I8" s="69"/>
    </row>
    <row r="9" spans="1:10" x14ac:dyDescent="0.2">
      <c r="A9" s="1116" t="s">
        <v>123</v>
      </c>
      <c r="B9" s="1117"/>
      <c r="C9" s="1118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2320</v>
      </c>
      <c r="B10" s="1081"/>
      <c r="C10" s="1081"/>
      <c r="D10" s="844" t="e">
        <f t="shared" si="0"/>
        <v>#REF!</v>
      </c>
      <c r="E10" s="468">
        <v>3.5000000000000001E-3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244</v>
      </c>
      <c r="B11" s="1081"/>
      <c r="C11" s="1081"/>
      <c r="D11" s="844" t="e">
        <f t="shared" si="0"/>
        <v>#REF!</v>
      </c>
      <c r="E11" s="468">
        <v>3.5000000000000001E-3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297</v>
      </c>
      <c r="B12" s="1081"/>
      <c r="C12" s="1081"/>
      <c r="D12" s="844" t="e">
        <f t="shared" si="0"/>
        <v>#REF!</v>
      </c>
      <c r="E12" s="12">
        <v>0.2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354</v>
      </c>
      <c r="B13" s="1081"/>
      <c r="C13" s="1081"/>
      <c r="D13" s="844" t="e">
        <f t="shared" si="0"/>
        <v>#REF!</v>
      </c>
      <c r="E13" s="468">
        <v>4.4999999999999997E-3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237</v>
      </c>
      <c r="B14" s="1081"/>
      <c r="C14" s="1081"/>
      <c r="D14" s="844" t="e">
        <f t="shared" si="0"/>
        <v>#REF!</v>
      </c>
      <c r="E14" s="468">
        <v>4.4999999999999997E-3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>IF(A15&lt;&gt;0,VLOOKUP(A15,Materiales,5,FALSE),$J$1)</f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880" t="s">
        <v>2217</v>
      </c>
      <c r="B18" s="849"/>
      <c r="C18" s="849"/>
      <c r="D18" s="3"/>
      <c r="E18" s="872"/>
      <c r="F18" s="872"/>
      <c r="G18" s="872"/>
      <c r="H18" s="873"/>
      <c r="I18" s="291" t="e">
        <f>SUM(H8:H17)</f>
        <v>#REF!</v>
      </c>
    </row>
    <row r="19" spans="1:9" x14ac:dyDescent="0.2">
      <c r="A19" s="76"/>
      <c r="B19" s="27"/>
      <c r="C19" s="27"/>
      <c r="D19" s="27"/>
      <c r="E19" s="27"/>
      <c r="F19" s="27"/>
      <c r="G19" s="27"/>
      <c r="H19" s="27"/>
      <c r="I19" s="64"/>
    </row>
    <row r="20" spans="1:9" x14ac:dyDescent="0.2">
      <c r="A20" s="288" t="s">
        <v>454</v>
      </c>
      <c r="B20" s="289"/>
      <c r="C20" s="876"/>
      <c r="D20" s="876"/>
      <c r="E20" s="876"/>
      <c r="F20" s="876"/>
      <c r="G20" s="876"/>
      <c r="H20" s="876"/>
      <c r="I20" s="877"/>
    </row>
    <row r="21" spans="1:9" s="9" customFormat="1" ht="25.5" x14ac:dyDescent="0.2">
      <c r="A21" s="227" t="s">
        <v>26</v>
      </c>
      <c r="B21" s="225"/>
      <c r="C21" s="225"/>
      <c r="D21" s="225" t="s">
        <v>2218</v>
      </c>
      <c r="E21" s="225"/>
      <c r="F21" s="225" t="s">
        <v>2352</v>
      </c>
      <c r="G21" s="858" t="s">
        <v>2220</v>
      </c>
      <c r="H21" s="858" t="s">
        <v>2216</v>
      </c>
      <c r="I21" s="77"/>
    </row>
    <row r="22" spans="1:9" x14ac:dyDescent="0.2">
      <c r="A22" s="1080" t="s">
        <v>477</v>
      </c>
      <c r="B22" s="1081"/>
      <c r="C22" s="1081"/>
      <c r="D22" s="33">
        <v>10</v>
      </c>
      <c r="E22" s="33"/>
      <c r="F22" s="12">
        <f t="shared" ref="F22:F28" si="3">IF(A22&lt;&gt;0,VLOOKUP(A22,Equipos,6,FALSE),$J$1)</f>
        <v>3710</v>
      </c>
      <c r="G22" s="14">
        <v>0.09</v>
      </c>
      <c r="H22" s="7">
        <f t="shared" ref="H22:H28" si="4">IF(A22&lt;&gt;0,ROUND((F22/D22)*G22,2),$J$1)</f>
        <v>33.39</v>
      </c>
      <c r="I22" s="69"/>
    </row>
    <row r="23" spans="1:9" x14ac:dyDescent="0.2">
      <c r="A23" s="1080" t="s">
        <v>482</v>
      </c>
      <c r="B23" s="1081"/>
      <c r="C23" s="1081"/>
      <c r="D23" s="33">
        <v>2</v>
      </c>
      <c r="E23" s="33"/>
      <c r="F23" s="12">
        <f t="shared" si="3"/>
        <v>1590</v>
      </c>
      <c r="G23" s="14">
        <v>0.13</v>
      </c>
      <c r="H23" s="7">
        <f t="shared" si="4"/>
        <v>103.35</v>
      </c>
      <c r="I23" s="69"/>
    </row>
    <row r="24" spans="1:9" x14ac:dyDescent="0.2">
      <c r="A24" s="1080" t="s">
        <v>467</v>
      </c>
      <c r="B24" s="1081"/>
      <c r="C24" s="1081"/>
      <c r="D24" s="33">
        <v>45</v>
      </c>
      <c r="E24" s="33"/>
      <c r="F24" s="12">
        <f t="shared" si="3"/>
        <v>24592</v>
      </c>
      <c r="G24" s="14">
        <v>0.08</v>
      </c>
      <c r="H24" s="7">
        <f t="shared" si="4"/>
        <v>43.72</v>
      </c>
      <c r="I24" s="69"/>
    </row>
    <row r="25" spans="1:9" x14ac:dyDescent="0.2">
      <c r="A25" s="1080" t="s">
        <v>461</v>
      </c>
      <c r="B25" s="1081"/>
      <c r="C25" s="1081"/>
      <c r="D25" s="33">
        <v>50</v>
      </c>
      <c r="E25" s="33"/>
      <c r="F25" s="12">
        <f t="shared" si="3"/>
        <v>127200</v>
      </c>
      <c r="G25" s="14">
        <v>0.05</v>
      </c>
      <c r="H25" s="7">
        <f t="shared" si="4"/>
        <v>127.2</v>
      </c>
      <c r="I25" s="69"/>
    </row>
    <row r="26" spans="1:9" x14ac:dyDescent="0.2">
      <c r="A26" s="1080" t="s">
        <v>470</v>
      </c>
      <c r="B26" s="1081"/>
      <c r="C26" s="1081"/>
      <c r="D26" s="33">
        <v>20</v>
      </c>
      <c r="E26" s="33"/>
      <c r="F26" s="12">
        <f t="shared" si="3"/>
        <v>32012</v>
      </c>
      <c r="G26" s="14">
        <v>0.08</v>
      </c>
      <c r="H26" s="7">
        <f t="shared" si="4"/>
        <v>128.05000000000001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880" t="s">
        <v>2221</v>
      </c>
      <c r="B29" s="849"/>
      <c r="C29" s="849"/>
      <c r="D29" s="3"/>
      <c r="E29" s="872"/>
      <c r="F29" s="872"/>
      <c r="G29" s="872"/>
      <c r="H29" s="873"/>
      <c r="I29" s="291">
        <f>SUM(H22:H28)</f>
        <v>435.71000000000004</v>
      </c>
    </row>
    <row r="30" spans="1:9" x14ac:dyDescent="0.2">
      <c r="A30" s="76"/>
      <c r="B30" s="27"/>
      <c r="C30" s="27"/>
      <c r="D30" s="27"/>
      <c r="E30" s="27"/>
      <c r="F30" s="27"/>
      <c r="G30" s="27"/>
      <c r="H30" s="27"/>
      <c r="I30" s="64"/>
    </row>
    <row r="31" spans="1:9" x14ac:dyDescent="0.2">
      <c r="A31" s="288" t="s">
        <v>2222</v>
      </c>
      <c r="B31" s="290"/>
      <c r="C31" s="289"/>
      <c r="D31" s="876"/>
      <c r="E31" s="876"/>
      <c r="F31" s="876"/>
      <c r="G31" s="876"/>
      <c r="H31" s="876"/>
      <c r="I31" s="877"/>
    </row>
    <row r="32" spans="1:9" s="9" customFormat="1" ht="25.5" x14ac:dyDescent="0.2">
      <c r="A32" s="223" t="s">
        <v>26</v>
      </c>
      <c r="B32" s="224"/>
      <c r="C32" s="224"/>
      <c r="D32" s="225" t="s">
        <v>2223</v>
      </c>
      <c r="E32" s="225"/>
      <c r="F32" s="858" t="s">
        <v>2224</v>
      </c>
      <c r="G32" s="858" t="s">
        <v>2225</v>
      </c>
      <c r="H32" s="858" t="s">
        <v>2216</v>
      </c>
      <c r="I32" s="77"/>
    </row>
    <row r="33" spans="1:11" x14ac:dyDescent="0.2">
      <c r="A33" s="890"/>
      <c r="B33" s="1105" t="s">
        <v>2226</v>
      </c>
      <c r="C33" s="1104"/>
      <c r="D33" s="46"/>
      <c r="E33" s="47"/>
      <c r="F33" s="15"/>
      <c r="G33" s="12"/>
      <c r="H33" s="7"/>
      <c r="I33" s="343">
        <f>SUM(H34:H36)</f>
        <v>0</v>
      </c>
    </row>
    <row r="34" spans="1:11" x14ac:dyDescent="0.2">
      <c r="A34" s="1215"/>
      <c r="B34" s="1216"/>
      <c r="C34" s="1217"/>
      <c r="D34" s="46" t="str">
        <f>IF(A34&lt;&gt;0,VLOOKUP(A34,Transporte,8,FALSE),$J$1)</f>
        <v>-</v>
      </c>
      <c r="E34" s="47"/>
      <c r="F34" s="15" t="str">
        <f t="shared" ref="F34:F39" si="5">IF(A34&lt;&gt;0,VLOOKUP(A34,Transporte,2,FALSE),$J$1)</f>
        <v>-</v>
      </c>
      <c r="G34" s="12"/>
      <c r="H34" s="7" t="str">
        <f t="shared" ref="H34:H39" si="6">IF(A34&lt;&gt;0,D34/F34*G34,$J$1)</f>
        <v>-</v>
      </c>
      <c r="I34" s="344"/>
    </row>
    <row r="35" spans="1:11" x14ac:dyDescent="0.2">
      <c r="A35" s="1215"/>
      <c r="B35" s="1216"/>
      <c r="C35" s="1217"/>
      <c r="D35" s="46"/>
      <c r="E35" s="47"/>
      <c r="F35" s="15" t="str">
        <f t="shared" si="5"/>
        <v>-</v>
      </c>
      <c r="G35" s="12"/>
      <c r="H35" s="7" t="str">
        <f t="shared" si="6"/>
        <v>-</v>
      </c>
      <c r="I35" s="344"/>
    </row>
    <row r="36" spans="1:11" x14ac:dyDescent="0.2">
      <c r="A36" s="1215"/>
      <c r="B36" s="1216"/>
      <c r="C36" s="1217"/>
      <c r="D36" s="46"/>
      <c r="E36" s="47"/>
      <c r="F36" s="15" t="str">
        <f t="shared" si="5"/>
        <v>-</v>
      </c>
      <c r="G36" s="12"/>
      <c r="H36" s="7" t="str">
        <f t="shared" si="6"/>
        <v>-</v>
      </c>
      <c r="I36" s="345"/>
    </row>
    <row r="37" spans="1:11" x14ac:dyDescent="0.2">
      <c r="A37" s="871"/>
      <c r="B37" s="1105" t="s">
        <v>2227</v>
      </c>
      <c r="C37" s="1104"/>
      <c r="D37" s="46"/>
      <c r="E37" s="47"/>
      <c r="F37" s="15"/>
      <c r="G37" s="12"/>
      <c r="H37" s="7"/>
      <c r="I37" s="343">
        <f>SUM(H38:H39)</f>
        <v>0</v>
      </c>
    </row>
    <row r="38" spans="1:11" x14ac:dyDescent="0.2">
      <c r="A38" s="1215"/>
      <c r="B38" s="1216"/>
      <c r="C38" s="1217"/>
      <c r="D38" s="61" t="str">
        <f>IF(A27&lt;&gt;0,VLOOKUP(A38,Transporte,8,FALSE),$J$1)</f>
        <v>-</v>
      </c>
      <c r="E38" s="61"/>
      <c r="F38" s="15" t="str">
        <f t="shared" si="5"/>
        <v>-</v>
      </c>
      <c r="G38" s="12"/>
      <c r="H38" s="7" t="str">
        <f t="shared" si="6"/>
        <v>-</v>
      </c>
      <c r="I38" s="344"/>
    </row>
    <row r="39" spans="1:11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11" x14ac:dyDescent="0.2">
      <c r="A40" s="1106" t="s">
        <v>2228</v>
      </c>
      <c r="B40" s="1107"/>
      <c r="C40" s="1107"/>
      <c r="D40" s="1107"/>
      <c r="E40" s="1107"/>
      <c r="F40" s="1107"/>
      <c r="G40" s="1107"/>
      <c r="H40" s="1107"/>
      <c r="I40" s="291">
        <f>SUM(I33:I39)</f>
        <v>0</v>
      </c>
    </row>
    <row r="41" spans="1:11" x14ac:dyDescent="0.2">
      <c r="A41" s="1108"/>
      <c r="B41" s="1034"/>
      <c r="C41" s="1034"/>
      <c r="D41" s="1034"/>
      <c r="E41" s="1034"/>
      <c r="F41" s="1034"/>
      <c r="G41" s="1034"/>
      <c r="H41" s="1034"/>
      <c r="I41" s="1109"/>
    </row>
    <row r="42" spans="1:11" x14ac:dyDescent="0.2">
      <c r="A42" s="1110" t="s">
        <v>554</v>
      </c>
      <c r="B42" s="1111"/>
      <c r="C42" s="1111"/>
      <c r="D42" s="1111"/>
      <c r="E42" s="1111"/>
      <c r="F42" s="1111"/>
      <c r="G42" s="1111"/>
      <c r="H42" s="1111"/>
      <c r="I42" s="1112"/>
    </row>
    <row r="43" spans="1:11" s="9" customFormat="1" ht="25.5" x14ac:dyDescent="0.2">
      <c r="A43" s="1113" t="s">
        <v>2229</v>
      </c>
      <c r="B43" s="1114"/>
      <c r="C43" s="1114"/>
      <c r="D43" s="1115" t="s">
        <v>2230</v>
      </c>
      <c r="E43" s="1115"/>
      <c r="F43" s="1115" t="s">
        <v>2218</v>
      </c>
      <c r="G43" s="1115"/>
      <c r="H43" s="858" t="s">
        <v>2216</v>
      </c>
      <c r="I43" s="67"/>
    </row>
    <row r="44" spans="1:11" x14ac:dyDescent="0.2">
      <c r="A44" s="1080" t="s">
        <v>49</v>
      </c>
      <c r="B44" s="1081"/>
      <c r="C44" s="1081"/>
      <c r="D44" s="1082">
        <f>IF(A44&lt;&gt;0,VLOOKUP(A44,Cuadrillas,7,FALSE),$J$1)</f>
        <v>432095.84</v>
      </c>
      <c r="E44" s="1082"/>
      <c r="F44" s="1083">
        <v>50</v>
      </c>
      <c r="G44" s="1083"/>
      <c r="H44" s="7">
        <f>IF(A44&lt;&gt;0,ROUND(D44/F44,2),$J$1)</f>
        <v>8641.92</v>
      </c>
      <c r="I44" s="68"/>
      <c r="K44" s="48"/>
    </row>
    <row r="45" spans="1:11" x14ac:dyDescent="0.2">
      <c r="A45" s="1080"/>
      <c r="B45" s="1081"/>
      <c r="C45" s="1081"/>
      <c r="D45" s="1082" t="str">
        <f>IF(A45&lt;&gt;0,VLOOKUP(A45,Cuadrillas,7,FALSE),$J$1)</f>
        <v>-</v>
      </c>
      <c r="E45" s="1082"/>
      <c r="F45" s="1083"/>
      <c r="G45" s="1083"/>
      <c r="H45" s="7" t="str">
        <f>IF(A45&lt;&gt;0,ROUND(D45/F45,2),$J$1)</f>
        <v>-</v>
      </c>
      <c r="I45" s="69"/>
    </row>
    <row r="46" spans="1:11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11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11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73"/>
    </row>
    <row r="49" spans="1:9" x14ac:dyDescent="0.2">
      <c r="A49" s="1084" t="s">
        <v>2231</v>
      </c>
      <c r="B49" s="1085"/>
      <c r="C49" s="1085"/>
      <c r="D49" s="1085"/>
      <c r="E49" s="1085"/>
      <c r="F49" s="1085"/>
      <c r="G49" s="1085"/>
      <c r="H49" s="1085"/>
      <c r="I49" s="292">
        <f>SUM(H44:H48)</f>
        <v>8641.92</v>
      </c>
    </row>
    <row r="50" spans="1:9" x14ac:dyDescent="0.2">
      <c r="A50" s="1086"/>
      <c r="B50" s="1087"/>
      <c r="C50" s="1087"/>
      <c r="D50" s="1087"/>
      <c r="E50" s="1087"/>
      <c r="F50" s="1087"/>
      <c r="G50" s="1087"/>
      <c r="H50" s="1087"/>
      <c r="I50" s="1088"/>
    </row>
    <row r="51" spans="1:9" x14ac:dyDescent="0.2">
      <c r="A51" s="1089" t="s">
        <v>2232</v>
      </c>
      <c r="B51" s="1090"/>
      <c r="C51" s="1090"/>
      <c r="D51" s="1090"/>
      <c r="E51" s="1090"/>
      <c r="F51" s="1090"/>
      <c r="G51" s="1090"/>
      <c r="H51" s="1090"/>
      <c r="I51" s="237" t="e">
        <f>I18+I29+I40</f>
        <v>#REF!</v>
      </c>
    </row>
    <row r="52" spans="1:9" ht="13.5" thickBot="1" x14ac:dyDescent="0.25">
      <c r="A52" s="1091" t="s">
        <v>2233</v>
      </c>
      <c r="B52" s="1092"/>
      <c r="C52" s="1092"/>
      <c r="D52" s="1092"/>
      <c r="E52" s="1092"/>
      <c r="F52" s="1092"/>
      <c r="G52" s="1092"/>
      <c r="H52" s="1092"/>
      <c r="I52" s="302">
        <f>I49</f>
        <v>8641.92</v>
      </c>
    </row>
    <row r="53" spans="1:9" s="9" customFormat="1" ht="25.5" customHeight="1" thickTop="1" thickBot="1" x14ac:dyDescent="0.25">
      <c r="A53" s="1093" t="s">
        <v>2234</v>
      </c>
      <c r="B53" s="1094"/>
      <c r="C53" s="1094"/>
      <c r="D53" s="1094"/>
      <c r="E53" s="1094"/>
      <c r="F53" s="1094"/>
      <c r="G53" s="1094"/>
      <c r="H53" s="294"/>
      <c r="I53" s="303" t="e">
        <f>I51+I52</f>
        <v>#REF!</v>
      </c>
    </row>
    <row r="54" spans="1:9" s="9" customFormat="1" ht="25.5" customHeight="1" thickTop="1" thickBot="1" x14ac:dyDescent="0.25">
      <c r="A54" s="1095" t="s">
        <v>10</v>
      </c>
      <c r="B54" s="1096"/>
      <c r="C54" s="1096"/>
      <c r="D54" s="1097">
        <f>+'Datos entrada'!B7</f>
        <v>0.3</v>
      </c>
      <c r="E54" s="1098"/>
      <c r="F54" s="1099" t="e">
        <f>I53*D54</f>
        <v>#REF!</v>
      </c>
      <c r="G54" s="1099"/>
      <c r="H54" s="1099"/>
      <c r="I54" s="1100"/>
    </row>
    <row r="55" spans="1:9" s="9" customFormat="1" ht="25.5" customHeight="1" thickTop="1" thickBot="1" x14ac:dyDescent="0.25">
      <c r="A55" s="1101" t="s">
        <v>2236</v>
      </c>
      <c r="B55" s="1102"/>
      <c r="C55" s="1102"/>
      <c r="D55" s="1102"/>
      <c r="E55" s="1102"/>
      <c r="F55" s="1102"/>
      <c r="G55" s="1102"/>
      <c r="H55" s="107" t="e">
        <f>INT(I53+F54)</f>
        <v>#REF!</v>
      </c>
      <c r="I55" s="108"/>
    </row>
    <row r="56" spans="1:9" ht="13.5" thickTop="1" x14ac:dyDescent="0.2">
      <c r="I56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5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0:C10"/>
    <mergeCell ref="A1:C1"/>
    <mergeCell ref="H1:I1"/>
    <mergeCell ref="C5:I5"/>
    <mergeCell ref="A8:C8"/>
    <mergeCell ref="A9:C9"/>
    <mergeCell ref="A4:E4"/>
    <mergeCell ref="A26:C26"/>
    <mergeCell ref="A11:C11"/>
    <mergeCell ref="A12:C12"/>
    <mergeCell ref="A13:C13"/>
    <mergeCell ref="A14:C14"/>
    <mergeCell ref="A15:C15"/>
    <mergeCell ref="A16:C16"/>
    <mergeCell ref="A17:C17"/>
    <mergeCell ref="A22:C22"/>
    <mergeCell ref="A23:C23"/>
    <mergeCell ref="A24:C24"/>
    <mergeCell ref="A25:C25"/>
    <mergeCell ref="A42:I42"/>
    <mergeCell ref="A27:C27"/>
    <mergeCell ref="A28:C28"/>
    <mergeCell ref="B33:C33"/>
    <mergeCell ref="A34:C34"/>
    <mergeCell ref="A35:C35"/>
    <mergeCell ref="A36:C36"/>
    <mergeCell ref="B37:C37"/>
    <mergeCell ref="A38:C38"/>
    <mergeCell ref="A39:C39"/>
    <mergeCell ref="A40:H40"/>
    <mergeCell ref="A41:I41"/>
    <mergeCell ref="A43:C43"/>
    <mergeCell ref="D43:E43"/>
    <mergeCell ref="F43:G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55:G55"/>
    <mergeCell ref="A49:H49"/>
    <mergeCell ref="A50:I50"/>
    <mergeCell ref="A51:H51"/>
    <mergeCell ref="A52:H52"/>
    <mergeCell ref="A53:G53"/>
    <mergeCell ref="A54:C54"/>
    <mergeCell ref="D54:E54"/>
    <mergeCell ref="F54:I54"/>
  </mergeCells>
  <dataValidations count="5"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7">
      <formula1>Descripción</formula1>
    </dataValidation>
    <dataValidation type="list" allowBlank="1" showInputMessage="1" showErrorMessage="1" sqref="A33:A39">
      <formula1>Descrip_transporte</formula1>
    </dataValidation>
    <dataValidation type="list" allowBlank="1" showInputMessage="1" showErrorMessage="1" sqref="A44:C48">
      <formula1>Descrip_cuadrillas</formula1>
    </dataValidation>
    <dataValidation type="list" allowBlank="1" showInputMessage="1" showErrorMessage="1" sqref="A22:A28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5" orientation="portrait" blackAndWhite="1" errors="blank" r:id="rId2"/>
  <headerFooter alignWithMargins="0">
    <oddFooter xml:space="preserve">&amp;C  </oddFooter>
  </headerFooter>
  <drawing r:id="rId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2">
    <tabColor rgb="FFFFC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24.75" customHeight="1" x14ac:dyDescent="0.2">
      <c r="A8" s="1241" t="s">
        <v>171</v>
      </c>
      <c r="B8" s="1242"/>
      <c r="C8" s="1243"/>
      <c r="D8" s="55" t="e">
        <f t="shared" ref="D8:D18" si="0">IF(A8&lt;&gt;0,VLOOKUP(A8,Materiales,2,FALSE),$J$1)</f>
        <v>#REF!</v>
      </c>
      <c r="E8" s="534">
        <v>13.65</v>
      </c>
      <c r="F8" s="531" t="e">
        <f t="shared" ref="F8:F15" si="1">IF(A8&lt;&gt;0,VLOOKUP(A8,Materiales,6,FALSE),$J$1)</f>
        <v>#REF!</v>
      </c>
      <c r="G8" s="531"/>
      <c r="H8" s="512" t="e">
        <f t="shared" ref="H8:H18" si="2">IF(A8&lt;&gt;0,ROUND(E8*F8,2),$J$1)</f>
        <v>#REF!</v>
      </c>
      <c r="I8" s="69"/>
    </row>
    <row r="9" spans="1:10" ht="12.75" customHeight="1" x14ac:dyDescent="0.2">
      <c r="A9" s="1317" t="s">
        <v>294</v>
      </c>
      <c r="B9" s="1318"/>
      <c r="C9" s="1318"/>
      <c r="D9" s="55" t="e">
        <f t="shared" si="0"/>
        <v>#REF!</v>
      </c>
      <c r="E9" s="534">
        <v>8.9999999999999993E-3</v>
      </c>
      <c r="F9" s="531" t="e">
        <f t="shared" si="1"/>
        <v>#REF!</v>
      </c>
      <c r="G9" s="531"/>
      <c r="H9" s="512" t="e">
        <f t="shared" si="2"/>
        <v>#REF!</v>
      </c>
      <c r="I9" s="69"/>
    </row>
    <row r="10" spans="1:10" x14ac:dyDescent="0.2">
      <c r="A10" s="1315"/>
      <c r="B10" s="1316"/>
      <c r="C10" s="1316"/>
      <c r="D10" s="55" t="str">
        <f t="shared" si="0"/>
        <v>-</v>
      </c>
      <c r="E10" s="534"/>
      <c r="F10" s="531" t="str">
        <f t="shared" si="1"/>
        <v>-</v>
      </c>
      <c r="G10" s="531"/>
      <c r="H10" s="512" t="str">
        <f t="shared" si="2"/>
        <v>-</v>
      </c>
      <c r="I10" s="69"/>
    </row>
    <row r="11" spans="1:10" x14ac:dyDescent="0.2">
      <c r="A11" s="1315"/>
      <c r="B11" s="1316"/>
      <c r="C11" s="1316"/>
      <c r="D11" s="55" t="str">
        <f t="shared" si="0"/>
        <v>-</v>
      </c>
      <c r="E11" s="534"/>
      <c r="F11" s="531" t="str">
        <f t="shared" si="1"/>
        <v>-</v>
      </c>
      <c r="G11" s="531"/>
      <c r="H11" s="512" t="str">
        <f t="shared" si="2"/>
        <v>-</v>
      </c>
      <c r="I11" s="69"/>
    </row>
    <row r="12" spans="1:10" x14ac:dyDescent="0.2">
      <c r="A12" s="1315"/>
      <c r="B12" s="1316"/>
      <c r="C12" s="1316"/>
      <c r="D12" s="55" t="str">
        <f t="shared" si="0"/>
        <v>-</v>
      </c>
      <c r="E12" s="510"/>
      <c r="F12" s="531" t="str">
        <f t="shared" si="1"/>
        <v>-</v>
      </c>
      <c r="G12" s="531"/>
      <c r="H12" s="512" t="str">
        <f t="shared" si="2"/>
        <v>-</v>
      </c>
      <c r="I12" s="69"/>
    </row>
    <row r="13" spans="1:10" x14ac:dyDescent="0.2">
      <c r="A13" s="1315"/>
      <c r="B13" s="1316"/>
      <c r="C13" s="1316"/>
      <c r="D13" s="55" t="str">
        <f t="shared" si="0"/>
        <v>-</v>
      </c>
      <c r="E13" s="510"/>
      <c r="F13" s="531" t="str">
        <f t="shared" si="1"/>
        <v>-</v>
      </c>
      <c r="G13" s="531"/>
      <c r="H13" s="512" t="str">
        <f t="shared" si="2"/>
        <v>-</v>
      </c>
      <c r="I13" s="69"/>
    </row>
    <row r="14" spans="1:10" x14ac:dyDescent="0.2">
      <c r="A14" s="1315"/>
      <c r="B14" s="1316"/>
      <c r="C14" s="1316"/>
      <c r="D14" s="55" t="str">
        <f t="shared" si="0"/>
        <v>-</v>
      </c>
      <c r="E14" s="510"/>
      <c r="F14" s="531" t="str">
        <f t="shared" si="1"/>
        <v>-</v>
      </c>
      <c r="G14" s="531"/>
      <c r="H14" s="512" t="str">
        <f t="shared" si="2"/>
        <v>-</v>
      </c>
      <c r="I14" s="69"/>
    </row>
    <row r="15" spans="1:10" x14ac:dyDescent="0.2">
      <c r="A15" s="1315"/>
      <c r="B15" s="1316"/>
      <c r="C15" s="1316"/>
      <c r="D15" s="55" t="str">
        <f t="shared" si="0"/>
        <v>-</v>
      </c>
      <c r="E15" s="510"/>
      <c r="F15" s="531" t="str">
        <f t="shared" si="1"/>
        <v>-</v>
      </c>
      <c r="G15" s="531"/>
      <c r="H15" s="512" t="str">
        <f t="shared" si="2"/>
        <v>-</v>
      </c>
      <c r="I15" s="69"/>
    </row>
    <row r="16" spans="1:10" x14ac:dyDescent="0.2">
      <c r="A16" s="1315"/>
      <c r="B16" s="1316"/>
      <c r="C16" s="1316"/>
      <c r="D16" s="55" t="str">
        <f t="shared" si="0"/>
        <v>-</v>
      </c>
      <c r="E16" s="510"/>
      <c r="F16" s="531" t="str">
        <f>IF(A16&lt;&gt;0,VLOOKUP(A16,Materiales,5,FALSE),$J$1)</f>
        <v>-</v>
      </c>
      <c r="G16" s="531"/>
      <c r="H16" s="512" t="str">
        <f t="shared" si="2"/>
        <v>-</v>
      </c>
      <c r="I16" s="69"/>
    </row>
    <row r="17" spans="1:9" x14ac:dyDescent="0.2">
      <c r="A17" s="1315"/>
      <c r="B17" s="1316"/>
      <c r="C17" s="1316"/>
      <c r="D17" s="55" t="str">
        <f t="shared" si="0"/>
        <v>-</v>
      </c>
      <c r="E17" s="510"/>
      <c r="F17" s="531" t="str">
        <f>IF(A17&lt;&gt;0,VLOOKUP(A17,Materiales,5,FALSE),$J$1)</f>
        <v>-</v>
      </c>
      <c r="G17" s="531"/>
      <c r="H17" s="512" t="str">
        <f t="shared" si="2"/>
        <v>-</v>
      </c>
      <c r="I17" s="69"/>
    </row>
    <row r="18" spans="1:9" x14ac:dyDescent="0.2">
      <c r="A18" s="1315"/>
      <c r="B18" s="1316"/>
      <c r="C18" s="1316"/>
      <c r="D18" s="55" t="str">
        <f t="shared" si="0"/>
        <v>-</v>
      </c>
      <c r="E18" s="510"/>
      <c r="F18" s="531" t="str">
        <f>IF(A18&lt;&gt;0,VLOOKUP(A18,Materiales,5,FALSE),$J$1)</f>
        <v>-</v>
      </c>
      <c r="G18" s="531"/>
      <c r="H18" s="512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12.5</v>
      </c>
      <c r="E23" s="33"/>
      <c r="F23" s="12">
        <f t="shared" ref="F23:F29" si="3">IF(A23&lt;&gt;0,VLOOKUP(A23,Equipos,6,FALSE),$J$1)</f>
        <v>3710</v>
      </c>
      <c r="G23" s="14">
        <v>0.35</v>
      </c>
      <c r="H23" s="7">
        <f t="shared" ref="H23:H29" si="4">IF(A23&lt;&gt;0,ROUND((F23/D23)*G23,2),$J$1)</f>
        <v>103.88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103.88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62</v>
      </c>
      <c r="B45" s="1081"/>
      <c r="C45" s="1081"/>
      <c r="D45" s="1082">
        <f>IF(A45&lt;&gt;0,VLOOKUP(A45,Cuadrillas,7,FALSE),$J$1)</f>
        <v>329249.03000000003</v>
      </c>
      <c r="E45" s="1082"/>
      <c r="F45" s="1083">
        <v>25</v>
      </c>
      <c r="G45" s="1083"/>
      <c r="H45" s="7">
        <f>IF(A45&lt;&gt;0,ROUND(D45/F45,2),$J$1)</f>
        <v>13169.96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13169.96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13169.96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8">
    <tabColor indexed="51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24.75" customHeight="1" x14ac:dyDescent="0.2">
      <c r="A8" s="1241" t="s">
        <v>171</v>
      </c>
      <c r="B8" s="1242"/>
      <c r="C8" s="1243"/>
      <c r="D8" s="55" t="e">
        <f t="shared" ref="D8:D18" si="0">IF(A8&lt;&gt;0,VLOOKUP(A8,Materiales,2,FALSE),$J$1)</f>
        <v>#REF!</v>
      </c>
      <c r="E8" s="510">
        <v>13</v>
      </c>
      <c r="F8" s="531" t="e">
        <f t="shared" ref="F8:F15" si="1">IF(A8&lt;&gt;0,VLOOKUP(A8,Materiales,6,FALSE),$J$1)</f>
        <v>#REF!</v>
      </c>
      <c r="G8" s="531"/>
      <c r="H8" s="512" t="e">
        <f t="shared" ref="H8:H18" si="2">IF(A8&lt;&gt;0,ROUND(E8*F8,2),$J$1)</f>
        <v>#REF!</v>
      </c>
      <c r="I8" s="69"/>
    </row>
    <row r="9" spans="1:10" ht="12.75" customHeight="1" x14ac:dyDescent="0.2">
      <c r="A9" s="1317" t="s">
        <v>294</v>
      </c>
      <c r="B9" s="1318"/>
      <c r="C9" s="1318"/>
      <c r="D9" s="55" t="e">
        <f t="shared" si="0"/>
        <v>#REF!</v>
      </c>
      <c r="E9" s="534">
        <v>8.9999999999999993E-3</v>
      </c>
      <c r="F9" s="531" t="e">
        <f t="shared" si="1"/>
        <v>#REF!</v>
      </c>
      <c r="G9" s="531"/>
      <c r="H9" s="512" t="e">
        <f t="shared" si="2"/>
        <v>#REF!</v>
      </c>
      <c r="I9" s="69"/>
    </row>
    <row r="10" spans="1:10" x14ac:dyDescent="0.2">
      <c r="A10" s="1315"/>
      <c r="B10" s="1316"/>
      <c r="C10" s="1316"/>
      <c r="D10" s="55" t="str">
        <f t="shared" si="0"/>
        <v>-</v>
      </c>
      <c r="E10" s="534"/>
      <c r="F10" s="531" t="str">
        <f t="shared" si="1"/>
        <v>-</v>
      </c>
      <c r="G10" s="531"/>
      <c r="H10" s="512" t="str">
        <f t="shared" si="2"/>
        <v>-</v>
      </c>
      <c r="I10" s="69"/>
    </row>
    <row r="11" spans="1:10" x14ac:dyDescent="0.2">
      <c r="A11" s="1315"/>
      <c r="B11" s="1316"/>
      <c r="C11" s="1316"/>
      <c r="D11" s="55" t="str">
        <f t="shared" si="0"/>
        <v>-</v>
      </c>
      <c r="E11" s="534"/>
      <c r="F11" s="531" t="str">
        <f t="shared" si="1"/>
        <v>-</v>
      </c>
      <c r="G11" s="531"/>
      <c r="H11" s="512" t="str">
        <f t="shared" si="2"/>
        <v>-</v>
      </c>
      <c r="I11" s="69"/>
    </row>
    <row r="12" spans="1:10" x14ac:dyDescent="0.2">
      <c r="A12" s="1315"/>
      <c r="B12" s="1316"/>
      <c r="C12" s="1316"/>
      <c r="D12" s="55" t="str">
        <f t="shared" si="0"/>
        <v>-</v>
      </c>
      <c r="E12" s="510"/>
      <c r="F12" s="531" t="str">
        <f t="shared" si="1"/>
        <v>-</v>
      </c>
      <c r="G12" s="531"/>
      <c r="H12" s="512" t="str">
        <f t="shared" si="2"/>
        <v>-</v>
      </c>
      <c r="I12" s="69"/>
    </row>
    <row r="13" spans="1:10" x14ac:dyDescent="0.2">
      <c r="A13" s="1315"/>
      <c r="B13" s="1316"/>
      <c r="C13" s="1316"/>
      <c r="D13" s="55" t="str">
        <f t="shared" si="0"/>
        <v>-</v>
      </c>
      <c r="E13" s="510"/>
      <c r="F13" s="531" t="str">
        <f t="shared" si="1"/>
        <v>-</v>
      </c>
      <c r="G13" s="531"/>
      <c r="H13" s="512" t="str">
        <f t="shared" si="2"/>
        <v>-</v>
      </c>
      <c r="I13" s="69"/>
    </row>
    <row r="14" spans="1:10" x14ac:dyDescent="0.2">
      <c r="A14" s="1315"/>
      <c r="B14" s="1316"/>
      <c r="C14" s="1316"/>
      <c r="D14" s="55" t="str">
        <f t="shared" si="0"/>
        <v>-</v>
      </c>
      <c r="E14" s="510"/>
      <c r="F14" s="531" t="str">
        <f t="shared" si="1"/>
        <v>-</v>
      </c>
      <c r="G14" s="531"/>
      <c r="H14" s="512" t="str">
        <f t="shared" si="2"/>
        <v>-</v>
      </c>
      <c r="I14" s="69"/>
    </row>
    <row r="15" spans="1:10" x14ac:dyDescent="0.2">
      <c r="A15" s="1315"/>
      <c r="B15" s="1316"/>
      <c r="C15" s="1316"/>
      <c r="D15" s="55" t="str">
        <f t="shared" si="0"/>
        <v>-</v>
      </c>
      <c r="E15" s="510"/>
      <c r="F15" s="531" t="str">
        <f t="shared" si="1"/>
        <v>-</v>
      </c>
      <c r="G15" s="531"/>
      <c r="H15" s="512" t="str">
        <f t="shared" si="2"/>
        <v>-</v>
      </c>
      <c r="I15" s="69"/>
    </row>
    <row r="16" spans="1:10" x14ac:dyDescent="0.2">
      <c r="A16" s="1315"/>
      <c r="B16" s="1316"/>
      <c r="C16" s="1316"/>
      <c r="D16" s="55" t="str">
        <f t="shared" si="0"/>
        <v>-</v>
      </c>
      <c r="E16" s="510"/>
      <c r="F16" s="531" t="str">
        <f>IF(A16&lt;&gt;0,VLOOKUP(A16,Materiales,5,FALSE),$J$1)</f>
        <v>-</v>
      </c>
      <c r="G16" s="531"/>
      <c r="H16" s="512" t="str">
        <f t="shared" si="2"/>
        <v>-</v>
      </c>
      <c r="I16" s="69"/>
    </row>
    <row r="17" spans="1:9" x14ac:dyDescent="0.2">
      <c r="A17" s="1315"/>
      <c r="B17" s="1316"/>
      <c r="C17" s="1316"/>
      <c r="D17" s="55" t="str">
        <f t="shared" si="0"/>
        <v>-</v>
      </c>
      <c r="E17" s="510"/>
      <c r="F17" s="531" t="str">
        <f>IF(A17&lt;&gt;0,VLOOKUP(A17,Materiales,5,FALSE),$J$1)</f>
        <v>-</v>
      </c>
      <c r="G17" s="531"/>
      <c r="H17" s="512" t="str">
        <f t="shared" si="2"/>
        <v>-</v>
      </c>
      <c r="I17" s="69"/>
    </row>
    <row r="18" spans="1:9" x14ac:dyDescent="0.2">
      <c r="A18" s="1315"/>
      <c r="B18" s="1316"/>
      <c r="C18" s="1316"/>
      <c r="D18" s="55" t="str">
        <f t="shared" si="0"/>
        <v>-</v>
      </c>
      <c r="E18" s="510"/>
      <c r="F18" s="531" t="str">
        <f>IF(A18&lt;&gt;0,VLOOKUP(A18,Materiales,5,FALSE),$J$1)</f>
        <v>-</v>
      </c>
      <c r="G18" s="531"/>
      <c r="H18" s="512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15</v>
      </c>
      <c r="E23" s="33"/>
      <c r="F23" s="12">
        <f t="shared" ref="F23:F29" si="3">IF(A23&lt;&gt;0,VLOOKUP(A23,Equipos,6,FALSE),$J$1)</f>
        <v>3710</v>
      </c>
      <c r="G23" s="14">
        <v>0.4</v>
      </c>
      <c r="H23" s="7">
        <f t="shared" ref="H23:H29" si="4">IF(A23&lt;&gt;0,ROUND((F23/D23)*G23,2),$J$1)</f>
        <v>98.93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98.93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62</v>
      </c>
      <c r="B45" s="1081"/>
      <c r="C45" s="1081"/>
      <c r="D45" s="1082">
        <f>IF(A45&lt;&gt;0,VLOOKUP(A45,Cuadrillas,7,FALSE),$J$1)</f>
        <v>329249.03000000003</v>
      </c>
      <c r="E45" s="1082"/>
      <c r="F45" s="1083">
        <v>25</v>
      </c>
      <c r="G45" s="1083"/>
      <c r="H45" s="7">
        <f>IF(A45&lt;&gt;0,ROUND(D45/F45,2),$J$1)</f>
        <v>13169.96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13169.96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13169.96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4:E4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FFFF00"/>
  </sheetPr>
  <dimension ref="A1:J38"/>
  <sheetViews>
    <sheetView view="pageBreakPreview" topLeftCell="B31" zoomScale="115" zoomScaleNormal="100" zoomScaleSheetLayoutView="115" workbookViewId="0">
      <selection activeCell="I38" sqref="I38"/>
    </sheetView>
  </sheetViews>
  <sheetFormatPr baseColWidth="10" defaultColWidth="11.42578125" defaultRowHeight="12.75" x14ac:dyDescent="0.2"/>
  <cols>
    <col min="1" max="1" width="9.140625" style="453" bestFit="1" customWidth="1"/>
    <col min="2" max="2" width="43.140625" style="481" customWidth="1"/>
    <col min="3" max="3" width="13.42578125" style="453" hidden="1" customWidth="1"/>
    <col min="4" max="4" width="15.85546875" style="453" bestFit="1" customWidth="1"/>
    <col min="5" max="5" width="12.42578125" style="488" bestFit="1" customWidth="1"/>
    <col min="6" max="6" width="10.42578125" style="488" bestFit="1" customWidth="1"/>
    <col min="7" max="7" width="11.42578125" style="488" customWidth="1"/>
    <col min="8" max="8" width="11.42578125" style="453"/>
    <col min="9" max="9" width="27.42578125" style="453" customWidth="1"/>
    <col min="10" max="10" width="26.140625" style="453" customWidth="1"/>
    <col min="11" max="16384" width="11.42578125" style="453"/>
  </cols>
  <sheetData>
    <row r="1" spans="1:8" ht="15" x14ac:dyDescent="0.2">
      <c r="A1" s="1151" t="s">
        <v>2238</v>
      </c>
      <c r="B1" s="1151"/>
      <c r="C1" s="1151"/>
      <c r="D1" s="1151"/>
      <c r="E1" s="1151"/>
      <c r="F1" s="1151"/>
      <c r="G1" s="1151"/>
      <c r="H1" s="1151"/>
    </row>
    <row r="2" spans="1:8" ht="15" x14ac:dyDescent="0.2">
      <c r="A2" s="1151" t="s">
        <v>2239</v>
      </c>
      <c r="B2" s="1151"/>
      <c r="C2" s="1151"/>
      <c r="D2" s="1151"/>
      <c r="E2" s="1151"/>
      <c r="F2" s="1151"/>
      <c r="G2" s="1151"/>
      <c r="H2" s="1151"/>
    </row>
    <row r="3" spans="1:8" ht="15.75" x14ac:dyDescent="0.2">
      <c r="A3" s="1152" t="s">
        <v>2240</v>
      </c>
      <c r="B3" s="1152"/>
      <c r="C3" s="1152"/>
      <c r="D3" s="1152"/>
      <c r="E3" s="1152"/>
      <c r="F3" s="1152"/>
      <c r="G3" s="1152"/>
      <c r="H3" s="1152"/>
    </row>
    <row r="4" spans="1:8" hidden="1" x14ac:dyDescent="0.2">
      <c r="A4" s="1146" t="str">
        <f>+'Datos entrada'!B4</f>
        <v>OPTIMIZACIÓN Y AMPLIACIÓN DE LA RED ALCANTARILLADO DEL CORREGIMIENTO DE LAS MESAS, MUNICIPIO DE EL TABLON DE GOMEZ – DEPARTAMENTO DE NARIÑO.</v>
      </c>
      <c r="B4" s="1146"/>
      <c r="C4" s="1146"/>
      <c r="D4" s="1146"/>
      <c r="E4" s="1146"/>
      <c r="F4" s="1146"/>
      <c r="G4" s="1146"/>
      <c r="H4" s="1146"/>
    </row>
    <row r="5" spans="1:8" hidden="1" x14ac:dyDescent="0.2">
      <c r="A5" s="1146" t="str">
        <f>+'Datos entrada'!B8</f>
        <v>CORREGIMIENTO DE LAS MESAS-MUNICIPIO DETABLON DE GOMES (N)</v>
      </c>
      <c r="B5" s="1146"/>
      <c r="C5" s="1146"/>
      <c r="D5" s="1146"/>
      <c r="E5" s="1146"/>
      <c r="F5" s="1146"/>
      <c r="G5" s="1146"/>
      <c r="H5" s="1146"/>
    </row>
    <row r="6" spans="1:8" hidden="1" x14ac:dyDescent="0.2">
      <c r="A6" s="1146" t="str">
        <f>+'Datos entrada'!B17</f>
        <v xml:space="preserve">TABLON DE GOMEZ (DEPARTAMENTO NARIÑO) </v>
      </c>
      <c r="B6" s="1146"/>
      <c r="C6" s="1146"/>
      <c r="D6" s="1146"/>
      <c r="E6" s="1146"/>
      <c r="F6" s="1146"/>
      <c r="G6" s="1146"/>
      <c r="H6" s="1146"/>
    </row>
    <row r="7" spans="1:8" x14ac:dyDescent="0.2">
      <c r="A7" s="1146"/>
      <c r="B7" s="1146"/>
      <c r="C7" s="1146"/>
      <c r="D7" s="1146"/>
      <c r="E7" s="1146"/>
      <c r="F7" s="1146"/>
      <c r="G7" s="1146"/>
      <c r="H7" s="1146"/>
    </row>
    <row r="8" spans="1:8" ht="1.5" customHeight="1" thickBot="1" x14ac:dyDescent="0.25">
      <c r="A8" s="1146"/>
      <c r="B8" s="1146"/>
      <c r="C8" s="1146"/>
      <c r="D8" s="1146"/>
      <c r="E8" s="1146"/>
      <c r="F8" s="1146"/>
      <c r="G8" s="1146"/>
      <c r="H8" s="1146"/>
    </row>
    <row r="9" spans="1:8" ht="41.25" thickTop="1" x14ac:dyDescent="0.2">
      <c r="A9" s="489" t="s">
        <v>2241</v>
      </c>
      <c r="B9" s="1150" t="s">
        <v>26</v>
      </c>
      <c r="C9" s="1150"/>
      <c r="D9" s="864" t="s">
        <v>2214</v>
      </c>
      <c r="E9" s="864" t="s">
        <v>2071</v>
      </c>
      <c r="F9" s="490" t="s">
        <v>2242</v>
      </c>
      <c r="G9" s="490" t="s">
        <v>2243</v>
      </c>
      <c r="H9" s="491" t="s">
        <v>2244</v>
      </c>
    </row>
    <row r="10" spans="1:8" ht="13.5" x14ac:dyDescent="0.2">
      <c r="A10" s="492" t="s">
        <v>2245</v>
      </c>
      <c r="B10" s="1145" t="s">
        <v>2246</v>
      </c>
      <c r="C10" s="1145"/>
      <c r="D10" s="482" t="s">
        <v>359</v>
      </c>
      <c r="E10" s="483"/>
      <c r="F10" s="483"/>
      <c r="G10" s="483"/>
      <c r="H10" s="493">
        <f>SUM(G11:G31)</f>
        <v>0.14000000000000001</v>
      </c>
    </row>
    <row r="11" spans="1:8" ht="14.25" x14ac:dyDescent="0.2">
      <c r="A11" s="494">
        <v>1.01</v>
      </c>
      <c r="B11" s="1148" t="s">
        <v>2247</v>
      </c>
      <c r="C11" s="1148"/>
      <c r="D11" s="484" t="s">
        <v>126</v>
      </c>
      <c r="E11" s="485">
        <v>1</v>
      </c>
      <c r="F11" s="486">
        <v>2.5000000000000001E-2</v>
      </c>
      <c r="G11" s="486">
        <f>+F11</f>
        <v>2.5000000000000001E-2</v>
      </c>
      <c r="H11" s="495"/>
    </row>
    <row r="12" spans="1:8" ht="14.25" x14ac:dyDescent="0.2">
      <c r="A12" s="494">
        <f t="shared" ref="A12:A28" si="0">A11+0.01</f>
        <v>1.02</v>
      </c>
      <c r="B12" s="1148" t="s">
        <v>2248</v>
      </c>
      <c r="C12" s="1148"/>
      <c r="D12" s="484" t="s">
        <v>126</v>
      </c>
      <c r="E12" s="485">
        <v>1</v>
      </c>
      <c r="F12" s="486">
        <v>0.01</v>
      </c>
      <c r="G12" s="486">
        <f t="shared" ref="G12:G28" si="1">+F12</f>
        <v>0.01</v>
      </c>
      <c r="H12" s="495"/>
    </row>
    <row r="13" spans="1:8" ht="14.25" x14ac:dyDescent="0.2">
      <c r="A13" s="494">
        <f t="shared" si="0"/>
        <v>1.03</v>
      </c>
      <c r="B13" s="1148" t="s">
        <v>2249</v>
      </c>
      <c r="C13" s="1148"/>
      <c r="D13" s="484" t="s">
        <v>126</v>
      </c>
      <c r="E13" s="485">
        <v>1</v>
      </c>
      <c r="F13" s="486">
        <v>5.0000000000000001E-3</v>
      </c>
      <c r="G13" s="486">
        <f t="shared" si="1"/>
        <v>5.0000000000000001E-3</v>
      </c>
      <c r="H13" s="495"/>
    </row>
    <row r="14" spans="1:8" ht="14.25" x14ac:dyDescent="0.2">
      <c r="A14" s="494">
        <f t="shared" si="0"/>
        <v>1.04</v>
      </c>
      <c r="B14" s="1148" t="s">
        <v>2250</v>
      </c>
      <c r="C14" s="1148"/>
      <c r="D14" s="484" t="s">
        <v>126</v>
      </c>
      <c r="E14" s="485">
        <v>1</v>
      </c>
      <c r="F14" s="486">
        <v>3.5000000000000001E-3</v>
      </c>
      <c r="G14" s="486">
        <f t="shared" si="1"/>
        <v>3.5000000000000001E-3</v>
      </c>
      <c r="H14" s="495"/>
    </row>
    <row r="15" spans="1:8" ht="14.25" x14ac:dyDescent="0.2">
      <c r="A15" s="494">
        <f t="shared" si="0"/>
        <v>1.05</v>
      </c>
      <c r="B15" s="1148" t="s">
        <v>2251</v>
      </c>
      <c r="C15" s="1148"/>
      <c r="D15" s="484" t="s">
        <v>126</v>
      </c>
      <c r="E15" s="485">
        <v>1</v>
      </c>
      <c r="F15" s="486">
        <v>5.0000000000000001E-4</v>
      </c>
      <c r="G15" s="486">
        <f t="shared" si="1"/>
        <v>5.0000000000000001E-4</v>
      </c>
      <c r="H15" s="495"/>
    </row>
    <row r="16" spans="1:8" ht="14.25" x14ac:dyDescent="0.2">
      <c r="A16" s="494">
        <f t="shared" si="0"/>
        <v>1.06</v>
      </c>
      <c r="B16" s="1148" t="s">
        <v>2252</v>
      </c>
      <c r="C16" s="1148"/>
      <c r="D16" s="484" t="s">
        <v>126</v>
      </c>
      <c r="E16" s="485">
        <v>1</v>
      </c>
      <c r="F16" s="486">
        <v>2E-3</v>
      </c>
      <c r="G16" s="486">
        <f t="shared" si="1"/>
        <v>2E-3</v>
      </c>
      <c r="H16" s="495"/>
    </row>
    <row r="17" spans="1:10" ht="14.25" hidden="1" x14ac:dyDescent="0.2">
      <c r="A17" s="496">
        <f t="shared" si="0"/>
        <v>1.07</v>
      </c>
      <c r="B17" s="1149" t="s">
        <v>2253</v>
      </c>
      <c r="C17" s="1149"/>
      <c r="D17" s="484" t="s">
        <v>126</v>
      </c>
      <c r="E17" s="485">
        <v>1</v>
      </c>
      <c r="F17" s="486"/>
      <c r="G17" s="486">
        <f t="shared" si="1"/>
        <v>0</v>
      </c>
      <c r="H17" s="495"/>
    </row>
    <row r="18" spans="1:10" ht="14.25" x14ac:dyDescent="0.2">
      <c r="A18" s="494">
        <f t="shared" si="0"/>
        <v>1.08</v>
      </c>
      <c r="B18" s="1148" t="s">
        <v>2254</v>
      </c>
      <c r="C18" s="1148"/>
      <c r="D18" s="484" t="s">
        <v>126</v>
      </c>
      <c r="E18" s="485">
        <v>1</v>
      </c>
      <c r="F18" s="486">
        <v>1E-3</v>
      </c>
      <c r="G18" s="486">
        <f t="shared" si="1"/>
        <v>1E-3</v>
      </c>
      <c r="H18" s="495"/>
    </row>
    <row r="19" spans="1:10" ht="14.25" x14ac:dyDescent="0.2">
      <c r="A19" s="494">
        <f t="shared" si="0"/>
        <v>1.0900000000000001</v>
      </c>
      <c r="B19" s="1148" t="s">
        <v>2255</v>
      </c>
      <c r="C19" s="1148"/>
      <c r="D19" s="484" t="s">
        <v>126</v>
      </c>
      <c r="E19" s="485">
        <v>1</v>
      </c>
      <c r="F19" s="486">
        <v>1E-3</v>
      </c>
      <c r="G19" s="486">
        <f t="shared" si="1"/>
        <v>1E-3</v>
      </c>
      <c r="H19" s="495"/>
    </row>
    <row r="20" spans="1:10" ht="14.25" x14ac:dyDescent="0.2">
      <c r="A20" s="497">
        <f t="shared" si="0"/>
        <v>1.1000000000000001</v>
      </c>
      <c r="B20" s="1148" t="s">
        <v>2256</v>
      </c>
      <c r="C20" s="1148"/>
      <c r="D20" s="484" t="s">
        <v>126</v>
      </c>
      <c r="E20" s="485">
        <v>1</v>
      </c>
      <c r="F20" s="486">
        <v>2E-3</v>
      </c>
      <c r="G20" s="486">
        <f t="shared" si="1"/>
        <v>2E-3</v>
      </c>
      <c r="H20" s="495"/>
    </row>
    <row r="21" spans="1:10" ht="14.25" hidden="1" x14ac:dyDescent="0.2">
      <c r="A21" s="498">
        <f t="shared" si="0"/>
        <v>1.1100000000000001</v>
      </c>
      <c r="B21" s="1149" t="s">
        <v>2257</v>
      </c>
      <c r="C21" s="1149"/>
      <c r="D21" s="484" t="s">
        <v>126</v>
      </c>
      <c r="E21" s="485">
        <v>1</v>
      </c>
      <c r="F21" s="486"/>
      <c r="G21" s="486">
        <f t="shared" si="1"/>
        <v>0</v>
      </c>
      <c r="H21" s="495"/>
    </row>
    <row r="22" spans="1:10" ht="14.25" x14ac:dyDescent="0.2">
      <c r="A22" s="497">
        <f t="shared" si="0"/>
        <v>1.1200000000000001</v>
      </c>
      <c r="B22" s="1148" t="s">
        <v>2258</v>
      </c>
      <c r="C22" s="1148"/>
      <c r="D22" s="484" t="s">
        <v>126</v>
      </c>
      <c r="E22" s="485">
        <v>1</v>
      </c>
      <c r="F22" s="486">
        <v>1.5E-3</v>
      </c>
      <c r="G22" s="486">
        <f t="shared" si="1"/>
        <v>1.5E-3</v>
      </c>
      <c r="H22" s="495"/>
    </row>
    <row r="23" spans="1:10" ht="14.25" x14ac:dyDescent="0.2">
      <c r="A23" s="497">
        <f t="shared" si="0"/>
        <v>1.1300000000000001</v>
      </c>
      <c r="B23" s="1148" t="s">
        <v>2259</v>
      </c>
      <c r="C23" s="1148"/>
      <c r="D23" s="484" t="s">
        <v>126</v>
      </c>
      <c r="E23" s="485">
        <v>1</v>
      </c>
      <c r="F23" s="486">
        <v>1.5E-3</v>
      </c>
      <c r="G23" s="486">
        <f t="shared" si="1"/>
        <v>1.5E-3</v>
      </c>
      <c r="H23" s="495"/>
    </row>
    <row r="24" spans="1:10" ht="14.25" x14ac:dyDescent="0.2">
      <c r="A24" s="505">
        <f t="shared" si="0"/>
        <v>1.1400000000000001</v>
      </c>
      <c r="B24" s="1147" t="s">
        <v>2260</v>
      </c>
      <c r="C24" s="1147"/>
      <c r="D24" s="484" t="s">
        <v>126</v>
      </c>
      <c r="E24" s="485">
        <v>1</v>
      </c>
      <c r="F24" s="486">
        <v>0.01</v>
      </c>
      <c r="G24" s="486">
        <f t="shared" si="1"/>
        <v>0.01</v>
      </c>
      <c r="H24" s="495"/>
    </row>
    <row r="25" spans="1:10" ht="14.25" x14ac:dyDescent="0.2">
      <c r="A25" s="497">
        <f t="shared" si="0"/>
        <v>1.1500000000000001</v>
      </c>
      <c r="B25" s="1148" t="s">
        <v>2261</v>
      </c>
      <c r="C25" s="1148"/>
      <c r="D25" s="484" t="s">
        <v>126</v>
      </c>
      <c r="E25" s="485">
        <v>1</v>
      </c>
      <c r="F25" s="486">
        <v>5.0000000000000001E-3</v>
      </c>
      <c r="G25" s="486">
        <f t="shared" si="1"/>
        <v>5.0000000000000001E-3</v>
      </c>
      <c r="H25" s="495"/>
    </row>
    <row r="26" spans="1:10" ht="14.25" x14ac:dyDescent="0.2">
      <c r="A26" s="497">
        <f t="shared" si="0"/>
        <v>1.1600000000000001</v>
      </c>
      <c r="B26" s="1148" t="s">
        <v>2262</v>
      </c>
      <c r="C26" s="1148"/>
      <c r="D26" s="484" t="s">
        <v>126</v>
      </c>
      <c r="E26" s="485">
        <v>1</v>
      </c>
      <c r="F26" s="486">
        <v>1.66E-2</v>
      </c>
      <c r="G26" s="486">
        <f t="shared" si="1"/>
        <v>1.66E-2</v>
      </c>
      <c r="H26" s="495"/>
    </row>
    <row r="27" spans="1:10" ht="14.25" x14ac:dyDescent="0.2">
      <c r="A27" s="497">
        <f t="shared" si="0"/>
        <v>1.1700000000000002</v>
      </c>
      <c r="B27" s="1148" t="s">
        <v>2263</v>
      </c>
      <c r="C27" s="1148"/>
      <c r="D27" s="484" t="s">
        <v>126</v>
      </c>
      <c r="E27" s="485">
        <v>1</v>
      </c>
      <c r="F27" s="487">
        <v>1.4999999999999999E-2</v>
      </c>
      <c r="G27" s="486">
        <f t="shared" si="1"/>
        <v>1.4999999999999999E-2</v>
      </c>
      <c r="H27" s="495"/>
    </row>
    <row r="28" spans="1:10" ht="14.25" x14ac:dyDescent="0.2">
      <c r="A28" s="497">
        <f t="shared" si="0"/>
        <v>1.1800000000000002</v>
      </c>
      <c r="B28" s="1148" t="s">
        <v>2264</v>
      </c>
      <c r="C28" s="1148"/>
      <c r="D28" s="484" t="s">
        <v>126</v>
      </c>
      <c r="E28" s="485">
        <v>1</v>
      </c>
      <c r="F28" s="486">
        <f>SUM(F29:F30)</f>
        <v>0.03</v>
      </c>
      <c r="G28" s="486">
        <f t="shared" si="1"/>
        <v>0.03</v>
      </c>
      <c r="H28" s="495"/>
    </row>
    <row r="29" spans="1:10" ht="14.25" x14ac:dyDescent="0.2">
      <c r="A29" s="497" t="s">
        <v>2265</v>
      </c>
      <c r="B29" s="863" t="s">
        <v>2266</v>
      </c>
      <c r="C29" s="863"/>
      <c r="D29" s="484" t="s">
        <v>126</v>
      </c>
      <c r="E29" s="485">
        <v>1</v>
      </c>
      <c r="F29" s="486">
        <v>0.02</v>
      </c>
      <c r="G29" s="486"/>
      <c r="H29" s="495"/>
    </row>
    <row r="30" spans="1:10" ht="14.25" x14ac:dyDescent="0.2">
      <c r="A30" s="497" t="s">
        <v>2267</v>
      </c>
      <c r="B30" s="863" t="s">
        <v>2268</v>
      </c>
      <c r="C30" s="863"/>
      <c r="D30" s="484" t="s">
        <v>126</v>
      </c>
      <c r="E30" s="485">
        <v>1</v>
      </c>
      <c r="F30" s="486">
        <v>0.01</v>
      </c>
      <c r="G30" s="486"/>
      <c r="H30" s="495"/>
    </row>
    <row r="31" spans="1:10" ht="14.25" x14ac:dyDescent="0.2">
      <c r="A31" s="497">
        <v>1.19</v>
      </c>
      <c r="B31" s="863" t="s">
        <v>2269</v>
      </c>
      <c r="C31" s="863"/>
      <c r="D31" s="484" t="s">
        <v>108</v>
      </c>
      <c r="E31" s="485">
        <v>1</v>
      </c>
      <c r="F31" s="486">
        <v>1.04E-2</v>
      </c>
      <c r="G31" s="486">
        <f>+F31</f>
        <v>1.04E-2</v>
      </c>
      <c r="H31" s="495"/>
      <c r="J31" s="488" t="s">
        <v>2270</v>
      </c>
    </row>
    <row r="32" spans="1:10" ht="14.25" x14ac:dyDescent="0.2">
      <c r="A32" s="492" t="s">
        <v>2271</v>
      </c>
      <c r="B32" s="1145" t="s">
        <v>2272</v>
      </c>
      <c r="C32" s="1145"/>
      <c r="D32" s="484" t="s">
        <v>359</v>
      </c>
      <c r="E32" s="483"/>
      <c r="F32" s="486">
        <v>0.05</v>
      </c>
      <c r="G32" s="486"/>
      <c r="H32" s="493">
        <v>0.05</v>
      </c>
      <c r="J32" s="453" t="s">
        <v>2270</v>
      </c>
    </row>
    <row r="33" spans="1:9" ht="14.25" x14ac:dyDescent="0.2">
      <c r="A33" s="492" t="s">
        <v>2273</v>
      </c>
      <c r="B33" s="1145" t="s">
        <v>2274</v>
      </c>
      <c r="C33" s="1145"/>
      <c r="D33" s="484" t="s">
        <v>359</v>
      </c>
      <c r="E33" s="483"/>
      <c r="F33" s="486">
        <v>0.06</v>
      </c>
      <c r="G33" s="486"/>
      <c r="H33" s="493">
        <f>+F33</f>
        <v>0.06</v>
      </c>
    </row>
    <row r="34" spans="1:9" ht="14.25" x14ac:dyDescent="0.2">
      <c r="A34" s="492" t="s">
        <v>2275</v>
      </c>
      <c r="B34" s="1145" t="s">
        <v>2276</v>
      </c>
      <c r="C34" s="1145"/>
      <c r="D34" s="484" t="s">
        <v>359</v>
      </c>
      <c r="E34" s="483">
        <v>0.16</v>
      </c>
      <c r="F34" s="483" t="s">
        <v>2277</v>
      </c>
      <c r="G34" s="486"/>
      <c r="H34" s="493">
        <v>0</v>
      </c>
    </row>
    <row r="35" spans="1:9" ht="14.25" x14ac:dyDescent="0.2">
      <c r="A35" s="492" t="s">
        <v>2278</v>
      </c>
      <c r="B35" s="1145" t="s">
        <v>2279</v>
      </c>
      <c r="C35" s="1145"/>
      <c r="D35" s="484" t="s">
        <v>359</v>
      </c>
      <c r="E35" s="483"/>
      <c r="F35" s="486"/>
      <c r="G35" s="486"/>
      <c r="H35" s="493">
        <f>+H34+H33+H32+H10</f>
        <v>0.25</v>
      </c>
    </row>
    <row r="36" spans="1:9" ht="12.75" customHeight="1" thickBot="1" x14ac:dyDescent="0.25">
      <c r="A36" s="499" t="s">
        <v>2280</v>
      </c>
      <c r="B36" s="500" t="s">
        <v>2281</v>
      </c>
      <c r="C36" s="932"/>
      <c r="D36" s="501" t="s">
        <v>359</v>
      </c>
      <c r="E36" s="502">
        <v>0.05</v>
      </c>
      <c r="F36" s="503"/>
      <c r="G36" s="503"/>
      <c r="H36" s="504">
        <f>+E36</f>
        <v>0.05</v>
      </c>
      <c r="I36" s="488"/>
    </row>
    <row r="37" spans="1:9" ht="13.5" thickTop="1" x14ac:dyDescent="0.2"/>
    <row r="38" spans="1:9" ht="40.5" customHeight="1" x14ac:dyDescent="0.2">
      <c r="A38" s="1144" t="s">
        <v>2282</v>
      </c>
      <c r="B38" s="1144"/>
      <c r="C38" s="1144"/>
      <c r="D38" s="1144"/>
      <c r="E38" s="1144"/>
      <c r="F38" s="1144"/>
      <c r="G38" s="1144"/>
      <c r="H38" s="1144"/>
    </row>
  </sheetData>
  <customSheetViews>
    <customSheetView guid="{93F324B6-F965-4669-93FF-DBB148734A46}" hiddenRows="1" hiddenColumns="1">
      <selection activeCell="L4" sqref="L4"/>
      <pageMargins left="0" right="0" top="0" bottom="0" header="0" footer="0"/>
      <printOptions horizontalCentered="1"/>
      <pageSetup orientation="landscape" errors="blank" r:id="rId1"/>
    </customSheetView>
  </customSheetViews>
  <mergeCells count="32">
    <mergeCell ref="A1:H1"/>
    <mergeCell ref="A2:H2"/>
    <mergeCell ref="A4:H4"/>
    <mergeCell ref="A5:H5"/>
    <mergeCell ref="A6:H6"/>
    <mergeCell ref="A3:H3"/>
    <mergeCell ref="B28:C28"/>
    <mergeCell ref="B19:C19"/>
    <mergeCell ref="B20:C20"/>
    <mergeCell ref="B21:C21"/>
    <mergeCell ref="B22:C22"/>
    <mergeCell ref="B23:C23"/>
    <mergeCell ref="A7:H8"/>
    <mergeCell ref="B24:C24"/>
    <mergeCell ref="B25:C25"/>
    <mergeCell ref="B26:C26"/>
    <mergeCell ref="B27:C27"/>
    <mergeCell ref="B14:C14"/>
    <mergeCell ref="B15:C15"/>
    <mergeCell ref="B16:C16"/>
    <mergeCell ref="B17:C17"/>
    <mergeCell ref="B18:C18"/>
    <mergeCell ref="B9:C9"/>
    <mergeCell ref="B10:C10"/>
    <mergeCell ref="B11:C11"/>
    <mergeCell ref="B12:C12"/>
    <mergeCell ref="B13:C13"/>
    <mergeCell ref="A38:H38"/>
    <mergeCell ref="B32:C32"/>
    <mergeCell ref="B33:C33"/>
    <mergeCell ref="B34:C34"/>
    <mergeCell ref="B35:C35"/>
  </mergeCells>
  <printOptions horizontalCentered="1"/>
  <pageMargins left="0.51181102362204722" right="0.70866141732283472" top="0.55118110236220474" bottom="0.55118110236220474" header="0.31496062992125984" footer="0.31496062992125984"/>
  <pageSetup scale="90" orientation="landscape" errors="blank"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9">
    <tabColor indexed="51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37.5" customHeight="1" x14ac:dyDescent="0.2">
      <c r="A8" s="1241" t="s">
        <v>204</v>
      </c>
      <c r="B8" s="1242"/>
      <c r="C8" s="1243"/>
      <c r="D8" s="55" t="e">
        <f t="shared" ref="D8:D18" si="0">IF(A8&lt;&gt;0,VLOOKUP(A8,Materiales,2,FALSE),$J$1)</f>
        <v>#REF!</v>
      </c>
      <c r="E8" s="510">
        <v>1</v>
      </c>
      <c r="F8" s="531" t="e">
        <f t="shared" ref="F8:F15" si="1">IF(A8&lt;&gt;0,VLOOKUP(A8,Materiales,6,FALSE),$J$1)</f>
        <v>#REF!</v>
      </c>
      <c r="G8" s="531"/>
      <c r="H8" s="512" t="e">
        <f t="shared" ref="H8:H18" si="2">IF(A8&lt;&gt;0,ROUND(E8*F8,2),$J$1)</f>
        <v>#REF!</v>
      </c>
      <c r="I8" s="69"/>
    </row>
    <row r="9" spans="1:10" ht="12.75" customHeight="1" x14ac:dyDescent="0.2">
      <c r="A9" s="1241" t="s">
        <v>294</v>
      </c>
      <c r="B9" s="1242"/>
      <c r="C9" s="1243"/>
      <c r="D9" s="844" t="e">
        <f t="shared" si="0"/>
        <v>#REF!</v>
      </c>
      <c r="E9" s="13">
        <v>5.0000000000000001E-3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3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3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15</v>
      </c>
      <c r="E23" s="33"/>
      <c r="F23" s="12">
        <f t="shared" ref="F23:F29" si="3">IF(A23&lt;&gt;0,VLOOKUP(A23,Equipos,6,FALSE),$J$1)</f>
        <v>3710</v>
      </c>
      <c r="G23" s="14">
        <v>0.4</v>
      </c>
      <c r="H23" s="7">
        <f t="shared" ref="H23:H29" si="4">IF(A23&lt;&gt;0,ROUND((F23/D23)*G23,2),$J$1)</f>
        <v>98.93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98.93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62</v>
      </c>
      <c r="B45" s="1081"/>
      <c r="C45" s="1081"/>
      <c r="D45" s="1082">
        <f>IF(A45&lt;&gt;0,VLOOKUP(A45,Cuadrillas,7,FALSE),$J$1)</f>
        <v>329249.03000000003</v>
      </c>
      <c r="E45" s="1082"/>
      <c r="F45" s="1083">
        <v>32</v>
      </c>
      <c r="G45" s="1083"/>
      <c r="H45" s="7">
        <f>IF(A45&lt;&gt;0,ROUND(D45/F45,2),$J$1)</f>
        <v>10289.030000000001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10289.030000000001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10289.030000000001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4:E4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FFC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24.75" customHeight="1" x14ac:dyDescent="0.2">
      <c r="A8" s="1116" t="s">
        <v>170</v>
      </c>
      <c r="B8" s="1117"/>
      <c r="C8" s="1118"/>
      <c r="D8" s="844" t="e">
        <f t="shared" ref="D8:D18" si="0">IF(A8&lt;&gt;0,VLOOKUP(A8,Materiales,2,FALSE),$J$1)</f>
        <v>#REF!</v>
      </c>
      <c r="E8" s="13">
        <v>13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294</v>
      </c>
      <c r="B9" s="1284"/>
      <c r="C9" s="1284"/>
      <c r="D9" s="844" t="e">
        <f t="shared" si="0"/>
        <v>#REF!</v>
      </c>
      <c r="E9" s="13">
        <v>8.9999999999999993E-3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3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3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12.5</v>
      </c>
      <c r="E23" s="33"/>
      <c r="F23" s="12">
        <f t="shared" ref="F23:F29" si="3">IF(A23&lt;&gt;0,VLOOKUP(A23,Equipos,6,FALSE),$J$1)</f>
        <v>3710</v>
      </c>
      <c r="G23" s="14">
        <v>0.35</v>
      </c>
      <c r="H23" s="7">
        <f t="shared" ref="H23:H29" si="4">IF(A23&lt;&gt;0,ROUND((F23/D23)*G23,2),$J$1)</f>
        <v>103.88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103.88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62</v>
      </c>
      <c r="B45" s="1081"/>
      <c r="C45" s="1081"/>
      <c r="D45" s="1082">
        <f>IF(A45&lt;&gt;0,VLOOKUP(A45,Cuadrillas,7,FALSE),$J$1)</f>
        <v>329249.03000000003</v>
      </c>
      <c r="E45" s="1082"/>
      <c r="F45" s="1083">
        <v>25</v>
      </c>
      <c r="G45" s="1083"/>
      <c r="H45" s="7">
        <f>IF(A45&lt;&gt;0,ROUND(D45/F45,2),$J$1)</f>
        <v>13169.96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13169.96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13169.96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2:H52"/>
    <mergeCell ref="A51:I51"/>
    <mergeCell ref="A50:H50"/>
    <mergeCell ref="F46:G46"/>
    <mergeCell ref="A1:C1"/>
    <mergeCell ref="B34:C34"/>
    <mergeCell ref="B38:C38"/>
    <mergeCell ref="A46:C46"/>
    <mergeCell ref="D46:E46"/>
    <mergeCell ref="F44:G44"/>
    <mergeCell ref="F45:G45"/>
    <mergeCell ref="A43:I43"/>
    <mergeCell ref="A25:C25"/>
    <mergeCell ref="A26:C26"/>
    <mergeCell ref="D45:E45"/>
    <mergeCell ref="A44:C44"/>
    <mergeCell ref="A45:C45"/>
    <mergeCell ref="D44:E44"/>
    <mergeCell ref="A27:C27"/>
    <mergeCell ref="A28:C28"/>
    <mergeCell ref="A29:C29"/>
    <mergeCell ref="A41:H41"/>
    <mergeCell ref="A42:I42"/>
    <mergeCell ref="A35:C35"/>
    <mergeCell ref="A36:C36"/>
    <mergeCell ref="A37:C37"/>
    <mergeCell ref="A39:C39"/>
    <mergeCell ref="A40:C40"/>
    <mergeCell ref="A56:G56"/>
    <mergeCell ref="H56:I56"/>
    <mergeCell ref="A47:C47"/>
    <mergeCell ref="A48:C48"/>
    <mergeCell ref="D47:E47"/>
    <mergeCell ref="F47:G47"/>
    <mergeCell ref="A49:C49"/>
    <mergeCell ref="D48:E48"/>
    <mergeCell ref="A53:H53"/>
    <mergeCell ref="F49:G49"/>
    <mergeCell ref="F48:G48"/>
    <mergeCell ref="D49:E49"/>
    <mergeCell ref="F55:I55"/>
    <mergeCell ref="A55:C55"/>
    <mergeCell ref="D55:E55"/>
    <mergeCell ref="A54:G54"/>
    <mergeCell ref="A14:C14"/>
    <mergeCell ref="H1:I1"/>
    <mergeCell ref="A23:C23"/>
    <mergeCell ref="A24:C24"/>
    <mergeCell ref="A15:C15"/>
    <mergeCell ref="A16:C16"/>
    <mergeCell ref="A17:C17"/>
    <mergeCell ref="A18:C18"/>
    <mergeCell ref="A8:C8"/>
    <mergeCell ref="A9:C9"/>
    <mergeCell ref="A10:C10"/>
    <mergeCell ref="A11:C11"/>
    <mergeCell ref="A12:C12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FFC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24.75" customHeight="1" x14ac:dyDescent="0.2">
      <c r="A8" s="1241" t="s">
        <v>169</v>
      </c>
      <c r="B8" s="1242"/>
      <c r="C8" s="1243"/>
      <c r="D8" s="57" t="e">
        <f t="shared" ref="D8:D18" si="0">IF(A8&lt;&gt;0,VLOOKUP(A8,Materiales,2,FALSE),$J$1)</f>
        <v>#REF!</v>
      </c>
      <c r="E8" s="535">
        <v>12.5</v>
      </c>
      <c r="F8" s="522" t="e">
        <f t="shared" ref="F8:F15" si="1">IF(A8&lt;&gt;0,VLOOKUP(A8,Materiales,6,FALSE),$J$1)</f>
        <v>#REF!</v>
      </c>
      <c r="G8" s="522"/>
      <c r="H8" s="512" t="e">
        <f t="shared" ref="H8:H18" si="2">IF(A8&lt;&gt;0,ROUND(E8*F8,2),$J$1)</f>
        <v>#REF!</v>
      </c>
      <c r="I8" s="69"/>
    </row>
    <row r="9" spans="1:10" ht="12.75" customHeight="1" x14ac:dyDescent="0.2">
      <c r="A9" s="1317" t="s">
        <v>294</v>
      </c>
      <c r="B9" s="1318"/>
      <c r="C9" s="1318"/>
      <c r="D9" s="57" t="e">
        <f t="shared" si="0"/>
        <v>#REF!</v>
      </c>
      <c r="E9" s="535">
        <v>7.0000000000000001E-3</v>
      </c>
      <c r="F9" s="522" t="e">
        <f t="shared" si="1"/>
        <v>#REF!</v>
      </c>
      <c r="G9" s="522"/>
      <c r="H9" s="512" t="e">
        <f t="shared" si="2"/>
        <v>#REF!</v>
      </c>
      <c r="I9" s="69"/>
    </row>
    <row r="10" spans="1:10" x14ac:dyDescent="0.2">
      <c r="A10" s="1319"/>
      <c r="B10" s="1320"/>
      <c r="C10" s="1320"/>
      <c r="D10" s="57" t="str">
        <f t="shared" si="0"/>
        <v>-</v>
      </c>
      <c r="E10" s="535"/>
      <c r="F10" s="522" t="str">
        <f t="shared" si="1"/>
        <v>-</v>
      </c>
      <c r="G10" s="522"/>
      <c r="H10" s="512" t="str">
        <f t="shared" si="2"/>
        <v>-</v>
      </c>
      <c r="I10" s="69"/>
    </row>
    <row r="11" spans="1:10" x14ac:dyDescent="0.2">
      <c r="A11" s="1319"/>
      <c r="B11" s="1320"/>
      <c r="C11" s="1320"/>
      <c r="D11" s="57" t="str">
        <f t="shared" si="0"/>
        <v>-</v>
      </c>
      <c r="E11" s="535"/>
      <c r="F11" s="522" t="str">
        <f t="shared" si="1"/>
        <v>-</v>
      </c>
      <c r="G11" s="522"/>
      <c r="H11" s="512" t="str">
        <f t="shared" si="2"/>
        <v>-</v>
      </c>
      <c r="I11" s="69"/>
    </row>
    <row r="12" spans="1:10" x14ac:dyDescent="0.2">
      <c r="A12" s="1319"/>
      <c r="B12" s="1320"/>
      <c r="C12" s="1320"/>
      <c r="D12" s="57" t="str">
        <f t="shared" si="0"/>
        <v>-</v>
      </c>
      <c r="E12" s="515"/>
      <c r="F12" s="522" t="str">
        <f t="shared" si="1"/>
        <v>-</v>
      </c>
      <c r="G12" s="522"/>
      <c r="H12" s="512" t="str">
        <f t="shared" si="2"/>
        <v>-</v>
      </c>
      <c r="I12" s="69"/>
    </row>
    <row r="13" spans="1:10" x14ac:dyDescent="0.2">
      <c r="A13" s="1319"/>
      <c r="B13" s="1320"/>
      <c r="C13" s="1320"/>
      <c r="D13" s="57" t="str">
        <f t="shared" si="0"/>
        <v>-</v>
      </c>
      <c r="E13" s="515"/>
      <c r="F13" s="522" t="str">
        <f t="shared" si="1"/>
        <v>-</v>
      </c>
      <c r="G13" s="522"/>
      <c r="H13" s="512" t="str">
        <f t="shared" si="2"/>
        <v>-</v>
      </c>
      <c r="I13" s="69"/>
    </row>
    <row r="14" spans="1:10" x14ac:dyDescent="0.2">
      <c r="A14" s="1319"/>
      <c r="B14" s="1320"/>
      <c r="C14" s="1320"/>
      <c r="D14" s="57" t="str">
        <f t="shared" si="0"/>
        <v>-</v>
      </c>
      <c r="E14" s="515"/>
      <c r="F14" s="522" t="str">
        <f t="shared" si="1"/>
        <v>-</v>
      </c>
      <c r="G14" s="522"/>
      <c r="H14" s="512" t="str">
        <f t="shared" si="2"/>
        <v>-</v>
      </c>
      <c r="I14" s="69"/>
    </row>
    <row r="15" spans="1:10" x14ac:dyDescent="0.2">
      <c r="A15" s="1319"/>
      <c r="B15" s="1320"/>
      <c r="C15" s="1320"/>
      <c r="D15" s="57" t="str">
        <f t="shared" si="0"/>
        <v>-</v>
      </c>
      <c r="E15" s="515"/>
      <c r="F15" s="522" t="str">
        <f t="shared" si="1"/>
        <v>-</v>
      </c>
      <c r="G15" s="522"/>
      <c r="H15" s="512" t="str">
        <f t="shared" si="2"/>
        <v>-</v>
      </c>
      <c r="I15" s="69"/>
    </row>
    <row r="16" spans="1:10" x14ac:dyDescent="0.2">
      <c r="A16" s="1319"/>
      <c r="B16" s="1320"/>
      <c r="C16" s="1320"/>
      <c r="D16" s="57" t="str">
        <f t="shared" si="0"/>
        <v>-</v>
      </c>
      <c r="E16" s="515"/>
      <c r="F16" s="522" t="str">
        <f>IF(A16&lt;&gt;0,VLOOKUP(A16,Materiales,5,FALSE),$J$1)</f>
        <v>-</v>
      </c>
      <c r="G16" s="522"/>
      <c r="H16" s="512" t="str">
        <f t="shared" si="2"/>
        <v>-</v>
      </c>
      <c r="I16" s="69"/>
    </row>
    <row r="17" spans="1:9" x14ac:dyDescent="0.2">
      <c r="A17" s="1319"/>
      <c r="B17" s="1320"/>
      <c r="C17" s="1320"/>
      <c r="D17" s="57" t="str">
        <f t="shared" si="0"/>
        <v>-</v>
      </c>
      <c r="E17" s="515"/>
      <c r="F17" s="522" t="str">
        <f>IF(A17&lt;&gt;0,VLOOKUP(A17,Materiales,5,FALSE),$J$1)</f>
        <v>-</v>
      </c>
      <c r="G17" s="522"/>
      <c r="H17" s="512" t="str">
        <f t="shared" si="2"/>
        <v>-</v>
      </c>
      <c r="I17" s="69"/>
    </row>
    <row r="18" spans="1:9" x14ac:dyDescent="0.2">
      <c r="A18" s="1319"/>
      <c r="B18" s="1320"/>
      <c r="C18" s="1320"/>
      <c r="D18" s="57" t="str">
        <f t="shared" si="0"/>
        <v>-</v>
      </c>
      <c r="E18" s="515"/>
      <c r="F18" s="522" t="str">
        <f>IF(A18&lt;&gt;0,VLOOKUP(A18,Materiales,5,FALSE),$J$1)</f>
        <v>-</v>
      </c>
      <c r="G18" s="522"/>
      <c r="H18" s="512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247.33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247.33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62</v>
      </c>
      <c r="B45" s="1081"/>
      <c r="C45" s="1081"/>
      <c r="D45" s="1082">
        <f>IF(A45&lt;&gt;0,VLOOKUP(A45,Cuadrillas,7,FALSE),$J$1)</f>
        <v>329249.03000000003</v>
      </c>
      <c r="E45" s="1082"/>
      <c r="F45" s="1083">
        <v>28</v>
      </c>
      <c r="G45" s="1083"/>
      <c r="H45" s="7">
        <f>IF(A45&lt;&gt;0,ROUND(D45/F45,2),$J$1)</f>
        <v>11758.89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11758.89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11758.89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:C1"/>
    <mergeCell ref="B34:C34"/>
    <mergeCell ref="B38:C38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A36:C36"/>
    <mergeCell ref="A37:C37"/>
    <mergeCell ref="A39:C39"/>
    <mergeCell ref="A40:C40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35:C35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4">
    <tabColor rgb="FFFFC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24.75" customHeight="1" x14ac:dyDescent="0.2">
      <c r="A8" s="1116" t="s">
        <v>172</v>
      </c>
      <c r="B8" s="1117"/>
      <c r="C8" s="1118"/>
      <c r="D8" s="844" t="e">
        <f t="shared" ref="D8:D18" si="0">IF(A8&lt;&gt;0,VLOOKUP(A8,Materiales,2,FALSE),$J$1)</f>
        <v>#REF!</v>
      </c>
      <c r="E8" s="13">
        <v>16.3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294</v>
      </c>
      <c r="B9" s="1284"/>
      <c r="C9" s="1284"/>
      <c r="D9" s="844" t="e">
        <f t="shared" si="0"/>
        <v>#REF!</v>
      </c>
      <c r="E9" s="13">
        <v>7.0000000000000001E-3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3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3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12.5</v>
      </c>
      <c r="E23" s="33"/>
      <c r="F23" s="12">
        <f t="shared" ref="F23:F29" si="3">IF(A23&lt;&gt;0,VLOOKUP(A23,Equipos,6,FALSE),$J$1)</f>
        <v>3710</v>
      </c>
      <c r="G23" s="14">
        <v>0.35</v>
      </c>
      <c r="H23" s="7">
        <f t="shared" ref="H23:H29" si="4">IF(A23&lt;&gt;0,ROUND((F23/D23)*G23,2),$J$1)</f>
        <v>103.88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103.88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62</v>
      </c>
      <c r="B45" s="1081"/>
      <c r="C45" s="1081"/>
      <c r="D45" s="1082">
        <f>IF(A45&lt;&gt;0,VLOOKUP(A45,Cuadrillas,7,FALSE),$J$1)</f>
        <v>329249.03000000003</v>
      </c>
      <c r="E45" s="1082"/>
      <c r="F45" s="1083">
        <v>30</v>
      </c>
      <c r="G45" s="1083"/>
      <c r="H45" s="7">
        <f>IF(A45&lt;&gt;0,ROUND(D45/F45,2),$J$1)</f>
        <v>10974.97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10974.97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10974.97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5">
    <tabColor indexed="5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18.75" customHeight="1" x14ac:dyDescent="0.2">
      <c r="A8" s="1321" t="s">
        <v>267</v>
      </c>
      <c r="B8" s="1322"/>
      <c r="C8" s="1323"/>
      <c r="D8" s="464" t="e">
        <f t="shared" ref="D8:D18" si="0">IF(A8&lt;&gt;0,VLOOKUP(A8,Materiales,2,FALSE),$J$1)</f>
        <v>#REF!</v>
      </c>
      <c r="E8" s="465">
        <v>56</v>
      </c>
      <c r="F8" s="466" t="e">
        <f t="shared" ref="F8:F15" si="1">IF(A8&lt;&gt;0,VLOOKUP(A8,Materiales,6,FALSE),$J$1)</f>
        <v>#REF!</v>
      </c>
      <c r="G8" s="466"/>
      <c r="H8" s="46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294</v>
      </c>
      <c r="B9" s="1284"/>
      <c r="C9" s="1284"/>
      <c r="D9" s="844" t="e">
        <f t="shared" si="0"/>
        <v>#REF!</v>
      </c>
      <c r="E9" s="13">
        <v>0.04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258</v>
      </c>
      <c r="B10" s="1081"/>
      <c r="C10" s="1081"/>
      <c r="D10" s="844" t="e">
        <f t="shared" si="0"/>
        <v>#REF!</v>
      </c>
      <c r="E10" s="13">
        <v>1.17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3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15</v>
      </c>
      <c r="E23" s="33"/>
      <c r="F23" s="12">
        <f t="shared" ref="F23:F29" si="3">IF(A23&lt;&gt;0,VLOOKUP(A23,Equipos,6,FALSE),$J$1)</f>
        <v>3710</v>
      </c>
      <c r="G23" s="14">
        <v>0.4</v>
      </c>
      <c r="H23" s="7">
        <f t="shared" ref="H23:H29" si="4">IF(A23&lt;&gt;0,ROUND((F23/D23)*G23,2),$J$1)</f>
        <v>98.93</v>
      </c>
      <c r="I23" s="69"/>
    </row>
    <row r="24" spans="1:9" x14ac:dyDescent="0.2">
      <c r="A24" s="1080" t="s">
        <v>506</v>
      </c>
      <c r="B24" s="1081"/>
      <c r="C24" s="1081"/>
      <c r="D24" s="33">
        <v>200</v>
      </c>
      <c r="E24" s="33"/>
      <c r="F24" s="12">
        <f t="shared" si="3"/>
        <v>28620</v>
      </c>
      <c r="G24" s="14">
        <v>1</v>
      </c>
      <c r="H24" s="7">
        <f t="shared" si="4"/>
        <v>143.1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242.03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62</v>
      </c>
      <c r="B45" s="1081"/>
      <c r="C45" s="1081"/>
      <c r="D45" s="1082">
        <f>IF(A45&lt;&gt;0,VLOOKUP(A45,Cuadrillas,7,FALSE),$J$1)</f>
        <v>329249.03000000003</v>
      </c>
      <c r="E45" s="1082"/>
      <c r="F45" s="1083">
        <v>12</v>
      </c>
      <c r="G45" s="1083"/>
      <c r="H45" s="7">
        <f>IF(A45&lt;&gt;0,ROUND(D45/F45,2),$J$1)</f>
        <v>27437.42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27437.42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27437.42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disablePrompts="1"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6">
    <tabColor indexed="5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18.75" customHeight="1" x14ac:dyDescent="0.2">
      <c r="A8" s="1321" t="s">
        <v>267</v>
      </c>
      <c r="B8" s="1322"/>
      <c r="C8" s="1323"/>
      <c r="D8" s="464" t="e">
        <f t="shared" ref="D8:D18" si="0">IF(A8&lt;&gt;0,VLOOKUP(A8,Materiales,2,FALSE),$J$1)</f>
        <v>#REF!</v>
      </c>
      <c r="E8" s="465">
        <v>15.04</v>
      </c>
      <c r="F8" s="466" t="e">
        <f t="shared" ref="F8:F15" si="1">IF(A8&lt;&gt;0,VLOOKUP(A8,Materiales,6,FALSE),$J$1)</f>
        <v>#REF!</v>
      </c>
      <c r="G8" s="466"/>
      <c r="H8" s="46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294</v>
      </c>
      <c r="B9" s="1284"/>
      <c r="C9" s="1284"/>
      <c r="D9" s="844" t="e">
        <f t="shared" si="0"/>
        <v>#REF!</v>
      </c>
      <c r="E9" s="13">
        <v>7.0000000000000001E-3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3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3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15</v>
      </c>
      <c r="E23" s="33"/>
      <c r="F23" s="12">
        <f t="shared" ref="F23:F29" si="3">IF(A23&lt;&gt;0,VLOOKUP(A23,Equipos,6,FALSE),$J$1)</f>
        <v>3710</v>
      </c>
      <c r="G23" s="14">
        <v>0.4</v>
      </c>
      <c r="H23" s="7">
        <f t="shared" ref="H23:H29" si="4">IF(A23&lt;&gt;0,ROUND((F23/D23)*G23,2),$J$1)</f>
        <v>98.93</v>
      </c>
      <c r="I23" s="69"/>
    </row>
    <row r="24" spans="1:9" x14ac:dyDescent="0.2">
      <c r="A24" s="1080" t="s">
        <v>506</v>
      </c>
      <c r="B24" s="1081"/>
      <c r="C24" s="1081"/>
      <c r="D24" s="33">
        <v>1350</v>
      </c>
      <c r="E24" s="33"/>
      <c r="F24" s="12">
        <f t="shared" si="3"/>
        <v>28620</v>
      </c>
      <c r="G24" s="14">
        <v>1</v>
      </c>
      <c r="H24" s="7">
        <f t="shared" si="4"/>
        <v>21.2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120.13000000000001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62</v>
      </c>
      <c r="B45" s="1081"/>
      <c r="C45" s="1081"/>
      <c r="D45" s="1082">
        <f>IF(A45&lt;&gt;0,VLOOKUP(A45,Cuadrillas,7,FALSE),$J$1)</f>
        <v>329249.03000000003</v>
      </c>
      <c r="E45" s="1082"/>
      <c r="F45" s="1083">
        <v>30</v>
      </c>
      <c r="G45" s="1083"/>
      <c r="H45" s="7">
        <f>IF(A45&lt;&gt;0,ROUND(D45/F45,2),$J$1)</f>
        <v>10974.97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10974.97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10974.97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7">
    <tabColor indexed="5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18.75" customHeight="1" x14ac:dyDescent="0.2">
      <c r="A8" s="1321" t="s">
        <v>267</v>
      </c>
      <c r="B8" s="1322"/>
      <c r="C8" s="1323"/>
      <c r="D8" s="464" t="e">
        <f t="shared" ref="D8:D18" si="0">IF(A8&lt;&gt;0,VLOOKUP(A8,Materiales,2,FALSE),$J$1)</f>
        <v>#REF!</v>
      </c>
      <c r="E8" s="465">
        <v>15.04</v>
      </c>
      <c r="F8" s="466" t="e">
        <f t="shared" ref="F8:F15" si="1">IF(A8&lt;&gt;0,VLOOKUP(A8,Materiales,6,FALSE),$J$1)</f>
        <v>#REF!</v>
      </c>
      <c r="G8" s="466"/>
      <c r="H8" s="46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294</v>
      </c>
      <c r="B9" s="1284"/>
      <c r="C9" s="1284"/>
      <c r="D9" s="844" t="e">
        <f t="shared" si="0"/>
        <v>#REF!</v>
      </c>
      <c r="E9" s="13">
        <v>7.0000000000000001E-3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3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3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15</v>
      </c>
      <c r="E23" s="33"/>
      <c r="F23" s="12">
        <f t="shared" ref="F23:F29" si="3">IF(A23&lt;&gt;0,VLOOKUP(A23,Equipos,6,FALSE),$J$1)</f>
        <v>3710</v>
      </c>
      <c r="G23" s="14">
        <v>0.4</v>
      </c>
      <c r="H23" s="7">
        <f t="shared" ref="H23:H29" si="4">IF(A23&lt;&gt;0,ROUND((F23/D23)*G23,2),$J$1)</f>
        <v>98.93</v>
      </c>
      <c r="I23" s="69"/>
    </row>
    <row r="24" spans="1:9" x14ac:dyDescent="0.2">
      <c r="A24" s="1080" t="s">
        <v>506</v>
      </c>
      <c r="B24" s="1081"/>
      <c r="C24" s="1081"/>
      <c r="D24" s="33">
        <v>200</v>
      </c>
      <c r="E24" s="33"/>
      <c r="F24" s="12">
        <f t="shared" si="3"/>
        <v>28620</v>
      </c>
      <c r="G24" s="14">
        <v>1</v>
      </c>
      <c r="H24" s="7">
        <f t="shared" si="4"/>
        <v>143.1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242.03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62</v>
      </c>
      <c r="B45" s="1081"/>
      <c r="C45" s="1081"/>
      <c r="D45" s="1082">
        <f>IF(A45&lt;&gt;0,VLOOKUP(A45,Cuadrillas,7,FALSE),$J$1)</f>
        <v>329249.03000000003</v>
      </c>
      <c r="E45" s="1082"/>
      <c r="F45" s="1083">
        <v>20</v>
      </c>
      <c r="G45" s="1083"/>
      <c r="H45" s="7">
        <f>IF(A45&lt;&gt;0,ROUND(D45/F45,2),$J$1)</f>
        <v>16462.45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16462.45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16462.45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>
    <tabColor indexed="51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93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2305</v>
      </c>
      <c r="G7" s="254"/>
      <c r="H7" s="879" t="s">
        <v>2216</v>
      </c>
      <c r="I7" s="72"/>
    </row>
    <row r="8" spans="1:10" x14ac:dyDescent="0.2">
      <c r="A8" s="1215" t="s">
        <v>210</v>
      </c>
      <c r="B8" s="1216"/>
      <c r="C8" s="1217"/>
      <c r="D8" s="851" t="e">
        <f t="shared" ref="D8:D18" si="0">IF(A8&lt;&gt;0,VLOOKUP(A8,Materiales,2,FALSE),$J$1)</f>
        <v>#REF!</v>
      </c>
      <c r="E8" s="12">
        <v>362.5</v>
      </c>
      <c r="F8" s="21" t="e">
        <f t="shared" ref="F8:F18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159</v>
      </c>
      <c r="B9" s="1216"/>
      <c r="C9" s="1217"/>
      <c r="D9" s="851" t="e">
        <f t="shared" si="0"/>
        <v>#REF!</v>
      </c>
      <c r="E9" s="12">
        <v>1.1599999999999999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139</v>
      </c>
      <c r="B10" s="1216"/>
      <c r="C10" s="1217"/>
      <c r="D10" s="851" t="e">
        <f t="shared" si="0"/>
        <v>#REF!</v>
      </c>
      <c r="E10" s="12">
        <v>300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 t="shared" si="1"/>
        <v>-</v>
      </c>
      <c r="G11" s="22"/>
      <c r="H11" s="8" t="str">
        <f t="shared" si="2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si="1"/>
        <v>-</v>
      </c>
      <c r="G12" s="22"/>
      <c r="H12" s="8" t="str">
        <f t="shared" si="2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871"/>
      <c r="B14" s="872"/>
      <c r="C14" s="873"/>
      <c r="D14" s="101" t="str">
        <f t="shared" si="0"/>
        <v>-</v>
      </c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1"/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1"/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5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742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742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51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48</v>
      </c>
      <c r="B45" s="1216"/>
      <c r="C45" s="1217"/>
      <c r="D45" s="1225">
        <f>IF(A45&lt;&gt;0,VLOOKUP(A45,Cuadrillas,7,FALSE),$J$1)</f>
        <v>329249.03000000003</v>
      </c>
      <c r="E45" s="1226"/>
      <c r="F45" s="1221">
        <v>5</v>
      </c>
      <c r="G45" s="1222"/>
      <c r="H45" s="8">
        <f>IF(A45&lt;&gt;0,ROUND(D45/F45,2),$J$1)</f>
        <v>65849.81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65849.81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65849.81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05" t="e">
        <f>I54+F55</f>
        <v>#REF!</v>
      </c>
      <c r="I56" s="106"/>
    </row>
    <row r="57" spans="1:11" ht="13.5" thickTop="1" x14ac:dyDescent="0.2"/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7">
    <mergeCell ref="A1:C1"/>
    <mergeCell ref="B34:C34"/>
    <mergeCell ref="B38:C38"/>
    <mergeCell ref="A24:C24"/>
    <mergeCell ref="A9:C9"/>
    <mergeCell ref="A10:C10"/>
    <mergeCell ref="A4:E4"/>
    <mergeCell ref="F44:G44"/>
    <mergeCell ref="F45:G45"/>
    <mergeCell ref="A43:I43"/>
    <mergeCell ref="A23:C23"/>
    <mergeCell ref="D44:E44"/>
    <mergeCell ref="D45:E45"/>
    <mergeCell ref="A41:H41"/>
    <mergeCell ref="A42:I42"/>
    <mergeCell ref="A35:C35"/>
    <mergeCell ref="A36:C36"/>
    <mergeCell ref="A37:C37"/>
    <mergeCell ref="A39:C39"/>
    <mergeCell ref="A40:C40"/>
    <mergeCell ref="A56:G56"/>
    <mergeCell ref="A54:G54"/>
    <mergeCell ref="F55:I55"/>
    <mergeCell ref="A50:H50"/>
    <mergeCell ref="A48:C48"/>
    <mergeCell ref="A53:H53"/>
    <mergeCell ref="A52:H52"/>
    <mergeCell ref="A51:I51"/>
    <mergeCell ref="F49:G49"/>
    <mergeCell ref="A55:C55"/>
    <mergeCell ref="D55:E55"/>
    <mergeCell ref="H1:I1"/>
    <mergeCell ref="F47:G47"/>
    <mergeCell ref="A49:C49"/>
    <mergeCell ref="D49:E49"/>
    <mergeCell ref="F46:G46"/>
    <mergeCell ref="D47:E47"/>
    <mergeCell ref="D48:E48"/>
    <mergeCell ref="F48:G48"/>
    <mergeCell ref="A47:C47"/>
    <mergeCell ref="A46:C46"/>
    <mergeCell ref="C5:I5"/>
    <mergeCell ref="A8:C8"/>
    <mergeCell ref="A44:C44"/>
    <mergeCell ref="A45:C45"/>
    <mergeCell ref="A11:C11"/>
    <mergeCell ref="D46:E46"/>
  </mergeCells>
  <phoneticPr fontId="0" type="noConversion"/>
  <dataValidations disablePrompts="1" count="5">
    <dataValidation type="list" allowBlank="1" showInputMessage="1" showErrorMessage="1" sqref="A12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:A11">
      <formula1>Descripción</formula1>
    </dataValidation>
    <dataValidation type="list" allowBlank="1" showInputMessage="1" showErrorMessage="1" sqref="B25:C29 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3">
    <tabColor indexed="51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93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2305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3">
        <v>7.0000000000000001E-3</v>
      </c>
      <c r="F8" s="21" t="e">
        <f t="shared" ref="F8:F18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121</v>
      </c>
      <c r="B9" s="1216"/>
      <c r="C9" s="1217"/>
      <c r="D9" s="851" t="e">
        <f t="shared" si="0"/>
        <v>#REF!</v>
      </c>
      <c r="E9" s="12">
        <v>0.6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2"/>
      <c r="F10" s="21" t="str">
        <f t="shared" si="1"/>
        <v>-</v>
      </c>
      <c r="G10" s="22"/>
      <c r="H10" s="8" t="str">
        <f t="shared" si="2"/>
        <v>-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 t="shared" si="1"/>
        <v>-</v>
      </c>
      <c r="G11" s="22"/>
      <c r="H11" s="8" t="str">
        <f t="shared" si="2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si="1"/>
        <v>-</v>
      </c>
      <c r="G12" s="22"/>
      <c r="H12" s="8" t="str">
        <f t="shared" si="2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871"/>
      <c r="B14" s="872"/>
      <c r="C14" s="873"/>
      <c r="D14" s="101" t="str">
        <f t="shared" si="0"/>
        <v>-</v>
      </c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1"/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1"/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5</v>
      </c>
      <c r="E23" s="28"/>
      <c r="F23" s="12">
        <f t="shared" ref="F23:F29" si="3">IF(A23&lt;&gt;0,VLOOKUP(A23,Equipos,6,FALSE),$J$1)</f>
        <v>3710</v>
      </c>
      <c r="G23" s="14">
        <v>0.25</v>
      </c>
      <c r="H23" s="8">
        <f t="shared" ref="H23:H29" si="4">IF(A23&lt;&gt;0,ROUND((F23/D23)*G23,2),$J$1)</f>
        <v>185.5</v>
      </c>
      <c r="I23" s="69"/>
    </row>
    <row r="24" spans="1:9" x14ac:dyDescent="0.2">
      <c r="A24" s="1215" t="s">
        <v>470</v>
      </c>
      <c r="B24" s="1216"/>
      <c r="C24" s="1217"/>
      <c r="D24" s="26">
        <v>2</v>
      </c>
      <c r="E24" s="28"/>
      <c r="F24" s="12">
        <f t="shared" si="3"/>
        <v>32012</v>
      </c>
      <c r="G24" s="14">
        <v>0.2</v>
      </c>
      <c r="H24" s="8">
        <f t="shared" si="4"/>
        <v>3201.2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3386.7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51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48</v>
      </c>
      <c r="B45" s="1216"/>
      <c r="C45" s="1217"/>
      <c r="D45" s="1225">
        <f>IF(A45&lt;&gt;0,VLOOKUP(A45,Cuadrillas,7,FALSE),$J$1)</f>
        <v>329249.03000000003</v>
      </c>
      <c r="E45" s="1226"/>
      <c r="F45" s="1221">
        <v>100</v>
      </c>
      <c r="G45" s="1222"/>
      <c r="H45" s="8">
        <f>IF(A45&lt;&gt;0,ROUND(D45/F45,2),$J$1)</f>
        <v>3292.49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3292.49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3292.49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05" t="e">
        <f>I54+F55</f>
        <v>#REF!</v>
      </c>
      <c r="I56" s="106"/>
    </row>
    <row r="57" spans="1:11" ht="13.5" thickTop="1" x14ac:dyDescent="0.2"/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7">
    <mergeCell ref="A10:C10"/>
    <mergeCell ref="A1:C1"/>
    <mergeCell ref="H1:I1"/>
    <mergeCell ref="C5:I5"/>
    <mergeCell ref="A8:C8"/>
    <mergeCell ref="A9:C9"/>
    <mergeCell ref="A4:E4"/>
    <mergeCell ref="A42:I42"/>
    <mergeCell ref="A11:C11"/>
    <mergeCell ref="A23:C23"/>
    <mergeCell ref="A24:C24"/>
    <mergeCell ref="B34:C34"/>
    <mergeCell ref="A35:C35"/>
    <mergeCell ref="A36:C36"/>
    <mergeCell ref="A37:C37"/>
    <mergeCell ref="B38:C38"/>
    <mergeCell ref="A39:C39"/>
    <mergeCell ref="A40:C40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5:C29 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:A11">
      <formula1>Descripción</formula1>
    </dataValidation>
    <dataValidation type="list" allowBlank="1" showInputMessage="1" showErrorMessage="1" sqref="A12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8">
    <tabColor rgb="FFFFC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52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282</v>
      </c>
      <c r="B8" s="1216"/>
      <c r="C8" s="1217"/>
      <c r="D8" s="851" t="e">
        <f t="shared" ref="D8:D18" si="0">IF(A8&lt;&gt;0,VLOOKUP(A8,Materiales,2,FALSE),$J$1)</f>
        <v>#REF!</v>
      </c>
      <c r="E8" s="12">
        <v>1.03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145</v>
      </c>
      <c r="B9" s="1216"/>
      <c r="C9" s="1217"/>
      <c r="D9" s="851" t="e">
        <f t="shared" si="0"/>
        <v>#REF!</v>
      </c>
      <c r="E9" s="13">
        <v>0.03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2</v>
      </c>
      <c r="E23" s="28"/>
      <c r="F23" s="12">
        <f t="shared" ref="F23:F29" si="3">IF(A23&lt;&gt;0,VLOOKUP(A23,Equipos,6,FALSE),$J$1)</f>
        <v>3710</v>
      </c>
      <c r="G23" s="14">
        <v>0.01</v>
      </c>
      <c r="H23" s="8">
        <f t="shared" ref="H23:H29" si="4">IF(A23&lt;&gt;0,ROUND((F23/D23)*G23,2),$J$1)</f>
        <v>18.55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18.55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700</v>
      </c>
      <c r="G45" s="1222"/>
      <c r="H45" s="8">
        <f>IF(A45&lt;&gt;0,ROUND(D45/F45,2),$J$1)</f>
        <v>617.28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617.28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617.28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7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23:C23"/>
    <mergeCell ref="A24:C24"/>
    <mergeCell ref="A25:C25"/>
    <mergeCell ref="B34:C34"/>
    <mergeCell ref="A35:C35"/>
    <mergeCell ref="A36:C36"/>
    <mergeCell ref="A37:C37"/>
    <mergeCell ref="B38:C38"/>
    <mergeCell ref="A39:C39"/>
    <mergeCell ref="A40:C40"/>
    <mergeCell ref="A41:H41"/>
    <mergeCell ref="A10:C10"/>
    <mergeCell ref="A1:C1"/>
    <mergeCell ref="H1:I1"/>
    <mergeCell ref="C5:I5"/>
    <mergeCell ref="A8:C8"/>
    <mergeCell ref="A9:C9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6:C29 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1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>
    <tabColor indexed="50"/>
  </sheetPr>
  <dimension ref="A1:R49"/>
  <sheetViews>
    <sheetView view="pageBreakPreview" topLeftCell="A5" zoomScaleSheetLayoutView="100" workbookViewId="0">
      <selection sqref="A1:T4"/>
    </sheetView>
  </sheetViews>
  <sheetFormatPr baseColWidth="10" defaultColWidth="11.42578125" defaultRowHeight="12.75" x14ac:dyDescent="0.2"/>
  <cols>
    <col min="1" max="1" width="8.42578125" style="110" customWidth="1"/>
    <col min="2" max="2" width="43.5703125" style="110" customWidth="1"/>
    <col min="3" max="3" width="27.140625" style="110" bestFit="1" customWidth="1"/>
    <col min="4" max="4" width="28" style="110" bestFit="1" customWidth="1"/>
    <col min="5" max="5" width="26.28515625" style="110" bestFit="1" customWidth="1"/>
    <col min="6" max="6" width="20.7109375" style="110" bestFit="1" customWidth="1"/>
    <col min="7" max="7" width="28.42578125" style="110" bestFit="1" customWidth="1"/>
    <col min="8" max="8" width="17.7109375" style="110" customWidth="1"/>
    <col min="9" max="16384" width="11.42578125" style="110"/>
  </cols>
  <sheetData>
    <row r="1" spans="1:18" ht="18.75" thickTop="1" x14ac:dyDescent="0.2">
      <c r="A1" s="1167" t="str">
        <f>+'Datos entrada'!B5</f>
        <v>INGENIERO CIVIL HEBER EDUARDO YEPES VILLOTA</v>
      </c>
      <c r="B1" s="1168"/>
      <c r="C1" s="1179" t="s">
        <v>2238</v>
      </c>
      <c r="D1" s="1179"/>
      <c r="E1" s="1179"/>
      <c r="F1" s="1179"/>
      <c r="G1" s="1180"/>
      <c r="H1" s="436"/>
      <c r="I1" s="436"/>
      <c r="J1" s="436"/>
      <c r="K1" s="436"/>
      <c r="L1" s="436"/>
      <c r="M1" s="436"/>
      <c r="N1" s="436"/>
      <c r="O1" s="436"/>
      <c r="P1" s="436"/>
    </row>
    <row r="2" spans="1:18" ht="18" x14ac:dyDescent="0.2">
      <c r="A2" s="1169"/>
      <c r="B2" s="1170"/>
      <c r="C2" s="1181" t="s">
        <v>2283</v>
      </c>
      <c r="D2" s="1181"/>
      <c r="E2" s="1181"/>
      <c r="F2" s="1181"/>
      <c r="G2" s="1182"/>
      <c r="H2" s="437"/>
      <c r="I2" s="437"/>
      <c r="J2" s="437"/>
      <c r="K2" s="437"/>
      <c r="L2" s="437"/>
      <c r="M2" s="437"/>
      <c r="N2" s="437"/>
      <c r="O2" s="437"/>
      <c r="P2" s="437"/>
    </row>
    <row r="3" spans="1:18" ht="15" customHeight="1" x14ac:dyDescent="0.2">
      <c r="A3" s="1169"/>
      <c r="B3" s="1170"/>
      <c r="C3" s="869"/>
      <c r="D3" s="869"/>
      <c r="E3" s="869"/>
      <c r="F3" s="869"/>
      <c r="G3" s="870"/>
      <c r="H3" s="869"/>
      <c r="I3" s="869"/>
      <c r="J3" s="869"/>
      <c r="K3" s="182"/>
      <c r="L3" s="182"/>
      <c r="M3" s="113"/>
      <c r="N3" s="113"/>
      <c r="O3" s="113"/>
      <c r="P3" s="113"/>
    </row>
    <row r="4" spans="1:18" x14ac:dyDescent="0.2">
      <c r="A4" s="1169"/>
      <c r="B4" s="1170"/>
      <c r="C4" s="1171" t="str">
        <f>+'Datos entrada'!B17</f>
        <v xml:space="preserve">TABLON DE GOMEZ (DEPARTAMENTO NARIÑO) </v>
      </c>
      <c r="D4" s="1171"/>
      <c r="E4" s="1171"/>
      <c r="F4" s="1171"/>
      <c r="G4" s="1172"/>
      <c r="H4" s="114"/>
      <c r="I4" s="114"/>
      <c r="J4" s="114"/>
      <c r="K4" s="114"/>
      <c r="L4" s="114"/>
      <c r="M4" s="114"/>
      <c r="N4" s="114"/>
      <c r="O4" s="114"/>
      <c r="P4" s="114"/>
    </row>
    <row r="5" spans="1:18" ht="5.25" customHeight="1" x14ac:dyDescent="0.2">
      <c r="A5" s="199"/>
      <c r="B5" s="869"/>
      <c r="C5" s="867"/>
      <c r="D5" s="867"/>
      <c r="E5" s="867"/>
      <c r="F5" s="867"/>
      <c r="G5" s="868"/>
      <c r="H5" s="867"/>
      <c r="I5" s="867"/>
      <c r="J5" s="867"/>
      <c r="K5" s="182"/>
      <c r="L5" s="182"/>
      <c r="M5" s="113"/>
      <c r="N5" s="113"/>
      <c r="O5" s="113"/>
      <c r="P5" s="113"/>
    </row>
    <row r="6" spans="1:18" ht="12.75" customHeight="1" x14ac:dyDescent="0.2">
      <c r="A6" s="195"/>
      <c r="B6" s="196"/>
      <c r="C6" s="1165" t="str">
        <f>+'Datos entrada'!B8</f>
        <v>CORREGIMIENTO DE LAS MESAS-MUNICIPIO DETABLON DE GOMES (N)</v>
      </c>
      <c r="D6" s="1165"/>
      <c r="E6" s="1165"/>
      <c r="F6" s="1165"/>
      <c r="G6" s="1166"/>
      <c r="H6" s="197"/>
      <c r="I6" s="197"/>
      <c r="J6" s="197"/>
      <c r="K6" s="197"/>
      <c r="L6" s="197"/>
      <c r="M6" s="197"/>
      <c r="N6" s="197"/>
      <c r="O6" s="197"/>
      <c r="P6" s="197"/>
    </row>
    <row r="7" spans="1:18" ht="5.25" customHeight="1" x14ac:dyDescent="0.2">
      <c r="A7" s="195"/>
      <c r="B7" s="196"/>
      <c r="C7" s="865"/>
      <c r="D7" s="865"/>
      <c r="E7" s="865"/>
      <c r="F7" s="865"/>
      <c r="G7" s="866"/>
      <c r="H7" s="865"/>
      <c r="I7" s="865"/>
      <c r="J7" s="865"/>
      <c r="K7" s="182"/>
      <c r="L7" s="182"/>
      <c r="M7" s="113"/>
      <c r="N7" s="113"/>
      <c r="O7" s="113"/>
      <c r="P7" s="113"/>
    </row>
    <row r="8" spans="1:18" ht="38.450000000000003" customHeight="1" x14ac:dyDescent="0.2">
      <c r="A8" s="200"/>
      <c r="B8" s="197"/>
      <c r="C8" s="1165" t="str">
        <f>+'Datos entrada'!B4</f>
        <v>OPTIMIZACIÓN Y AMPLIACIÓN DE LA RED ALCANTARILLADO DEL CORREGIMIENTO DE LAS MESAS, MUNICIPIO DE EL TABLON DE GOMEZ – DEPARTAMENTO DE NARIÑO.</v>
      </c>
      <c r="D8" s="1165"/>
      <c r="E8" s="1165"/>
      <c r="F8" s="1165"/>
      <c r="G8" s="1166"/>
      <c r="H8" s="197"/>
      <c r="I8" s="197"/>
      <c r="J8" s="197"/>
      <c r="K8" s="197"/>
      <c r="L8" s="197"/>
      <c r="M8" s="197"/>
      <c r="N8" s="197"/>
      <c r="O8" s="197"/>
      <c r="P8" s="197"/>
    </row>
    <row r="9" spans="1:18" ht="5.25" customHeight="1" x14ac:dyDescent="0.2">
      <c r="A9" s="201"/>
      <c r="B9" s="865"/>
      <c r="C9" s="865"/>
      <c r="D9" s="865"/>
      <c r="E9" s="865"/>
      <c r="F9" s="865"/>
      <c r="G9" s="866"/>
      <c r="H9" s="865"/>
      <c r="I9" s="865"/>
      <c r="J9" s="865"/>
      <c r="K9" s="865"/>
      <c r="L9" s="170"/>
      <c r="M9" s="113"/>
      <c r="N9" s="113"/>
      <c r="O9" s="113"/>
      <c r="P9" s="113"/>
    </row>
    <row r="10" spans="1:18" ht="15.75" customHeight="1" x14ac:dyDescent="0.2">
      <c r="A10" s="192"/>
      <c r="B10" s="114"/>
      <c r="C10" s="1171" t="s">
        <v>2284</v>
      </c>
      <c r="D10" s="1171"/>
      <c r="E10" s="1171"/>
      <c r="F10" s="1171"/>
      <c r="G10" s="1172"/>
      <c r="H10" s="114"/>
      <c r="I10" s="114"/>
      <c r="J10" s="114"/>
      <c r="K10" s="114"/>
      <c r="L10" s="114"/>
      <c r="M10" s="114"/>
      <c r="N10" s="114"/>
      <c r="O10" s="114"/>
      <c r="P10" s="114"/>
    </row>
    <row r="11" spans="1:18" ht="15.75" customHeight="1" thickBot="1" x14ac:dyDescent="0.25">
      <c r="A11" s="192"/>
      <c r="B11" s="114"/>
      <c r="C11" s="867"/>
      <c r="D11" s="867"/>
      <c r="E11" s="867"/>
      <c r="F11" s="867"/>
      <c r="G11" s="198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</row>
    <row r="12" spans="1:18" ht="6" customHeight="1" thickTop="1" x14ac:dyDescent="0.2">
      <c r="A12" s="425"/>
      <c r="B12" s="426"/>
      <c r="C12" s="1173" t="s">
        <v>2285</v>
      </c>
      <c r="D12" s="1174"/>
      <c r="E12" s="1174"/>
      <c r="F12" s="1174"/>
      <c r="G12" s="1175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</row>
    <row r="13" spans="1:18" ht="15.75" customHeight="1" x14ac:dyDescent="0.2">
      <c r="A13" s="427" t="s">
        <v>2286</v>
      </c>
      <c r="B13" s="432">
        <f>+'Datos entrada'!B12</f>
        <v>0</v>
      </c>
      <c r="C13" s="1176"/>
      <c r="D13" s="1177"/>
      <c r="E13" s="1177"/>
      <c r="F13" s="1177"/>
      <c r="G13" s="1178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</row>
    <row r="14" spans="1:18" ht="15.75" customHeight="1" x14ac:dyDescent="0.2">
      <c r="A14" s="427"/>
      <c r="B14" s="432" t="str">
        <f>+'Datos entrada'!B11</f>
        <v>CORREGIMIENTO DE LAS MESAS-MUNICIPIO DETABLON DE GOMES (N)</v>
      </c>
      <c r="C14" s="1176"/>
      <c r="D14" s="1177"/>
      <c r="E14" s="1177"/>
      <c r="F14" s="1177"/>
      <c r="G14" s="1178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</row>
    <row r="15" spans="1:18" ht="15.75" customHeight="1" x14ac:dyDescent="0.2">
      <c r="A15" s="427"/>
      <c r="B15" s="432" t="str">
        <f>+'Datos entrada'!B17:N17</f>
        <v xml:space="preserve">TABLON DE GOMEZ (DEPARTAMENTO NARIÑO) </v>
      </c>
      <c r="C15" s="1176"/>
      <c r="D15" s="1177"/>
      <c r="E15" s="1177"/>
      <c r="F15" s="1177"/>
      <c r="G15" s="1178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</row>
    <row r="16" spans="1:18" x14ac:dyDescent="0.2">
      <c r="A16" s="427"/>
      <c r="B16" s="428"/>
      <c r="C16" s="1176"/>
      <c r="D16" s="1177"/>
      <c r="E16" s="1177"/>
      <c r="F16" s="1177"/>
      <c r="G16" s="1178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</row>
    <row r="17" spans="1:18" x14ac:dyDescent="0.2">
      <c r="A17" s="429"/>
      <c r="B17" s="424"/>
      <c r="C17" s="1176"/>
      <c r="D17" s="1177"/>
      <c r="E17" s="1177"/>
      <c r="F17" s="1177"/>
      <c r="G17" s="1178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</row>
    <row r="18" spans="1:18" ht="25.5" customHeight="1" x14ac:dyDescent="0.2">
      <c r="A18" s="1161" t="s">
        <v>533</v>
      </c>
      <c r="B18" s="1162" t="s">
        <v>534</v>
      </c>
      <c r="C18" s="1189" t="s">
        <v>553</v>
      </c>
      <c r="D18" s="1157" t="s">
        <v>554</v>
      </c>
      <c r="E18" s="1157" t="s">
        <v>454</v>
      </c>
      <c r="F18" s="1157" t="s">
        <v>555</v>
      </c>
      <c r="G18" s="1159" t="s">
        <v>2287</v>
      </c>
    </row>
    <row r="19" spans="1:18" ht="14.25" customHeight="1" x14ac:dyDescent="0.2">
      <c r="A19" s="1161"/>
      <c r="B19" s="1162"/>
      <c r="C19" s="1190"/>
      <c r="D19" s="1158"/>
      <c r="E19" s="1158"/>
      <c r="F19" s="1158"/>
      <c r="G19" s="1160"/>
    </row>
    <row r="20" spans="1:18" ht="21.95" customHeight="1" x14ac:dyDescent="0.2">
      <c r="A20" s="933" t="e">
        <f>+#REF!</f>
        <v>#REF!</v>
      </c>
      <c r="B20" s="934" t="e">
        <f>+#REF!</f>
        <v>#REF!</v>
      </c>
      <c r="C20" s="203" t="e">
        <f>+#REF!/A49</f>
        <v>#REF!</v>
      </c>
      <c r="D20" s="204" t="e">
        <f>+#REF!/A49</f>
        <v>#REF!</v>
      </c>
      <c r="E20" s="204" t="e">
        <f>+#REF!/A49</f>
        <v>#REF!</v>
      </c>
      <c r="F20" s="204" t="e">
        <f>+#REF!/A49</f>
        <v>#REF!</v>
      </c>
      <c r="G20" s="205" t="e">
        <f t="shared" ref="G20:G40" si="0">SUM(C20:F20)</f>
        <v>#REF!</v>
      </c>
      <c r="H20" s="178" t="e">
        <f>+G20*$A$49</f>
        <v>#REF!</v>
      </c>
    </row>
    <row r="21" spans="1:18" ht="21.95" customHeight="1" x14ac:dyDescent="0.2">
      <c r="A21" s="933" t="e">
        <f>+#REF!</f>
        <v>#REF!</v>
      </c>
      <c r="B21" s="934" t="e">
        <f>+#REF!</f>
        <v>#REF!</v>
      </c>
      <c r="C21" s="203" t="e">
        <f>+#REF!/A49</f>
        <v>#REF!</v>
      </c>
      <c r="D21" s="204" t="e">
        <f>+#REF!/A49</f>
        <v>#REF!</v>
      </c>
      <c r="E21" s="204" t="e">
        <f>+#REF!/A49</f>
        <v>#REF!</v>
      </c>
      <c r="F21" s="204" t="e">
        <f>+#REF!/A49</f>
        <v>#REF!</v>
      </c>
      <c r="G21" s="205" t="e">
        <f t="shared" si="0"/>
        <v>#REF!</v>
      </c>
      <c r="H21" s="178" t="e">
        <f t="shared" ref="H21:H44" si="1">+G21*$A$49</f>
        <v>#REF!</v>
      </c>
    </row>
    <row r="22" spans="1:18" ht="30.75" customHeight="1" x14ac:dyDescent="0.2">
      <c r="A22" s="933" t="e">
        <f>+#REF!</f>
        <v>#REF!</v>
      </c>
      <c r="B22" s="934" t="e">
        <f>+#REF!</f>
        <v>#REF!</v>
      </c>
      <c r="C22" s="203" t="e">
        <f>+#REF!/A49</f>
        <v>#REF!</v>
      </c>
      <c r="D22" s="204" t="e">
        <f>+#REF!/A49</f>
        <v>#REF!</v>
      </c>
      <c r="E22" s="204" t="e">
        <f>+#REF!/A49</f>
        <v>#REF!</v>
      </c>
      <c r="F22" s="204" t="e">
        <f>+#REF!/A49</f>
        <v>#REF!</v>
      </c>
      <c r="G22" s="205" t="e">
        <f t="shared" si="0"/>
        <v>#REF!</v>
      </c>
      <c r="H22" s="178" t="e">
        <f t="shared" si="1"/>
        <v>#REF!</v>
      </c>
    </row>
    <row r="23" spans="1:18" ht="21.95" customHeight="1" x14ac:dyDescent="0.2">
      <c r="A23" s="933" t="e">
        <f>+#REF!</f>
        <v>#REF!</v>
      </c>
      <c r="B23" s="934" t="e">
        <f>+#REF!</f>
        <v>#REF!</v>
      </c>
      <c r="C23" s="203" t="e">
        <f>+#REF!/A49</f>
        <v>#REF!</v>
      </c>
      <c r="D23" s="204" t="e">
        <f>+#REF!/A49</f>
        <v>#REF!</v>
      </c>
      <c r="E23" s="204" t="e">
        <f>+#REF!/A49</f>
        <v>#REF!</v>
      </c>
      <c r="F23" s="204" t="e">
        <f>+#REF!/A49</f>
        <v>#REF!</v>
      </c>
      <c r="G23" s="205" t="e">
        <f t="shared" si="0"/>
        <v>#REF!</v>
      </c>
      <c r="H23" s="178" t="e">
        <f t="shared" si="1"/>
        <v>#REF!</v>
      </c>
    </row>
    <row r="24" spans="1:18" ht="21.95" customHeight="1" x14ac:dyDescent="0.2">
      <c r="A24" s="933" t="e">
        <f>+#REF!</f>
        <v>#REF!</v>
      </c>
      <c r="B24" s="934" t="e">
        <f>+#REF!</f>
        <v>#REF!</v>
      </c>
      <c r="C24" s="203" t="e">
        <f>+#REF!/A49</f>
        <v>#REF!</v>
      </c>
      <c r="D24" s="204" t="e">
        <f>+#REF!/A49</f>
        <v>#REF!</v>
      </c>
      <c r="E24" s="204" t="e">
        <f>+#REF!/A49</f>
        <v>#REF!</v>
      </c>
      <c r="F24" s="204" t="e">
        <f>+#REF!/A49</f>
        <v>#REF!</v>
      </c>
      <c r="G24" s="205" t="e">
        <f t="shared" si="0"/>
        <v>#REF!</v>
      </c>
      <c r="H24" s="178" t="e">
        <f t="shared" si="1"/>
        <v>#REF!</v>
      </c>
    </row>
    <row r="25" spans="1:18" ht="21.95" customHeight="1" x14ac:dyDescent="0.2">
      <c r="A25" s="933" t="e">
        <f>+#REF!</f>
        <v>#REF!</v>
      </c>
      <c r="B25" s="934" t="e">
        <f>+#REF!</f>
        <v>#REF!</v>
      </c>
      <c r="C25" s="203" t="e">
        <f>+#REF!/A49</f>
        <v>#REF!</v>
      </c>
      <c r="D25" s="204" t="e">
        <f>+#REF!/A49</f>
        <v>#REF!</v>
      </c>
      <c r="E25" s="204" t="e">
        <f>+#REF!/A49</f>
        <v>#REF!</v>
      </c>
      <c r="F25" s="204" t="e">
        <f>+#REF!/A49</f>
        <v>#REF!</v>
      </c>
      <c r="G25" s="205" t="e">
        <f t="shared" si="0"/>
        <v>#REF!</v>
      </c>
      <c r="H25" s="178" t="e">
        <f t="shared" si="1"/>
        <v>#REF!</v>
      </c>
    </row>
    <row r="26" spans="1:18" ht="21.95" customHeight="1" x14ac:dyDescent="0.2">
      <c r="A26" s="933" t="e">
        <f>+#REF!</f>
        <v>#REF!</v>
      </c>
      <c r="B26" s="934" t="e">
        <f>+#REF!</f>
        <v>#REF!</v>
      </c>
      <c r="C26" s="203" t="e">
        <f>+#REF!/A49</f>
        <v>#REF!</v>
      </c>
      <c r="D26" s="204" t="e">
        <f>+#REF!/A49</f>
        <v>#REF!</v>
      </c>
      <c r="E26" s="204" t="e">
        <f>+#REF!/A49</f>
        <v>#REF!</v>
      </c>
      <c r="F26" s="204" t="e">
        <f>+#REF!/A49</f>
        <v>#REF!</v>
      </c>
      <c r="G26" s="205" t="e">
        <f t="shared" si="0"/>
        <v>#REF!</v>
      </c>
      <c r="H26" s="178" t="e">
        <f t="shared" si="1"/>
        <v>#REF!</v>
      </c>
    </row>
    <row r="27" spans="1:18" ht="27" customHeight="1" x14ac:dyDescent="0.2">
      <c r="A27" s="933" t="e">
        <f>+#REF!</f>
        <v>#REF!</v>
      </c>
      <c r="B27" s="934" t="e">
        <f>+#REF!</f>
        <v>#REF!</v>
      </c>
      <c r="C27" s="203" t="e">
        <f>+#REF!/A49</f>
        <v>#REF!</v>
      </c>
      <c r="D27" s="204" t="e">
        <f>+#REF!/A49</f>
        <v>#REF!</v>
      </c>
      <c r="E27" s="204" t="e">
        <f>+#REF!/A49</f>
        <v>#REF!</v>
      </c>
      <c r="F27" s="204" t="e">
        <f>+#REF!/A49</f>
        <v>#REF!</v>
      </c>
      <c r="G27" s="205" t="e">
        <f t="shared" si="0"/>
        <v>#REF!</v>
      </c>
      <c r="H27" s="178" t="e">
        <f t="shared" si="1"/>
        <v>#REF!</v>
      </c>
    </row>
    <row r="28" spans="1:18" ht="21.95" customHeight="1" x14ac:dyDescent="0.2">
      <c r="A28" s="933" t="e">
        <f>+#REF!</f>
        <v>#REF!</v>
      </c>
      <c r="B28" s="934" t="e">
        <f>+#REF!</f>
        <v>#REF!</v>
      </c>
      <c r="C28" s="203" t="e">
        <f>+#REF!/A49</f>
        <v>#REF!</v>
      </c>
      <c r="D28" s="204" t="e">
        <f>+#REF!/A49</f>
        <v>#REF!</v>
      </c>
      <c r="E28" s="204" t="e">
        <f>+#REF!/A49</f>
        <v>#REF!</v>
      </c>
      <c r="F28" s="204" t="e">
        <f>+#REF!/A49</f>
        <v>#REF!</v>
      </c>
      <c r="G28" s="205" t="e">
        <f t="shared" si="0"/>
        <v>#REF!</v>
      </c>
      <c r="H28" s="178" t="e">
        <f t="shared" si="1"/>
        <v>#REF!</v>
      </c>
    </row>
    <row r="29" spans="1:18" ht="21.95" customHeight="1" x14ac:dyDescent="0.2">
      <c r="A29" s="933" t="e">
        <f>+#REF!</f>
        <v>#REF!</v>
      </c>
      <c r="B29" s="934" t="e">
        <f>+#REF!</f>
        <v>#REF!</v>
      </c>
      <c r="C29" s="203" t="e">
        <f>+#REF!/A49</f>
        <v>#REF!</v>
      </c>
      <c r="D29" s="204" t="e">
        <f>+#REF!/A49</f>
        <v>#REF!</v>
      </c>
      <c r="E29" s="204" t="e">
        <f>+#REF!/A49</f>
        <v>#REF!</v>
      </c>
      <c r="F29" s="204" t="e">
        <f>+#REF!/A49</f>
        <v>#REF!</v>
      </c>
      <c r="G29" s="205" t="e">
        <f t="shared" si="0"/>
        <v>#REF!</v>
      </c>
      <c r="H29" s="178" t="e">
        <f t="shared" si="1"/>
        <v>#REF!</v>
      </c>
    </row>
    <row r="30" spans="1:18" ht="21.95" customHeight="1" x14ac:dyDescent="0.2">
      <c r="A30" s="933" t="e">
        <f>+#REF!</f>
        <v>#REF!</v>
      </c>
      <c r="B30" s="934" t="e">
        <f>+#REF!</f>
        <v>#REF!</v>
      </c>
      <c r="C30" s="203" t="e">
        <f>+#REF!/A49</f>
        <v>#REF!</v>
      </c>
      <c r="D30" s="204" t="e">
        <f>+#REF!/A49</f>
        <v>#REF!</v>
      </c>
      <c r="E30" s="204" t="e">
        <f>+#REF!/A49</f>
        <v>#REF!</v>
      </c>
      <c r="F30" s="204" t="e">
        <f>+#REF!/A49</f>
        <v>#REF!</v>
      </c>
      <c r="G30" s="205" t="e">
        <f>SUM(C30:F30)</f>
        <v>#REF!</v>
      </c>
      <c r="H30" s="178" t="e">
        <f t="shared" si="1"/>
        <v>#REF!</v>
      </c>
    </row>
    <row r="31" spans="1:18" ht="21.95" customHeight="1" x14ac:dyDescent="0.2">
      <c r="A31" s="933" t="e">
        <f>+#REF!</f>
        <v>#REF!</v>
      </c>
      <c r="B31" s="934" t="e">
        <f>+#REF!</f>
        <v>#REF!</v>
      </c>
      <c r="C31" s="203" t="e">
        <f>+#REF!/A49</f>
        <v>#REF!</v>
      </c>
      <c r="D31" s="204" t="e">
        <f>+#REF!/A49</f>
        <v>#REF!</v>
      </c>
      <c r="E31" s="204" t="e">
        <f>+#REF!/A49</f>
        <v>#REF!</v>
      </c>
      <c r="F31" s="204" t="e">
        <f>+#REF!/A49</f>
        <v>#REF!</v>
      </c>
      <c r="G31" s="205" t="e">
        <f>SUM(C31:F31)</f>
        <v>#REF!</v>
      </c>
      <c r="H31" s="178" t="e">
        <f t="shared" si="1"/>
        <v>#REF!</v>
      </c>
    </row>
    <row r="32" spans="1:18" ht="21.95" customHeight="1" x14ac:dyDescent="0.2">
      <c r="A32" s="933" t="e">
        <f>+#REF!</f>
        <v>#REF!</v>
      </c>
      <c r="B32" s="934" t="e">
        <f>+#REF!</f>
        <v>#REF!</v>
      </c>
      <c r="C32" s="203" t="e">
        <f>+#REF!/A49</f>
        <v>#REF!</v>
      </c>
      <c r="D32" s="204" t="e">
        <f>+#REF!/A49</f>
        <v>#REF!</v>
      </c>
      <c r="E32" s="204" t="e">
        <f>+#REF!/A49</f>
        <v>#REF!</v>
      </c>
      <c r="F32" s="204" t="e">
        <f>+#REF!/A49</f>
        <v>#REF!</v>
      </c>
      <c r="G32" s="205" t="e">
        <f t="shared" si="0"/>
        <v>#REF!</v>
      </c>
      <c r="H32" s="178" t="e">
        <f t="shared" si="1"/>
        <v>#REF!</v>
      </c>
    </row>
    <row r="33" spans="1:8" ht="21.95" customHeight="1" x14ac:dyDescent="0.2">
      <c r="A33" s="933" t="e">
        <f>+#REF!</f>
        <v>#REF!</v>
      </c>
      <c r="B33" s="934" t="e">
        <f>+#REF!</f>
        <v>#REF!</v>
      </c>
      <c r="C33" s="203" t="e">
        <f>+#REF!/A49</f>
        <v>#REF!</v>
      </c>
      <c r="D33" s="204" t="e">
        <f>+#REF!/A49</f>
        <v>#REF!</v>
      </c>
      <c r="E33" s="204" t="e">
        <f>+#REF!/A49</f>
        <v>#REF!</v>
      </c>
      <c r="F33" s="204" t="e">
        <f>+#REF!/A49</f>
        <v>#REF!</v>
      </c>
      <c r="G33" s="205" t="e">
        <f t="shared" si="0"/>
        <v>#REF!</v>
      </c>
      <c r="H33" s="178" t="e">
        <f t="shared" si="1"/>
        <v>#REF!</v>
      </c>
    </row>
    <row r="34" spans="1:8" ht="21.95" customHeight="1" x14ac:dyDescent="0.2">
      <c r="A34" s="933" t="e">
        <f>+#REF!</f>
        <v>#REF!</v>
      </c>
      <c r="B34" s="934" t="e">
        <f>+#REF!</f>
        <v>#REF!</v>
      </c>
      <c r="C34" s="203" t="e">
        <f>+#REF!/A49</f>
        <v>#REF!</v>
      </c>
      <c r="D34" s="204" t="e">
        <f>+#REF!/A49</f>
        <v>#REF!</v>
      </c>
      <c r="E34" s="204" t="e">
        <f>+#REF!/A49</f>
        <v>#REF!</v>
      </c>
      <c r="F34" s="204" t="e">
        <f>+#REF!/A49</f>
        <v>#REF!</v>
      </c>
      <c r="G34" s="205" t="e">
        <f t="shared" si="0"/>
        <v>#REF!</v>
      </c>
      <c r="H34" s="178" t="e">
        <f t="shared" si="1"/>
        <v>#REF!</v>
      </c>
    </row>
    <row r="35" spans="1:8" ht="21.95" customHeight="1" x14ac:dyDescent="0.2">
      <c r="A35" s="933" t="e">
        <f>+#REF!</f>
        <v>#REF!</v>
      </c>
      <c r="B35" s="934" t="e">
        <f>+#REF!</f>
        <v>#REF!</v>
      </c>
      <c r="C35" s="203" t="e">
        <f>+#REF!/A49</f>
        <v>#REF!</v>
      </c>
      <c r="D35" s="204" t="e">
        <f>+#REF!/A49</f>
        <v>#REF!</v>
      </c>
      <c r="E35" s="204" t="e">
        <f>+#REF!/A49</f>
        <v>#REF!</v>
      </c>
      <c r="F35" s="204" t="e">
        <f>+#REF!/A49</f>
        <v>#REF!</v>
      </c>
      <c r="G35" s="205" t="e">
        <f t="shared" si="0"/>
        <v>#REF!</v>
      </c>
      <c r="H35" s="178" t="e">
        <f t="shared" si="1"/>
        <v>#REF!</v>
      </c>
    </row>
    <row r="36" spans="1:8" ht="21.95" customHeight="1" x14ac:dyDescent="0.2">
      <c r="A36" s="933" t="e">
        <f>+#REF!</f>
        <v>#REF!</v>
      </c>
      <c r="B36" s="934" t="e">
        <f>+#REF!</f>
        <v>#REF!</v>
      </c>
      <c r="C36" s="203" t="e">
        <f>+#REF!/A49</f>
        <v>#REF!</v>
      </c>
      <c r="D36" s="204" t="e">
        <f>+#REF!/A49</f>
        <v>#REF!</v>
      </c>
      <c r="E36" s="204" t="e">
        <f>+#REF!/A49</f>
        <v>#REF!</v>
      </c>
      <c r="F36" s="204" t="e">
        <f>+#REF!/A49</f>
        <v>#REF!</v>
      </c>
      <c r="G36" s="205" t="e">
        <f t="shared" si="0"/>
        <v>#REF!</v>
      </c>
      <c r="H36" s="178" t="e">
        <f t="shared" si="1"/>
        <v>#REF!</v>
      </c>
    </row>
    <row r="37" spans="1:8" ht="21.95" customHeight="1" x14ac:dyDescent="0.2">
      <c r="A37" s="933" t="e">
        <f>+#REF!</f>
        <v>#REF!</v>
      </c>
      <c r="B37" s="934" t="e">
        <f>+#REF!</f>
        <v>#REF!</v>
      </c>
      <c r="C37" s="203" t="e">
        <f>+#REF!/A49</f>
        <v>#REF!</v>
      </c>
      <c r="D37" s="204" t="e">
        <f>+#REF!/A49</f>
        <v>#REF!</v>
      </c>
      <c r="E37" s="204" t="e">
        <f>+#REF!/A49</f>
        <v>#REF!</v>
      </c>
      <c r="F37" s="204" t="e">
        <f>+#REF!/A49</f>
        <v>#REF!</v>
      </c>
      <c r="G37" s="205" t="e">
        <f t="shared" si="0"/>
        <v>#REF!</v>
      </c>
      <c r="H37" s="178" t="e">
        <f t="shared" si="1"/>
        <v>#REF!</v>
      </c>
    </row>
    <row r="38" spans="1:8" ht="21.95" customHeight="1" x14ac:dyDescent="0.2">
      <c r="A38" s="933" t="e">
        <f>+#REF!</f>
        <v>#REF!</v>
      </c>
      <c r="B38" s="934" t="e">
        <f>+#REF!</f>
        <v>#REF!</v>
      </c>
      <c r="C38" s="203" t="e">
        <f>+#REF!/A49</f>
        <v>#REF!</v>
      </c>
      <c r="D38" s="204" t="e">
        <f>+#REF!/A49</f>
        <v>#REF!</v>
      </c>
      <c r="E38" s="204" t="e">
        <f>+#REF!/A49</f>
        <v>#REF!</v>
      </c>
      <c r="F38" s="204" t="e">
        <f>+#REF!/A49</f>
        <v>#REF!</v>
      </c>
      <c r="G38" s="205" t="e">
        <f t="shared" si="0"/>
        <v>#REF!</v>
      </c>
      <c r="H38" s="178" t="e">
        <f t="shared" si="1"/>
        <v>#REF!</v>
      </c>
    </row>
    <row r="39" spans="1:8" ht="21.95" customHeight="1" x14ac:dyDescent="0.2">
      <c r="A39" s="933" t="e">
        <f>+#REF!</f>
        <v>#REF!</v>
      </c>
      <c r="B39" s="934" t="e">
        <f>+#REF!</f>
        <v>#REF!</v>
      </c>
      <c r="C39" s="203" t="e">
        <f>+#REF!/A49</f>
        <v>#REF!</v>
      </c>
      <c r="D39" s="204" t="e">
        <f>+#REF!/A49</f>
        <v>#REF!</v>
      </c>
      <c r="E39" s="204" t="e">
        <f>+#REF!/A49</f>
        <v>#REF!</v>
      </c>
      <c r="F39" s="204" t="e">
        <f>+#REF!/A49</f>
        <v>#REF!</v>
      </c>
      <c r="G39" s="205" t="e">
        <f t="shared" si="0"/>
        <v>#REF!</v>
      </c>
      <c r="H39" s="178" t="e">
        <f t="shared" si="1"/>
        <v>#REF!</v>
      </c>
    </row>
    <row r="40" spans="1:8" ht="21.95" customHeight="1" thickBot="1" x14ac:dyDescent="0.25">
      <c r="A40" s="935" t="e">
        <f>+#REF!</f>
        <v>#REF!</v>
      </c>
      <c r="B40" s="936" t="e">
        <f>+#REF!</f>
        <v>#REF!</v>
      </c>
      <c r="C40" s="202" t="e">
        <f>+#REF!/A49</f>
        <v>#REF!</v>
      </c>
      <c r="D40" s="423" t="e">
        <f>+#REF!/A49</f>
        <v>#REF!</v>
      </c>
      <c r="E40" s="423" t="e">
        <f>+#REF!/A49</f>
        <v>#REF!</v>
      </c>
      <c r="F40" s="423" t="e">
        <f>+#REF!/A49</f>
        <v>#REF!</v>
      </c>
      <c r="G40" s="205" t="e">
        <f t="shared" si="0"/>
        <v>#REF!</v>
      </c>
      <c r="H40" s="178" t="e">
        <f t="shared" si="1"/>
        <v>#REF!</v>
      </c>
    </row>
    <row r="41" spans="1:8" ht="12.75" customHeight="1" thickTop="1" thickBot="1" x14ac:dyDescent="0.25">
      <c r="A41" s="1186"/>
      <c r="B41" s="1187"/>
      <c r="C41" s="1187"/>
      <c r="D41" s="1187"/>
      <c r="E41" s="1187"/>
      <c r="F41" s="1187"/>
      <c r="G41" s="1188"/>
      <c r="H41" s="178"/>
    </row>
    <row r="42" spans="1:8" ht="30.75" customHeight="1" thickTop="1" thickBot="1" x14ac:dyDescent="0.25">
      <c r="A42" s="1183" t="s">
        <v>2288</v>
      </c>
      <c r="B42" s="1184"/>
      <c r="C42" s="433" t="e">
        <f>+ROUND(SUM(C20:C40),10)</f>
        <v>#REF!</v>
      </c>
      <c r="D42" s="434" t="e">
        <f>+ROUND(SUM(D20:D40),10)</f>
        <v>#REF!</v>
      </c>
      <c r="E42" s="434" t="e">
        <f>+ROUND(SUM(E20:E40),10)</f>
        <v>#REF!</v>
      </c>
      <c r="F42" s="434" t="e">
        <f>+ROUND(SUM(F20:F40),10)</f>
        <v>#REF!</v>
      </c>
      <c r="G42" s="435" t="e">
        <f>+ROUND(SUM(G20:G40),10)</f>
        <v>#REF!</v>
      </c>
      <c r="H42" s="178" t="e">
        <f t="shared" si="1"/>
        <v>#REF!</v>
      </c>
    </row>
    <row r="43" spans="1:8" ht="19.5" customHeight="1" thickTop="1" x14ac:dyDescent="0.2">
      <c r="A43" s="1153" t="s">
        <v>2289</v>
      </c>
      <c r="B43" s="1154"/>
      <c r="C43" s="470" t="e">
        <f>+C42*0.2</f>
        <v>#REF!</v>
      </c>
      <c r="D43" s="470" t="e">
        <f>+D42*0.2</f>
        <v>#REF!</v>
      </c>
      <c r="E43" s="470" t="e">
        <f>+E42*0.2</f>
        <v>#REF!</v>
      </c>
      <c r="F43" s="470" t="e">
        <f>+F42*0.2</f>
        <v>#REF!</v>
      </c>
      <c r="G43" s="471" t="e">
        <f>+G42*0.2</f>
        <v>#REF!</v>
      </c>
      <c r="H43" s="178" t="e">
        <f t="shared" si="1"/>
        <v>#REF!</v>
      </c>
    </row>
    <row r="44" spans="1:8" ht="24" customHeight="1" x14ac:dyDescent="0.2">
      <c r="A44" s="1153" t="s">
        <v>2039</v>
      </c>
      <c r="B44" s="1154"/>
      <c r="C44" s="470" t="e">
        <f>+(C42+C43)*0.05</f>
        <v>#REF!</v>
      </c>
      <c r="D44" s="470" t="e">
        <f>+(D42+D43)*0.05</f>
        <v>#REF!</v>
      </c>
      <c r="E44" s="470" t="e">
        <f>+(E42+E43)*0.05</f>
        <v>#REF!</v>
      </c>
      <c r="F44" s="470" t="e">
        <f>+(F42+F43)*0.05</f>
        <v>#REF!</v>
      </c>
      <c r="G44" s="470" t="e">
        <f>+(G42+G43)*0.05</f>
        <v>#REF!</v>
      </c>
      <c r="H44" s="178" t="e">
        <f t="shared" si="1"/>
        <v>#REF!</v>
      </c>
    </row>
    <row r="45" spans="1:8" ht="42" customHeight="1" thickBot="1" x14ac:dyDescent="0.25">
      <c r="A45" s="1155" t="s">
        <v>2290</v>
      </c>
      <c r="B45" s="1156"/>
      <c r="C45" s="430" t="e">
        <f>SUM(C42:C44)</f>
        <v>#REF!</v>
      </c>
      <c r="D45" s="430" t="e">
        <f>SUM(D42:D44)</f>
        <v>#REF!</v>
      </c>
      <c r="E45" s="430" t="e">
        <f>SUM(E42:E44)</f>
        <v>#REF!</v>
      </c>
      <c r="F45" s="430" t="e">
        <f>SUM(F42:F44)</f>
        <v>#REF!</v>
      </c>
      <c r="G45" s="431" t="e">
        <f>(SUM(G42:G44))</f>
        <v>#REF!</v>
      </c>
      <c r="H45" s="178" t="e">
        <f>+G45*$A$49</f>
        <v>#REF!</v>
      </c>
    </row>
    <row r="46" spans="1:8" ht="54" customHeight="1" thickTop="1" x14ac:dyDescent="0.2">
      <c r="A46" s="1185"/>
      <c r="B46" s="1185"/>
      <c r="C46" s="1185"/>
      <c r="D46" s="1185"/>
      <c r="E46" s="1185"/>
      <c r="F46" s="1185"/>
      <c r="G46" s="1185"/>
    </row>
    <row r="47" spans="1:8" x14ac:dyDescent="0.2">
      <c r="A47" s="113"/>
      <c r="B47" s="113"/>
    </row>
    <row r="48" spans="1:8" ht="13.5" thickBot="1" x14ac:dyDescent="0.25">
      <c r="B48" s="114"/>
    </row>
    <row r="49" spans="1:3" ht="21" thickBot="1" x14ac:dyDescent="0.25">
      <c r="A49" s="1163" t="e">
        <f>+#REF!</f>
        <v>#REF!</v>
      </c>
      <c r="B49" s="1164"/>
      <c r="C49" s="115" t="s">
        <v>2291</v>
      </c>
    </row>
  </sheetData>
  <customSheetViews>
    <customSheetView guid="{93F324B6-F965-4669-93FF-DBB148734A46}" showPageBreaks="1" printArea="1" state="hidden" view="pageBreakPreview" topLeftCell="A5">
      <selection sqref="A1:T4"/>
      <pageMargins left="0" right="0" top="0" bottom="0" header="0" footer="0"/>
      <printOptions horizontalCentered="1" verticalCentered="1"/>
      <pageSetup scale="64" orientation="landscape" errors="blank" r:id="rId1"/>
      <headerFooter alignWithMargins="0"/>
    </customSheetView>
  </customSheetViews>
  <mergeCells count="23">
    <mergeCell ref="A49:B49"/>
    <mergeCell ref="C8:G8"/>
    <mergeCell ref="A1:B4"/>
    <mergeCell ref="C10:G10"/>
    <mergeCell ref="C12:G17"/>
    <mergeCell ref="C1:G1"/>
    <mergeCell ref="C2:G2"/>
    <mergeCell ref="C4:G4"/>
    <mergeCell ref="C6:G6"/>
    <mergeCell ref="A42:B42"/>
    <mergeCell ref="A46:G46"/>
    <mergeCell ref="A41:B41"/>
    <mergeCell ref="C41:G41"/>
    <mergeCell ref="C18:C19"/>
    <mergeCell ref="D18:D19"/>
    <mergeCell ref="E18:E19"/>
    <mergeCell ref="A44:B44"/>
    <mergeCell ref="A45:B45"/>
    <mergeCell ref="F18:F19"/>
    <mergeCell ref="G18:G19"/>
    <mergeCell ref="A18:A19"/>
    <mergeCell ref="B18:B19"/>
    <mergeCell ref="A43:B43"/>
  </mergeCells>
  <printOptions horizontalCentered="1" verticalCentered="1"/>
  <pageMargins left="0.78740157480314965" right="0.78740157480314965" top="0.39370078740157483" bottom="0.39370078740157483" header="0" footer="0"/>
  <pageSetup scale="64" orientation="landscape" errors="blank" r:id="rId2"/>
  <headerFooter alignWithMargins="0"/>
  <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0">
    <tabColor rgb="FFFFC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52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229</v>
      </c>
      <c r="B8" s="1216"/>
      <c r="C8" s="1217"/>
      <c r="D8" s="851" t="e">
        <f t="shared" ref="D8:D18" si="0">IF(A8&lt;&gt;0,VLOOKUP(A8,Materiales,2,FALSE),$J$1)</f>
        <v>#REF!</v>
      </c>
      <c r="E8" s="12">
        <v>5.0000000000000001E-3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291</v>
      </c>
      <c r="B9" s="1216"/>
      <c r="C9" s="1217"/>
      <c r="D9" s="851" t="e">
        <f t="shared" si="0"/>
        <v>#REF!</v>
      </c>
      <c r="E9" s="13">
        <v>5.0000000000000001E-3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2</v>
      </c>
      <c r="E23" s="28"/>
      <c r="F23" s="12">
        <f t="shared" ref="F23:F29" si="3">IF(A23&lt;&gt;0,VLOOKUP(A23,Equipos,6,FALSE),$J$1)</f>
        <v>3710</v>
      </c>
      <c r="G23" s="14">
        <v>0.05</v>
      </c>
      <c r="H23" s="8">
        <f t="shared" ref="H23:H29" si="4">IF(A23&lt;&gt;0,ROUND((F23/D23)*G23,2),$J$1)</f>
        <v>92.75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92.75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62</v>
      </c>
      <c r="B45" s="1216"/>
      <c r="C45" s="1217"/>
      <c r="D45" s="1225">
        <f>IF(A45&lt;&gt;0,VLOOKUP(A45,Cuadrillas,7,FALSE),$J$1)</f>
        <v>329249.03000000003</v>
      </c>
      <c r="E45" s="1226"/>
      <c r="F45" s="1221">
        <v>50</v>
      </c>
      <c r="G45" s="1222"/>
      <c r="H45" s="8">
        <f>IF(A45&lt;&gt;0,ROUND(D45/F45,2),$J$1)</f>
        <v>6584.98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6584.98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6584.98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7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23:C23"/>
    <mergeCell ref="A24:C24"/>
    <mergeCell ref="A25:C25"/>
    <mergeCell ref="B34:C34"/>
    <mergeCell ref="A35:C35"/>
    <mergeCell ref="A36:C36"/>
    <mergeCell ref="A37:C37"/>
    <mergeCell ref="B38:C38"/>
    <mergeCell ref="A39:C39"/>
    <mergeCell ref="A40:C40"/>
    <mergeCell ref="A41:H41"/>
    <mergeCell ref="A10:C10"/>
    <mergeCell ref="A1:C1"/>
    <mergeCell ref="H1:I1"/>
    <mergeCell ref="C5:I5"/>
    <mergeCell ref="A8:C8"/>
    <mergeCell ref="A9:C9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6:C29 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1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indexed="26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16" t="s">
        <v>122</v>
      </c>
      <c r="B8" s="1117"/>
      <c r="C8" s="1118"/>
      <c r="D8" s="844" t="e">
        <f t="shared" ref="D8:D18" si="0">IF(A8&lt;&gt;0,VLOOKUP(A8,Materiales,2,FALSE),$J$1)</f>
        <v>#REF!</v>
      </c>
      <c r="E8" s="13">
        <v>1.7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145</v>
      </c>
      <c r="B9" s="1284"/>
      <c r="C9" s="1284"/>
      <c r="D9" s="844" t="e">
        <f t="shared" si="0"/>
        <v>#REF!</v>
      </c>
      <c r="E9" s="13">
        <v>0.1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229</v>
      </c>
      <c r="B10" s="1081"/>
      <c r="C10" s="1081"/>
      <c r="D10" s="844" t="e">
        <f t="shared" si="0"/>
        <v>#REF!</v>
      </c>
      <c r="E10" s="13">
        <f>+(0.07*1*1)*1.12</f>
        <v>7.8400000000000011E-2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365</v>
      </c>
      <c r="B11" s="1081"/>
      <c r="C11" s="1081"/>
      <c r="D11" s="844" t="e">
        <f t="shared" si="0"/>
        <v>#REF!</v>
      </c>
      <c r="E11" s="13">
        <f>+(1+0.21)*1.05</f>
        <v>1.2705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446</v>
      </c>
      <c r="B12" s="1081"/>
      <c r="C12" s="1081"/>
      <c r="D12" s="844" t="e">
        <f t="shared" si="0"/>
        <v>#REF!</v>
      </c>
      <c r="E12" s="12">
        <v>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330</v>
      </c>
      <c r="B13" s="1081"/>
      <c r="C13" s="1081"/>
      <c r="D13" s="844" t="e">
        <f t="shared" si="0"/>
        <v>#REF!</v>
      </c>
      <c r="E13" s="12">
        <v>0.5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7</v>
      </c>
      <c r="E23" s="33"/>
      <c r="F23" s="12">
        <f t="shared" ref="F23:F29" si="3">IF(A23&lt;&gt;0,VLOOKUP(A23,Equipos,6,FALSE),$J$1)</f>
        <v>3710</v>
      </c>
      <c r="G23" s="14">
        <v>0.25</v>
      </c>
      <c r="H23" s="7">
        <f t="shared" ref="H23:H29" si="4">IF(A23&lt;&gt;0,ROUND((F23/D23)*G23,2),$J$1)</f>
        <v>132.5</v>
      </c>
      <c r="I23" s="69"/>
    </row>
    <row r="24" spans="1:9" x14ac:dyDescent="0.2">
      <c r="A24" s="1080" t="s">
        <v>497</v>
      </c>
      <c r="B24" s="1081"/>
      <c r="C24" s="1081"/>
      <c r="D24" s="33">
        <v>9</v>
      </c>
      <c r="E24" s="33"/>
      <c r="F24" s="12">
        <f t="shared" si="3"/>
        <v>42400</v>
      </c>
      <c r="G24" s="14">
        <v>0.15</v>
      </c>
      <c r="H24" s="7">
        <f t="shared" si="4"/>
        <v>706.67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839.17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 t="e">
        <f>SUM(H39:H40)</f>
        <v>#N/A</v>
      </c>
    </row>
    <row r="39" spans="1:9" x14ac:dyDescent="0.2">
      <c r="A39" s="1215" t="s">
        <v>2353</v>
      </c>
      <c r="B39" s="1216"/>
      <c r="C39" s="1217"/>
      <c r="D39" s="46" t="e">
        <f>IF(H37&lt;&gt;0,VLOOKUP(A39,Transporte,8,FALSE),$J$1)</f>
        <v>#N/A</v>
      </c>
      <c r="E39" s="61"/>
      <c r="F39" s="15" t="e">
        <f t="shared" si="5"/>
        <v>#N/A</v>
      </c>
      <c r="G39" s="12">
        <v>0.3</v>
      </c>
      <c r="H39" s="7" t="e">
        <f t="shared" si="6"/>
        <v>#N/A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 t="e">
        <f>SUM(I34:I40)</f>
        <v>#N/A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17.5</v>
      </c>
      <c r="G45" s="1083"/>
      <c r="H45" s="7">
        <f>IF(A45&lt;&gt;0,ROUND(D45/F45,2),$J$1)</f>
        <v>18814.23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18814.23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18814.23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2:H52"/>
    <mergeCell ref="A51:I51"/>
    <mergeCell ref="A50:H50"/>
    <mergeCell ref="F46:G46"/>
    <mergeCell ref="A1:C1"/>
    <mergeCell ref="B34:C34"/>
    <mergeCell ref="B38:C38"/>
    <mergeCell ref="A46:C46"/>
    <mergeCell ref="D46:E46"/>
    <mergeCell ref="F44:G44"/>
    <mergeCell ref="F45:G45"/>
    <mergeCell ref="A43:I43"/>
    <mergeCell ref="A25:C25"/>
    <mergeCell ref="A26:C26"/>
    <mergeCell ref="D45:E45"/>
    <mergeCell ref="A44:C44"/>
    <mergeCell ref="A45:C45"/>
    <mergeCell ref="D44:E44"/>
    <mergeCell ref="A27:C27"/>
    <mergeCell ref="A28:C28"/>
    <mergeCell ref="A29:C29"/>
    <mergeCell ref="A41:H41"/>
    <mergeCell ref="A42:I42"/>
    <mergeCell ref="A35:C35"/>
    <mergeCell ref="A36:C36"/>
    <mergeCell ref="A37:C37"/>
    <mergeCell ref="A39:C39"/>
    <mergeCell ref="A40:C40"/>
    <mergeCell ref="A56:G56"/>
    <mergeCell ref="H56:I56"/>
    <mergeCell ref="A47:C47"/>
    <mergeCell ref="A48:C48"/>
    <mergeCell ref="D47:E47"/>
    <mergeCell ref="F47:G47"/>
    <mergeCell ref="A49:C49"/>
    <mergeCell ref="D48:E48"/>
    <mergeCell ref="A53:H53"/>
    <mergeCell ref="F49:G49"/>
    <mergeCell ref="F48:G48"/>
    <mergeCell ref="D49:E49"/>
    <mergeCell ref="F55:I55"/>
    <mergeCell ref="A55:C55"/>
    <mergeCell ref="D55:E55"/>
    <mergeCell ref="A54:G54"/>
    <mergeCell ref="A14:C14"/>
    <mergeCell ref="H1:I1"/>
    <mergeCell ref="A23:C23"/>
    <mergeCell ref="A24:C24"/>
    <mergeCell ref="A15:C15"/>
    <mergeCell ref="A16:C16"/>
    <mergeCell ref="A17:C17"/>
    <mergeCell ref="A18:C18"/>
    <mergeCell ref="A8:C8"/>
    <mergeCell ref="A9:C9"/>
    <mergeCell ref="A10:C10"/>
    <mergeCell ref="A11:C11"/>
    <mergeCell ref="A12:C12"/>
    <mergeCell ref="A13:C13"/>
    <mergeCell ref="A4:E4"/>
  </mergeCells>
  <phoneticPr fontId="0" type="noConversion"/>
  <dataValidations disablePrompts="1"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16" t="s">
        <v>122</v>
      </c>
      <c r="B8" s="1117"/>
      <c r="C8" s="1118"/>
      <c r="D8" s="844" t="e">
        <f t="shared" ref="D8:D18" si="0">IF(A8&lt;&gt;0,VLOOKUP(A8,Materiales,2,FALSE),$J$1)</f>
        <v>#REF!</v>
      </c>
      <c r="E8" s="13">
        <v>2.9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116" t="s">
        <v>145</v>
      </c>
      <c r="B9" s="1117"/>
      <c r="C9" s="1118"/>
      <c r="D9" s="844" t="e">
        <f t="shared" si="0"/>
        <v>#REF!</v>
      </c>
      <c r="E9" s="13">
        <v>0.09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229</v>
      </c>
      <c r="B10" s="1081"/>
      <c r="C10" s="1081"/>
      <c r="D10" s="844" t="e">
        <f t="shared" si="0"/>
        <v>#REF!</v>
      </c>
      <c r="E10" s="13">
        <v>0.06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362</v>
      </c>
      <c r="B11" s="1081"/>
      <c r="C11" s="1081"/>
      <c r="D11" s="844" t="e">
        <f t="shared" si="0"/>
        <v>#REF!</v>
      </c>
      <c r="E11" s="13">
        <v>0.15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446</v>
      </c>
      <c r="B12" s="1081"/>
      <c r="C12" s="1081"/>
      <c r="D12" s="844" t="e">
        <f t="shared" si="0"/>
        <v>#REF!</v>
      </c>
      <c r="E12" s="12">
        <v>0.4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330</v>
      </c>
      <c r="B13" s="1081"/>
      <c r="C13" s="1081"/>
      <c r="D13" s="844" t="e">
        <f t="shared" si="0"/>
        <v>#REF!</v>
      </c>
      <c r="E13" s="12">
        <v>0.32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</v>
      </c>
      <c r="I23" s="69"/>
    </row>
    <row r="24" spans="1:9" x14ac:dyDescent="0.2">
      <c r="A24" s="1080" t="s">
        <v>497</v>
      </c>
      <c r="B24" s="1081"/>
      <c r="C24" s="1081"/>
      <c r="D24" s="33">
        <v>14</v>
      </c>
      <c r="E24" s="33"/>
      <c r="F24" s="12">
        <f t="shared" si="3"/>
        <v>42400</v>
      </c>
      <c r="G24" s="14">
        <v>1</v>
      </c>
      <c r="H24" s="7">
        <f t="shared" si="4"/>
        <v>3028.57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3399.57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53</v>
      </c>
      <c r="B45" s="1081"/>
      <c r="C45" s="1081"/>
      <c r="D45" s="1082">
        <f>IF(A45&lt;&gt;0,VLOOKUP(A45,Cuadrillas,7,FALSE),$J$1)</f>
        <v>228403.46</v>
      </c>
      <c r="E45" s="1082"/>
      <c r="F45" s="1083">
        <v>20</v>
      </c>
      <c r="G45" s="1083"/>
      <c r="H45" s="7">
        <f>IF(A45&lt;&gt;0,ROUND(D45/F45,2),$J$1)</f>
        <v>11420.17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11420.17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11420.17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:C1"/>
    <mergeCell ref="B34:C34"/>
    <mergeCell ref="B38:C38"/>
    <mergeCell ref="A13:C13"/>
    <mergeCell ref="A14:C14"/>
    <mergeCell ref="A23:C23"/>
    <mergeCell ref="A24:C24"/>
    <mergeCell ref="A15:C15"/>
    <mergeCell ref="A16:C16"/>
    <mergeCell ref="A17:C17"/>
    <mergeCell ref="A18:C18"/>
    <mergeCell ref="A4:E4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A36:C36"/>
    <mergeCell ref="A37:C37"/>
    <mergeCell ref="A39:C39"/>
    <mergeCell ref="A40:C40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35:C35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1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16" t="s">
        <v>122</v>
      </c>
      <c r="B8" s="1117"/>
      <c r="C8" s="1118"/>
      <c r="D8" s="844" t="e">
        <f t="shared" ref="D8:D18" si="0">IF(A8&lt;&gt;0,VLOOKUP(A8,Materiales,2,FALSE),$J$1)</f>
        <v>#REF!</v>
      </c>
      <c r="E8" s="13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145</v>
      </c>
      <c r="B9" s="1284"/>
      <c r="C9" s="1284"/>
      <c r="D9" s="844" t="e">
        <f t="shared" si="0"/>
        <v>#REF!</v>
      </c>
      <c r="E9" s="13">
        <v>0.05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229</v>
      </c>
      <c r="B10" s="1081"/>
      <c r="C10" s="1081"/>
      <c r="D10" s="844" t="e">
        <f t="shared" si="0"/>
        <v>#REF!</v>
      </c>
      <c r="E10" s="13">
        <f>+(0.08*0.15*1)</f>
        <v>1.2E-2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365</v>
      </c>
      <c r="B11" s="1081"/>
      <c r="C11" s="1081"/>
      <c r="D11" s="844" t="e">
        <f t="shared" si="0"/>
        <v>#REF!</v>
      </c>
      <c r="E11" s="13">
        <f>+(1+0.21)*1.05</f>
        <v>1.2705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446</v>
      </c>
      <c r="B12" s="1081"/>
      <c r="C12" s="1081"/>
      <c r="D12" s="844" t="e">
        <f t="shared" si="0"/>
        <v>#REF!</v>
      </c>
      <c r="E12" s="12">
        <v>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330</v>
      </c>
      <c r="B13" s="1081"/>
      <c r="C13" s="1081"/>
      <c r="D13" s="844" t="e">
        <f t="shared" si="0"/>
        <v>#REF!</v>
      </c>
      <c r="E13" s="12">
        <v>0.5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7</v>
      </c>
      <c r="E23" s="33"/>
      <c r="F23" s="12">
        <f t="shared" ref="F23:F29" si="3">IF(A23&lt;&gt;0,VLOOKUP(A23,Equipos,6,FALSE),$J$1)</f>
        <v>3710</v>
      </c>
      <c r="G23" s="14">
        <v>0.25</v>
      </c>
      <c r="H23" s="7">
        <f t="shared" ref="H23:H29" si="4">IF(A23&lt;&gt;0,ROUND((F23/D23)*G23,2),$J$1)</f>
        <v>132.5</v>
      </c>
      <c r="I23" s="69"/>
    </row>
    <row r="24" spans="1:9" x14ac:dyDescent="0.2">
      <c r="A24" s="1080" t="s">
        <v>497</v>
      </c>
      <c r="B24" s="1081"/>
      <c r="C24" s="1081"/>
      <c r="D24" s="33">
        <v>9</v>
      </c>
      <c r="E24" s="33"/>
      <c r="F24" s="12">
        <f t="shared" si="3"/>
        <v>42400</v>
      </c>
      <c r="G24" s="14">
        <v>0.05</v>
      </c>
      <c r="H24" s="7">
        <f t="shared" si="4"/>
        <v>235.56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368.06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46"/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30</v>
      </c>
      <c r="G45" s="1083"/>
      <c r="H45" s="7">
        <f>IF(A45&lt;&gt;0,ROUND(D45/F45,2),$J$1)</f>
        <v>10974.97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10974.97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10974.97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5">
    <tabColor rgb="FFFFFFCC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1.05</v>
      </c>
      <c r="F8" s="21" t="e">
        <f t="shared" ref="F8:F14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365</v>
      </c>
      <c r="B9" s="1216"/>
      <c r="C9" s="1217"/>
      <c r="D9" s="851" t="e">
        <f t="shared" si="0"/>
        <v>#REF!</v>
      </c>
      <c r="E9" s="12">
        <v>16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345</v>
      </c>
      <c r="B10" s="1216"/>
      <c r="C10" s="1217"/>
      <c r="D10" s="851" t="e">
        <f t="shared" si="0"/>
        <v>#REF!</v>
      </c>
      <c r="E10" s="12">
        <v>6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311" t="s">
        <v>330</v>
      </c>
      <c r="B11" s="1216"/>
      <c r="C11" s="1217"/>
      <c r="D11" s="851" t="e">
        <f t="shared" si="0"/>
        <v>#REF!</v>
      </c>
      <c r="E11" s="12">
        <v>2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242</v>
      </c>
      <c r="B12" s="1216"/>
      <c r="C12" s="1217"/>
      <c r="D12" s="851" t="e">
        <f t="shared" si="0"/>
        <v>#REF!</v>
      </c>
      <c r="E12" s="12">
        <f>8.33/2</f>
        <v>4.165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145</v>
      </c>
      <c r="B13" s="1216"/>
      <c r="C13" s="1217"/>
      <c r="D13" s="851" t="e">
        <f t="shared" si="0"/>
        <v>#REF!</v>
      </c>
      <c r="E13" s="12">
        <v>0.95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1215"/>
      <c r="B14" s="1216"/>
      <c r="C14" s="1217"/>
      <c r="D14" s="851" t="str">
        <f t="shared" si="0"/>
        <v>-</v>
      </c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2342</v>
      </c>
      <c r="E22" s="254"/>
      <c r="F22" s="235" t="s">
        <v>2219</v>
      </c>
      <c r="G22" s="881" t="s">
        <v>2220</v>
      </c>
      <c r="H22" s="257" t="s">
        <v>2343</v>
      </c>
      <c r="I22" s="72"/>
    </row>
    <row r="23" spans="1:9" x14ac:dyDescent="0.2">
      <c r="A23" s="871" t="s">
        <v>477</v>
      </c>
      <c r="B23" s="872"/>
      <c r="C23" s="873"/>
      <c r="D23" s="26">
        <v>5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>IF(A23&lt;&gt;0,ROUND((F23/D23)*G23,2),$J$1)</f>
        <v>742</v>
      </c>
      <c r="I23" s="69"/>
    </row>
    <row r="24" spans="1:9" x14ac:dyDescent="0.2">
      <c r="A24" s="1215" t="s">
        <v>497</v>
      </c>
      <c r="B24" s="1216"/>
      <c r="C24" s="1217"/>
      <c r="D24" s="26">
        <v>0.25</v>
      </c>
      <c r="E24" s="28"/>
      <c r="F24" s="12">
        <f>IF(A24&lt;&gt;0,VLOOKUP(A24,Equipos,6,FALSE),$J$1)</f>
        <v>42400</v>
      </c>
      <c r="G24" s="14">
        <v>0.04</v>
      </c>
      <c r="H24" s="8">
        <f>IF(A24&lt;&gt;0,ROUND((F24/D24)*G24,2),$J$1)</f>
        <v>6784</v>
      </c>
      <c r="I24" s="69"/>
    </row>
    <row r="25" spans="1:9" x14ac:dyDescent="0.2">
      <c r="A25" s="1215" t="s">
        <v>482</v>
      </c>
      <c r="B25" s="1216"/>
      <c r="C25" s="1217"/>
      <c r="D25" s="26">
        <v>0.75</v>
      </c>
      <c r="E25" s="28"/>
      <c r="F25" s="12">
        <f>IF(A25&lt;&gt;0,VLOOKUP(A25,Equipos,6,FALSE),$J$1)</f>
        <v>1590</v>
      </c>
      <c r="G25" s="14">
        <v>1</v>
      </c>
      <c r="H25" s="8">
        <f>IF(A25&lt;&gt;0,ROUND((F25/D25)*G25,2),$J$1)</f>
        <v>2120</v>
      </c>
      <c r="I25" s="69"/>
    </row>
    <row r="26" spans="1:9" x14ac:dyDescent="0.2">
      <c r="A26" s="1215" t="s">
        <v>484</v>
      </c>
      <c r="B26" s="1216"/>
      <c r="C26" s="1217"/>
      <c r="D26" s="26">
        <v>15</v>
      </c>
      <c r="E26" s="28"/>
      <c r="F26" s="12">
        <f>IF(A26&lt;&gt;0,VLOOKUP(A26,Equipos,6,FALSE),$J$1)</f>
        <v>1812.6</v>
      </c>
      <c r="G26" s="14">
        <v>1</v>
      </c>
      <c r="H26" s="8">
        <f>+D26*F26</f>
        <v>27189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>IF(A27&lt;&gt;0,ROUND((F27/D27)*G27,2),$J$1)</f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>IF(A28&lt;&gt;0,ROUND((F28/D28)*G28,2),$J$1)</f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>IF(A29&lt;&gt;0,ROUND((F29/D29)*G29,2),$J$1)</f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36835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4">IF(A35&lt;&gt;0,VLOOKUP(A35,Transporte,2,FALSE),$J$1)</f>
        <v>-</v>
      </c>
      <c r="G35" s="12"/>
      <c r="H35" s="8" t="str">
        <f t="shared" ref="H35:H40" si="5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4"/>
        <v>-</v>
      </c>
      <c r="G36" s="12"/>
      <c r="H36" s="8" t="str">
        <f t="shared" si="5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4"/>
        <v>-</v>
      </c>
      <c r="G37" s="12"/>
      <c r="H37" s="8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4"/>
        <v>-</v>
      </c>
      <c r="G39" s="12"/>
      <c r="H39" s="8" t="str">
        <f t="shared" si="5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4"/>
        <v>-</v>
      </c>
      <c r="G40" s="12"/>
      <c r="H40" s="8" t="str">
        <f t="shared" si="5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1.65</v>
      </c>
      <c r="G45" s="1222"/>
      <c r="H45" s="8">
        <f>IF(A45&lt;&gt;0,ROUND(D45/F45,2),$J$1)</f>
        <v>261876.27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261876.27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261876.27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1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0:C40"/>
    <mergeCell ref="A41:H41"/>
    <mergeCell ref="A42:I42"/>
    <mergeCell ref="A43:I43"/>
    <mergeCell ref="A44:C44"/>
    <mergeCell ref="D44:E44"/>
    <mergeCell ref="F44:G44"/>
    <mergeCell ref="A39:C39"/>
    <mergeCell ref="A11:C11"/>
    <mergeCell ref="A12:C12"/>
    <mergeCell ref="A13:C13"/>
    <mergeCell ref="A24:C24"/>
    <mergeCell ref="A25:C25"/>
    <mergeCell ref="A26:C26"/>
    <mergeCell ref="A14:C14"/>
    <mergeCell ref="B34:C34"/>
    <mergeCell ref="A35:C35"/>
    <mergeCell ref="A36:C36"/>
    <mergeCell ref="A37:C37"/>
    <mergeCell ref="B38:C38"/>
    <mergeCell ref="A10:C10"/>
    <mergeCell ref="A1:C1"/>
    <mergeCell ref="H1:I1"/>
    <mergeCell ref="C5:I5"/>
    <mergeCell ref="A8:C8"/>
    <mergeCell ref="A9:C9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7:C29 A23:A29 B23:C23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5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7">
    <tabColor rgb="FFFFFFCC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3">
        <v>2.8000000000000001E-2</v>
      </c>
      <c r="F8" s="21" t="e">
        <f t="shared" ref="F8:F14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365</v>
      </c>
      <c r="B9" s="1216"/>
      <c r="C9" s="1217"/>
      <c r="D9" s="851" t="e">
        <f t="shared" si="0"/>
        <v>#REF!</v>
      </c>
      <c r="E9" s="12">
        <v>0.63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330</v>
      </c>
      <c r="B10" s="1216"/>
      <c r="C10" s="1217"/>
      <c r="D10" s="851" t="e">
        <f t="shared" si="0"/>
        <v>#REF!</v>
      </c>
      <c r="E10" s="12">
        <v>0.06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311" t="s">
        <v>145</v>
      </c>
      <c r="B11" s="1216"/>
      <c r="C11" s="1217"/>
      <c r="D11" s="851" t="e">
        <f t="shared" si="0"/>
        <v>#REF!</v>
      </c>
      <c r="E11" s="12">
        <v>0.03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242</v>
      </c>
      <c r="B12" s="1216"/>
      <c r="C12" s="1217"/>
      <c r="D12" s="851" t="e">
        <f t="shared" si="0"/>
        <v>#REF!</v>
      </c>
      <c r="E12" s="12">
        <v>0.09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321" t="s">
        <v>282</v>
      </c>
      <c r="B13" s="1322"/>
      <c r="C13" s="1323"/>
      <c r="D13" s="475" t="e">
        <f t="shared" si="0"/>
        <v>#REF!</v>
      </c>
      <c r="E13" s="465">
        <v>2.5</v>
      </c>
      <c r="F13" s="476" t="e">
        <f t="shared" si="1"/>
        <v>#REF!</v>
      </c>
      <c r="G13" s="477"/>
      <c r="H13" s="478" t="e">
        <f t="shared" si="2"/>
        <v>#REF!</v>
      </c>
      <c r="I13" s="69"/>
    </row>
    <row r="14" spans="1:10" x14ac:dyDescent="0.2">
      <c r="A14" s="1215" t="s">
        <v>289</v>
      </c>
      <c r="B14" s="1216"/>
      <c r="C14" s="1217"/>
      <c r="D14" s="851" t="e">
        <f t="shared" si="0"/>
        <v>#REF!</v>
      </c>
      <c r="E14" s="13">
        <v>1.2999999999999999E-2</v>
      </c>
      <c r="F14" s="21" t="e">
        <f t="shared" si="1"/>
        <v>#REF!</v>
      </c>
      <c r="G14" s="22"/>
      <c r="H14" s="8" t="e">
        <f t="shared" si="2"/>
        <v>#REF!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2342</v>
      </c>
      <c r="E22" s="254"/>
      <c r="F22" s="235" t="s">
        <v>2219</v>
      </c>
      <c r="G22" s="881" t="s">
        <v>2220</v>
      </c>
      <c r="H22" s="257" t="s">
        <v>2343</v>
      </c>
      <c r="I22" s="72"/>
    </row>
    <row r="23" spans="1:9" x14ac:dyDescent="0.2">
      <c r="A23" s="871" t="s">
        <v>477</v>
      </c>
      <c r="B23" s="872"/>
      <c r="C23" s="873"/>
      <c r="D23" s="26">
        <v>5</v>
      </c>
      <c r="E23" s="28"/>
      <c r="F23" s="12">
        <f t="shared" ref="F23:F29" si="3">IF(A23&lt;&gt;0,VLOOKUP(A23,Equipos,6,FALSE),$J$1)</f>
        <v>3710</v>
      </c>
      <c r="G23" s="14">
        <v>0.25</v>
      </c>
      <c r="H23" s="8">
        <f t="shared" ref="H23:H29" si="4">IF(A23&lt;&gt;0,ROUND((F23/D23)*G23,2),$J$1)</f>
        <v>185.5</v>
      </c>
      <c r="I23" s="69"/>
    </row>
    <row r="24" spans="1:9" x14ac:dyDescent="0.2">
      <c r="A24" s="1215" t="s">
        <v>470</v>
      </c>
      <c r="B24" s="1216"/>
      <c r="C24" s="1217"/>
      <c r="D24" s="26">
        <v>0.3</v>
      </c>
      <c r="E24" s="28"/>
      <c r="F24" s="12">
        <f>IF(A24&lt;&gt;0,VLOOKUP(A24,Equipos,6,FALSE),$J$1)</f>
        <v>32012</v>
      </c>
      <c r="G24" s="14">
        <v>0.05</v>
      </c>
      <c r="H24" s="8">
        <f t="shared" si="4"/>
        <v>5335.33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>IF(A25&lt;&gt;0,VLOOKUP(A25,Equipos,6,FALSE),$J$1)</f>
        <v>-</v>
      </c>
      <c r="G25" s="14"/>
      <c r="H25" s="8" t="str">
        <f t="shared" si="4"/>
        <v>-</v>
      </c>
      <c r="I25" s="69"/>
    </row>
    <row r="26" spans="1:9" x14ac:dyDescent="0.2">
      <c r="A26" s="1215"/>
      <c r="B26" s="1216"/>
      <c r="C26" s="1217"/>
      <c r="D26" s="26"/>
      <c r="E26" s="28"/>
      <c r="F26" s="12" t="str">
        <f>IF(A26&lt;&gt;0,VLOOKUP(A26,Equipos,6,FALSE),$J$1)</f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5520.83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8</v>
      </c>
      <c r="G45" s="1222"/>
      <c r="H45" s="8">
        <f>IF(A45&lt;&gt;0,ROUND(D45/F45,2),$J$1)</f>
        <v>54011.98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54011.98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54011.98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/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2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4:C44"/>
    <mergeCell ref="D44:E44"/>
    <mergeCell ref="F44:G44"/>
    <mergeCell ref="A26:C26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3:I43"/>
    <mergeCell ref="A25:C25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14:C14"/>
    <mergeCell ref="A24:C24"/>
    <mergeCell ref="A4:E4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7:C29 A23:A29 B23:C23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5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8">
    <tabColor rgb="FFFFFFCC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3">
        <v>6.2E-2</v>
      </c>
      <c r="F8" s="21" t="e">
        <f t="shared" ref="F8:F14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ht="27" customHeight="1" x14ac:dyDescent="0.2">
      <c r="A9" s="1116" t="s">
        <v>278</v>
      </c>
      <c r="B9" s="1117"/>
      <c r="C9" s="1118"/>
      <c r="D9" s="851" t="e">
        <f t="shared" si="0"/>
        <v>#REF!</v>
      </c>
      <c r="E9" s="12">
        <v>0.5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330</v>
      </c>
      <c r="B10" s="1216"/>
      <c r="C10" s="1217"/>
      <c r="D10" s="851" t="e">
        <f t="shared" si="0"/>
        <v>#REF!</v>
      </c>
      <c r="E10" s="12">
        <v>0.06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311" t="s">
        <v>145</v>
      </c>
      <c r="B11" s="1216"/>
      <c r="C11" s="1217"/>
      <c r="D11" s="851" t="e">
        <f t="shared" si="0"/>
        <v>#REF!</v>
      </c>
      <c r="E11" s="12">
        <v>0.06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362</v>
      </c>
      <c r="B12" s="1216"/>
      <c r="C12" s="1217"/>
      <c r="D12" s="851" t="e">
        <f t="shared" si="0"/>
        <v>#REF!</v>
      </c>
      <c r="E12" s="12">
        <v>1.0999999999999999E-2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321"/>
      <c r="B13" s="1322"/>
      <c r="C13" s="1323"/>
      <c r="D13" s="475" t="str">
        <f t="shared" si="0"/>
        <v>-</v>
      </c>
      <c r="E13" s="465"/>
      <c r="F13" s="476" t="str">
        <f t="shared" si="1"/>
        <v>-</v>
      </c>
      <c r="G13" s="477"/>
      <c r="H13" s="478" t="str">
        <f t="shared" si="2"/>
        <v>-</v>
      </c>
      <c r="I13" s="69"/>
    </row>
    <row r="14" spans="1:10" x14ac:dyDescent="0.2">
      <c r="A14" s="1215"/>
      <c r="B14" s="1216"/>
      <c r="C14" s="1217"/>
      <c r="D14" s="851" t="str">
        <f t="shared" si="0"/>
        <v>-</v>
      </c>
      <c r="E14" s="13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2342</v>
      </c>
      <c r="E22" s="254"/>
      <c r="F22" s="235" t="s">
        <v>2219</v>
      </c>
      <c r="G22" s="881" t="s">
        <v>2220</v>
      </c>
      <c r="H22" s="257" t="s">
        <v>2343</v>
      </c>
      <c r="I22" s="72"/>
    </row>
    <row r="23" spans="1:9" x14ac:dyDescent="0.2">
      <c r="A23" s="871" t="s">
        <v>477</v>
      </c>
      <c r="B23" s="872"/>
      <c r="C23" s="873"/>
      <c r="D23" s="26">
        <v>5</v>
      </c>
      <c r="E23" s="28"/>
      <c r="F23" s="12">
        <f t="shared" ref="F23:F29" si="3">IF(A23&lt;&gt;0,VLOOKUP(A23,Equipos,6,FALSE),$J$1)</f>
        <v>3710</v>
      </c>
      <c r="G23" s="14">
        <v>0.25</v>
      </c>
      <c r="H23" s="8">
        <f t="shared" ref="H23:H29" si="4">IF(A23&lt;&gt;0,ROUND((F23/D23)*G23,2),$J$1)</f>
        <v>185.5</v>
      </c>
      <c r="I23" s="69"/>
    </row>
    <row r="24" spans="1:9" x14ac:dyDescent="0.2">
      <c r="A24" s="1215" t="s">
        <v>470</v>
      </c>
      <c r="B24" s="1216"/>
      <c r="C24" s="1217"/>
      <c r="D24" s="26">
        <v>0.3</v>
      </c>
      <c r="E24" s="28"/>
      <c r="F24" s="12">
        <f>IF(A24&lt;&gt;0,VLOOKUP(A24,Equipos,6,FALSE),$J$1)</f>
        <v>32012</v>
      </c>
      <c r="G24" s="14">
        <v>0.05</v>
      </c>
      <c r="H24" s="8">
        <f t="shared" si="4"/>
        <v>5335.33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>IF(A25&lt;&gt;0,VLOOKUP(A25,Equipos,6,FALSE),$J$1)</f>
        <v>-</v>
      </c>
      <c r="G25" s="14"/>
      <c r="H25" s="8" t="str">
        <f t="shared" si="4"/>
        <v>-</v>
      </c>
      <c r="I25" s="69"/>
    </row>
    <row r="26" spans="1:9" x14ac:dyDescent="0.2">
      <c r="A26" s="1215"/>
      <c r="B26" s="1216"/>
      <c r="C26" s="1217"/>
      <c r="D26" s="26"/>
      <c r="E26" s="28"/>
      <c r="F26" s="12" t="str">
        <f>IF(A26&lt;&gt;0,VLOOKUP(A26,Equipos,6,FALSE),$J$1)</f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5520.83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8</v>
      </c>
      <c r="G45" s="1222"/>
      <c r="H45" s="8">
        <f>IF(A45&lt;&gt;0,ROUND(D45/F45,2),$J$1)</f>
        <v>54011.98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54011.98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54011.98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1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4:C44"/>
    <mergeCell ref="D44:E44"/>
    <mergeCell ref="F44:G44"/>
    <mergeCell ref="A26:C26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3:I43"/>
    <mergeCell ref="A25:C25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14:C14"/>
    <mergeCell ref="A24:C24"/>
  </mergeCells>
  <dataValidations disablePrompts="1" count="5">
    <dataValidation type="list" allowBlank="1" showInputMessage="1" showErrorMessage="1" sqref="A9:A18 B15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7:C29 A23:A29 B23:C23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2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3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16" t="s">
        <v>122</v>
      </c>
      <c r="B8" s="1117"/>
      <c r="C8" s="1118"/>
      <c r="D8" s="844" t="e">
        <f t="shared" ref="D8:D18" si="0">IF(A8&lt;&gt;0,VLOOKUP(A8,Materiales,2,FALSE),$J$1)</f>
        <v>#REF!</v>
      </c>
      <c r="E8" s="13">
        <v>1.5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145</v>
      </c>
      <c r="B9" s="1284"/>
      <c r="C9" s="1284"/>
      <c r="D9" s="844" t="e">
        <f t="shared" si="0"/>
        <v>#REF!</v>
      </c>
      <c r="E9" s="13">
        <v>0.03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229</v>
      </c>
      <c r="B10" s="1081"/>
      <c r="C10" s="1081"/>
      <c r="D10" s="844" t="e">
        <f t="shared" si="0"/>
        <v>#REF!</v>
      </c>
      <c r="E10" s="13">
        <v>0.02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362</v>
      </c>
      <c r="B11" s="1081"/>
      <c r="C11" s="1081"/>
      <c r="D11" s="844" t="e">
        <f t="shared" si="0"/>
        <v>#REF!</v>
      </c>
      <c r="E11" s="13">
        <v>0.1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446</v>
      </c>
      <c r="B12" s="1081"/>
      <c r="C12" s="1081"/>
      <c r="D12" s="844" t="e">
        <f t="shared" si="0"/>
        <v>#REF!</v>
      </c>
      <c r="E12" s="12">
        <v>0.2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330</v>
      </c>
      <c r="B13" s="1081"/>
      <c r="C13" s="1081"/>
      <c r="D13" s="844" t="e">
        <f t="shared" si="0"/>
        <v>#REF!</v>
      </c>
      <c r="E13" s="12">
        <v>0.32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</v>
      </c>
      <c r="I23" s="69"/>
    </row>
    <row r="24" spans="1:9" x14ac:dyDescent="0.2">
      <c r="A24" s="1080" t="s">
        <v>497</v>
      </c>
      <c r="B24" s="1081"/>
      <c r="C24" s="1081"/>
      <c r="D24" s="33">
        <v>14</v>
      </c>
      <c r="E24" s="33"/>
      <c r="F24" s="12">
        <f t="shared" si="3"/>
        <v>42400</v>
      </c>
      <c r="G24" s="14">
        <v>0.2</v>
      </c>
      <c r="H24" s="7">
        <f t="shared" si="4"/>
        <v>605.71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976.71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53</v>
      </c>
      <c r="B45" s="1081"/>
      <c r="C45" s="1081"/>
      <c r="D45" s="1082">
        <f>IF(A45&lt;&gt;0,VLOOKUP(A45,Cuadrillas,7,FALSE),$J$1)</f>
        <v>228403.46</v>
      </c>
      <c r="E45" s="1082"/>
      <c r="F45" s="1083">
        <v>20</v>
      </c>
      <c r="G45" s="1083"/>
      <c r="H45" s="7">
        <f>IF(A45&lt;&gt;0,ROUND(D45/F45,2),$J$1)</f>
        <v>11420.17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11420.17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11420.17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3">
    <tabColor indexed="26"/>
    <pageSetUpPr fitToPage="1"/>
  </sheetPr>
  <dimension ref="A1:J57"/>
  <sheetViews>
    <sheetView workbookViewId="0">
      <selection activeCell="E10" sqref="E10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16" t="s">
        <v>230</v>
      </c>
      <c r="B8" s="1117"/>
      <c r="C8" s="1118"/>
      <c r="D8" s="844" t="e">
        <f t="shared" ref="D8:D18" si="0">IF(A8&lt;&gt;0,VLOOKUP(A8,Materiales,2,FALSE),$J$1)</f>
        <v>#REF!</v>
      </c>
      <c r="E8" s="13">
        <v>0.06</v>
      </c>
      <c r="F8" s="58" t="e">
        <f t="shared" ref="F8:F18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124</v>
      </c>
      <c r="B9" s="1284"/>
      <c r="C9" s="1284"/>
      <c r="D9" s="844" t="e">
        <f t="shared" si="0"/>
        <v>#REF!</v>
      </c>
      <c r="E9" s="13">
        <v>6.3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145</v>
      </c>
      <c r="B10" s="1081"/>
      <c r="C10" s="1081"/>
      <c r="D10" s="844" t="e">
        <f t="shared" si="0"/>
        <v>#REF!</v>
      </c>
      <c r="E10" s="13">
        <v>0.6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364</v>
      </c>
      <c r="B11" s="1081"/>
      <c r="C11" s="1081"/>
      <c r="D11" s="844" t="e">
        <f t="shared" si="0"/>
        <v>#REF!</v>
      </c>
      <c r="E11" s="13">
        <v>1.5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330</v>
      </c>
      <c r="B12" s="1081"/>
      <c r="C12" s="1081"/>
      <c r="D12" s="844" t="e">
        <f t="shared" si="0"/>
        <v>#REF!</v>
      </c>
      <c r="E12" s="12">
        <v>0.8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15"/>
      <c r="B13" s="1216"/>
      <c r="C13" s="1217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3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3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213"/>
      <c r="B17" s="1214"/>
      <c r="C17" s="1214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324"/>
      <c r="B18" s="1325"/>
      <c r="C18" s="1325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</v>
      </c>
      <c r="I23" s="69"/>
    </row>
    <row r="24" spans="1:9" x14ac:dyDescent="0.2">
      <c r="A24" s="1080" t="s">
        <v>497</v>
      </c>
      <c r="B24" s="1081"/>
      <c r="C24" s="1081"/>
      <c r="D24" s="33">
        <v>14</v>
      </c>
      <c r="E24" s="33"/>
      <c r="F24" s="12">
        <f t="shared" si="3"/>
        <v>42400</v>
      </c>
      <c r="G24" s="14">
        <v>1</v>
      </c>
      <c r="H24" s="7">
        <f t="shared" si="4"/>
        <v>3028.57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3399.57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53</v>
      </c>
      <c r="B45" s="1081"/>
      <c r="C45" s="1081"/>
      <c r="D45" s="1082">
        <f>IF(A45&lt;&gt;0,VLOOKUP(A45,Cuadrillas,7,FALSE),$J$1)</f>
        <v>228403.46</v>
      </c>
      <c r="E45" s="1082"/>
      <c r="F45" s="1083">
        <v>20</v>
      </c>
      <c r="G45" s="1083"/>
      <c r="H45" s="7">
        <f>IF(A45&lt;&gt;0,ROUND(D45/F45,2),$J$1)</f>
        <v>11420.17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11420.17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11420.17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activeCell="E10" sqref="E10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9">
    <tabColor indexed="26"/>
    <pageSetUpPr fitToPage="1"/>
  </sheetPr>
  <dimension ref="A1:J57"/>
  <sheetViews>
    <sheetView workbookViewId="0">
      <selection activeCell="A2" sqref="A2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456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16" t="s">
        <v>230</v>
      </c>
      <c r="B8" s="1117"/>
      <c r="C8" s="1118"/>
      <c r="D8" s="844" t="e">
        <f t="shared" ref="D8:D18" si="0">IF(A8&lt;&gt;0,VLOOKUP(A8,Materiales,2,FALSE),$J$1)</f>
        <v>#REF!</v>
      </c>
      <c r="E8" s="13">
        <v>0.06</v>
      </c>
      <c r="F8" s="58" t="e">
        <f t="shared" ref="F8:F18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124</v>
      </c>
      <c r="B9" s="1284"/>
      <c r="C9" s="1284"/>
      <c r="D9" s="844" t="e">
        <f t="shared" si="0"/>
        <v>#REF!</v>
      </c>
      <c r="E9" s="13">
        <v>6.3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145</v>
      </c>
      <c r="B10" s="1081"/>
      <c r="C10" s="1081"/>
      <c r="D10" s="844" t="e">
        <f t="shared" si="0"/>
        <v>#REF!</v>
      </c>
      <c r="E10" s="13">
        <v>0.6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364</v>
      </c>
      <c r="B11" s="1081"/>
      <c r="C11" s="1081"/>
      <c r="D11" s="844" t="e">
        <f t="shared" si="0"/>
        <v>#REF!</v>
      </c>
      <c r="E11" s="13">
        <v>1.5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330</v>
      </c>
      <c r="B12" s="1081"/>
      <c r="C12" s="1081"/>
      <c r="D12" s="844" t="e">
        <f t="shared" si="0"/>
        <v>#REF!</v>
      </c>
      <c r="E12" s="12">
        <v>0.8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15" t="s">
        <v>260</v>
      </c>
      <c r="B13" s="1216"/>
      <c r="C13" s="1217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3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3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213"/>
      <c r="B17" s="1214"/>
      <c r="C17" s="1214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324"/>
      <c r="B18" s="1325"/>
      <c r="C18" s="1325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</v>
      </c>
      <c r="I23" s="69"/>
    </row>
    <row r="24" spans="1:9" x14ac:dyDescent="0.2">
      <c r="A24" s="1080" t="s">
        <v>470</v>
      </c>
      <c r="B24" s="1081"/>
      <c r="C24" s="1081"/>
      <c r="D24" s="33">
        <v>15</v>
      </c>
      <c r="E24" s="33"/>
      <c r="F24" s="12">
        <f t="shared" si="3"/>
        <v>32012</v>
      </c>
      <c r="G24" s="14">
        <v>1</v>
      </c>
      <c r="H24" s="7">
        <f t="shared" si="4"/>
        <v>2134.13</v>
      </c>
      <c r="I24" s="69"/>
    </row>
    <row r="25" spans="1:9" x14ac:dyDescent="0.2">
      <c r="A25" s="1080" t="s">
        <v>496</v>
      </c>
      <c r="B25" s="1081"/>
      <c r="C25" s="1081"/>
      <c r="D25" s="33">
        <v>14</v>
      </c>
      <c r="E25" s="33"/>
      <c r="F25" s="12">
        <f t="shared" si="3"/>
        <v>63600</v>
      </c>
      <c r="G25" s="14">
        <v>0.25</v>
      </c>
      <c r="H25" s="7">
        <f t="shared" si="4"/>
        <v>1135.71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3640.84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53</v>
      </c>
      <c r="B45" s="1081"/>
      <c r="C45" s="1081"/>
      <c r="D45" s="1082">
        <f>IF(A45&lt;&gt;0,VLOOKUP(A45,Cuadrillas,7,FALSE),$J$1)</f>
        <v>228403.46</v>
      </c>
      <c r="E45" s="1082"/>
      <c r="F45" s="1083">
        <v>7.5</v>
      </c>
      <c r="G45" s="1083"/>
      <c r="H45" s="7">
        <f>IF(A45&lt;&gt;0,ROUND(D45/F45,2),$J$1)</f>
        <v>30453.79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30453.79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30453.79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activeCell="A2" sqref="A2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  <mergeCell ref="A4:E4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indexed="10"/>
    <pageSetUpPr fitToPage="1"/>
  </sheetPr>
  <dimension ref="A1:J61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07" t="str">
        <f>'Datos entrada'!B2</f>
        <v>Análisis de Precios Unitarios</v>
      </c>
      <c r="B3" s="1208"/>
      <c r="C3" s="1208"/>
      <c r="D3" s="1208"/>
      <c r="E3" s="1208"/>
      <c r="F3" s="1208"/>
      <c r="G3" s="1208"/>
      <c r="H3" s="1208"/>
      <c r="I3" s="1209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18" t="s">
        <v>2213</v>
      </c>
      <c r="B5" s="219"/>
      <c r="C5" s="220"/>
      <c r="D5" s="221"/>
      <c r="E5" s="221"/>
      <c r="F5" s="221"/>
      <c r="G5" s="221"/>
      <c r="H5" s="221"/>
      <c r="I5" s="222"/>
    </row>
    <row r="6" spans="1:10" x14ac:dyDescent="0.2">
      <c r="A6" s="855" t="s">
        <v>553</v>
      </c>
      <c r="B6" s="211"/>
      <c r="C6" s="212"/>
      <c r="D6" s="213"/>
      <c r="E6" s="213"/>
      <c r="F6" s="213"/>
      <c r="G6" s="214"/>
      <c r="H6" s="215" t="s">
        <v>2214</v>
      </c>
      <c r="I6" s="216"/>
    </row>
    <row r="7" spans="1:10" s="11" customFormat="1" ht="24.75" customHeigh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213"/>
      <c r="B8" s="1214"/>
      <c r="C8" s="1214"/>
      <c r="D8" s="844">
        <f>IF(A8&lt;&gt;0,VLOOKUP(A8,Materiales,2,FALSE),$J$1)</f>
        <v>0</v>
      </c>
      <c r="E8" s="12"/>
      <c r="F8" s="58">
        <f t="shared" ref="F8:F21" si="0">IF(A8&lt;&gt;0,VLOOKUP(A8,Materiales,6,FALSE),$J$1)</f>
        <v>0</v>
      </c>
      <c r="G8" s="58"/>
      <c r="H8" s="7">
        <f t="shared" ref="H8:H22" si="1">IF(A8&lt;&gt;0,ROUND(E8*F8,2),$J$1)</f>
        <v>0</v>
      </c>
      <c r="I8" s="69"/>
    </row>
    <row r="9" spans="1:10" ht="12.75" customHeight="1" x14ac:dyDescent="0.2">
      <c r="A9" s="1218"/>
      <c r="B9" s="1219"/>
      <c r="C9" s="1219"/>
      <c r="D9" s="844">
        <f>IF(A9&lt;&gt;0,VLOOKUP(A9,Materiales,2,FALSE),$J$1)</f>
        <v>0</v>
      </c>
      <c r="E9" s="217"/>
      <c r="F9" s="58">
        <f t="shared" si="0"/>
        <v>0</v>
      </c>
      <c r="G9" s="58"/>
      <c r="H9" s="7">
        <f t="shared" si="1"/>
        <v>0</v>
      </c>
      <c r="I9" s="69"/>
    </row>
    <row r="10" spans="1:10" x14ac:dyDescent="0.2">
      <c r="A10" s="1213"/>
      <c r="B10" s="1214"/>
      <c r="C10" s="1214"/>
      <c r="D10" s="844"/>
      <c r="E10" s="12"/>
      <c r="F10" s="58">
        <f t="shared" si="0"/>
        <v>0</v>
      </c>
      <c r="G10" s="58"/>
      <c r="H10" s="7">
        <f t="shared" si="1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>
        <f t="shared" si="0"/>
        <v>0</v>
      </c>
      <c r="G11" s="58"/>
      <c r="H11" s="7">
        <f t="shared" si="1"/>
        <v>0</v>
      </c>
      <c r="I11" s="69"/>
    </row>
    <row r="12" spans="1:10" x14ac:dyDescent="0.2">
      <c r="A12" s="1210"/>
      <c r="B12" s="1211"/>
      <c r="C12" s="1212"/>
      <c r="D12" s="844"/>
      <c r="E12" s="12"/>
      <c r="F12" s="58">
        <f t="shared" si="0"/>
        <v>0</v>
      </c>
      <c r="G12" s="58"/>
      <c r="H12" s="7">
        <f t="shared" si="1"/>
        <v>0</v>
      </c>
      <c r="I12" s="69"/>
    </row>
    <row r="13" spans="1:10" x14ac:dyDescent="0.2">
      <c r="A13" s="1213"/>
      <c r="B13" s="1214"/>
      <c r="C13" s="1214"/>
      <c r="D13" s="844"/>
      <c r="E13" s="12"/>
      <c r="F13" s="58">
        <f t="shared" si="0"/>
        <v>0</v>
      </c>
      <c r="G13" s="58"/>
      <c r="H13" s="7">
        <f t="shared" si="1"/>
        <v>0</v>
      </c>
      <c r="I13" s="69"/>
    </row>
    <row r="14" spans="1:10" x14ac:dyDescent="0.2">
      <c r="A14" s="1213"/>
      <c r="B14" s="1214"/>
      <c r="C14" s="1214"/>
      <c r="D14" s="844"/>
      <c r="E14" s="12"/>
      <c r="F14" s="58">
        <f t="shared" si="0"/>
        <v>0</v>
      </c>
      <c r="G14" s="58"/>
      <c r="H14" s="7">
        <f t="shared" si="1"/>
        <v>0</v>
      </c>
      <c r="I14" s="69"/>
    </row>
    <row r="15" spans="1:10" x14ac:dyDescent="0.2">
      <c r="A15" s="1213"/>
      <c r="B15" s="1214"/>
      <c r="C15" s="1214"/>
      <c r="D15" s="844"/>
      <c r="E15" s="12"/>
      <c r="F15" s="58">
        <f t="shared" si="0"/>
        <v>0</v>
      </c>
      <c r="G15" s="58"/>
      <c r="H15" s="7">
        <f t="shared" si="1"/>
        <v>0</v>
      </c>
      <c r="I15" s="69"/>
    </row>
    <row r="16" spans="1:10" x14ac:dyDescent="0.2">
      <c r="A16" s="1213"/>
      <c r="B16" s="1214"/>
      <c r="C16" s="1214"/>
      <c r="D16" s="844"/>
      <c r="E16" s="12"/>
      <c r="F16" s="58">
        <f t="shared" si="0"/>
        <v>0</v>
      </c>
      <c r="G16" s="58"/>
      <c r="H16" s="7">
        <f t="shared" si="1"/>
        <v>0</v>
      </c>
      <c r="I16" s="69"/>
    </row>
    <row r="17" spans="1:9" x14ac:dyDescent="0.2">
      <c r="A17" s="1213"/>
      <c r="B17" s="1214"/>
      <c r="C17" s="1214"/>
      <c r="D17" s="844"/>
      <c r="E17" s="12"/>
      <c r="F17" s="58">
        <f t="shared" si="0"/>
        <v>0</v>
      </c>
      <c r="G17" s="58"/>
      <c r="H17" s="7">
        <f t="shared" si="1"/>
        <v>0</v>
      </c>
      <c r="I17" s="69"/>
    </row>
    <row r="18" spans="1:9" x14ac:dyDescent="0.2">
      <c r="A18" s="1213"/>
      <c r="B18" s="1214"/>
      <c r="C18" s="1214"/>
      <c r="D18" s="844"/>
      <c r="E18" s="12"/>
      <c r="F18" s="58">
        <f t="shared" si="0"/>
        <v>0</v>
      </c>
      <c r="G18" s="58"/>
      <c r="H18" s="7">
        <f t="shared" si="1"/>
        <v>0</v>
      </c>
      <c r="I18" s="69"/>
    </row>
    <row r="19" spans="1:9" x14ac:dyDescent="0.2">
      <c r="A19" s="1210"/>
      <c r="B19" s="1211"/>
      <c r="C19" s="1212"/>
      <c r="D19" s="844"/>
      <c r="E19" s="12"/>
      <c r="F19" s="58">
        <f t="shared" si="0"/>
        <v>0</v>
      </c>
      <c r="G19" s="58"/>
      <c r="H19" s="7">
        <f t="shared" si="1"/>
        <v>0</v>
      </c>
      <c r="I19" s="69"/>
    </row>
    <row r="20" spans="1:9" x14ac:dyDescent="0.2">
      <c r="A20" s="1213"/>
      <c r="B20" s="1214"/>
      <c r="C20" s="1214"/>
      <c r="D20" s="844"/>
      <c r="E20" s="12"/>
      <c r="F20" s="58">
        <f t="shared" si="0"/>
        <v>0</v>
      </c>
      <c r="G20" s="58"/>
      <c r="H20" s="7">
        <f t="shared" si="1"/>
        <v>0</v>
      </c>
      <c r="I20" s="69"/>
    </row>
    <row r="21" spans="1:9" x14ac:dyDescent="0.2">
      <c r="A21" s="1215"/>
      <c r="B21" s="1216"/>
      <c r="C21" s="1217"/>
      <c r="D21" s="844"/>
      <c r="E21" s="12"/>
      <c r="F21" s="58">
        <f t="shared" si="0"/>
        <v>0</v>
      </c>
      <c r="G21" s="58"/>
      <c r="H21" s="7">
        <f t="shared" si="1"/>
        <v>0</v>
      </c>
      <c r="I21" s="69"/>
    </row>
    <row r="22" spans="1:9" x14ac:dyDescent="0.2">
      <c r="A22" s="1080"/>
      <c r="B22" s="1081"/>
      <c r="C22" s="1081"/>
      <c r="D22" s="844"/>
      <c r="E22" s="12"/>
      <c r="F22" s="58"/>
      <c r="G22" s="58"/>
      <c r="H22" s="7">
        <f t="shared" si="1"/>
        <v>0</v>
      </c>
      <c r="I22" s="73"/>
    </row>
    <row r="23" spans="1:9" x14ac:dyDescent="0.2">
      <c r="A23" s="880" t="s">
        <v>2217</v>
      </c>
      <c r="B23" s="849"/>
      <c r="C23" s="849"/>
      <c r="D23" s="3"/>
      <c r="E23" s="872"/>
      <c r="F23" s="872"/>
      <c r="G23" s="872"/>
      <c r="H23" s="873"/>
      <c r="I23" s="241">
        <f>SUM(H8:H22)</f>
        <v>0</v>
      </c>
    </row>
    <row r="24" spans="1:9" x14ac:dyDescent="0.2">
      <c r="A24" s="76"/>
      <c r="B24" s="27"/>
      <c r="C24" s="27"/>
      <c r="D24" s="27"/>
      <c r="E24" s="27"/>
      <c r="F24" s="27"/>
      <c r="G24" s="27"/>
      <c r="H24" s="27"/>
      <c r="I24" s="64"/>
    </row>
    <row r="25" spans="1:9" x14ac:dyDescent="0.2">
      <c r="A25" s="875" t="s">
        <v>454</v>
      </c>
      <c r="B25" s="902"/>
      <c r="C25" s="902"/>
      <c r="D25" s="902"/>
      <c r="E25" s="902"/>
      <c r="F25" s="902"/>
      <c r="G25" s="902"/>
      <c r="H25" s="902"/>
      <c r="I25" s="226"/>
    </row>
    <row r="26" spans="1:9" s="9" customFormat="1" ht="25.5" x14ac:dyDescent="0.2">
      <c r="A26" s="227" t="s">
        <v>26</v>
      </c>
      <c r="B26" s="225"/>
      <c r="C26" s="225"/>
      <c r="D26" s="225" t="s">
        <v>2294</v>
      </c>
      <c r="E26" s="225"/>
      <c r="F26" s="881" t="s">
        <v>2295</v>
      </c>
      <c r="G26" s="858" t="s">
        <v>2220</v>
      </c>
      <c r="H26" s="858" t="s">
        <v>2216</v>
      </c>
      <c r="I26" s="72"/>
    </row>
    <row r="27" spans="1:9" x14ac:dyDescent="0.2">
      <c r="A27" s="1080"/>
      <c r="B27" s="1081"/>
      <c r="C27" s="1081"/>
      <c r="D27" s="33"/>
      <c r="E27" s="33"/>
      <c r="F27" s="12">
        <f>IF(A27&lt;&gt;0,VLOOKUP(A27,Equipos,6,FALSE),$J$1)</f>
        <v>0</v>
      </c>
      <c r="G27" s="14"/>
      <c r="H27" s="7">
        <f t="shared" ref="H27:H33" si="2">IF(A27&lt;&gt;0,ROUND((F27/D27)*G27,2),$J$1)</f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2"/>
        <v>0</v>
      </c>
      <c r="I28" s="69"/>
    </row>
    <row r="29" spans="1:9" x14ac:dyDescent="0.2">
      <c r="A29" s="1080"/>
      <c r="B29" s="1081"/>
      <c r="C29" s="1081"/>
      <c r="D29" s="33"/>
      <c r="E29" s="33"/>
      <c r="F29" s="12"/>
      <c r="G29" s="14"/>
      <c r="H29" s="7">
        <f t="shared" si="2"/>
        <v>0</v>
      </c>
      <c r="I29" s="69"/>
    </row>
    <row r="30" spans="1:9" x14ac:dyDescent="0.2">
      <c r="A30" s="1080"/>
      <c r="B30" s="1081"/>
      <c r="C30" s="1081"/>
      <c r="D30" s="33"/>
      <c r="E30" s="33"/>
      <c r="F30" s="12"/>
      <c r="G30" s="14"/>
      <c r="H30" s="7">
        <f t="shared" si="2"/>
        <v>0</v>
      </c>
      <c r="I30" s="69"/>
    </row>
    <row r="31" spans="1:9" x14ac:dyDescent="0.2">
      <c r="A31" s="1080"/>
      <c r="B31" s="1081"/>
      <c r="C31" s="1081"/>
      <c r="D31" s="33"/>
      <c r="E31" s="33"/>
      <c r="F31" s="12"/>
      <c r="G31" s="14"/>
      <c r="H31" s="7">
        <f t="shared" si="2"/>
        <v>0</v>
      </c>
      <c r="I31" s="69"/>
    </row>
    <row r="32" spans="1:9" x14ac:dyDescent="0.2">
      <c r="A32" s="1080"/>
      <c r="B32" s="1081"/>
      <c r="C32" s="1081"/>
      <c r="D32" s="33"/>
      <c r="E32" s="33"/>
      <c r="F32" s="12"/>
      <c r="G32" s="14"/>
      <c r="H32" s="7">
        <f t="shared" si="2"/>
        <v>0</v>
      </c>
      <c r="I32" s="69"/>
    </row>
    <row r="33" spans="1:9" x14ac:dyDescent="0.2">
      <c r="A33" s="1080"/>
      <c r="B33" s="1081"/>
      <c r="C33" s="1081"/>
      <c r="D33" s="33"/>
      <c r="E33" s="33"/>
      <c r="F33" s="12"/>
      <c r="G33" s="14"/>
      <c r="H33" s="7">
        <f t="shared" si="2"/>
        <v>0</v>
      </c>
      <c r="I33" s="73"/>
    </row>
    <row r="34" spans="1:9" x14ac:dyDescent="0.2">
      <c r="A34" s="853" t="s">
        <v>2221</v>
      </c>
      <c r="B34" s="854"/>
      <c r="C34" s="854"/>
      <c r="D34" s="3"/>
      <c r="E34" s="872"/>
      <c r="F34" s="872"/>
      <c r="G34" s="872"/>
      <c r="H34" s="873"/>
      <c r="I34" s="241">
        <f>SUM(H27:H33)</f>
        <v>0</v>
      </c>
    </row>
    <row r="35" spans="1:9" x14ac:dyDescent="0.2">
      <c r="A35" s="76"/>
      <c r="B35" s="27"/>
      <c r="C35" s="27"/>
      <c r="D35" s="27"/>
      <c r="E35" s="27"/>
      <c r="F35" s="27"/>
      <c r="G35" s="27"/>
      <c r="H35" s="27"/>
      <c r="I35" s="64"/>
    </row>
    <row r="36" spans="1:9" x14ac:dyDescent="0.2">
      <c r="A36" s="855" t="s">
        <v>2222</v>
      </c>
      <c r="B36" s="856"/>
      <c r="C36" s="228"/>
      <c r="D36" s="876"/>
      <c r="E36" s="876"/>
      <c r="F36" s="876"/>
      <c r="G36" s="876"/>
      <c r="H36" s="876"/>
      <c r="I36" s="877"/>
    </row>
    <row r="37" spans="1:9" s="9" customFormat="1" ht="25.5" x14ac:dyDescent="0.2">
      <c r="A37" s="233" t="s">
        <v>26</v>
      </c>
      <c r="B37" s="234"/>
      <c r="C37" s="234"/>
      <c r="D37" s="235" t="s">
        <v>2223</v>
      </c>
      <c r="E37" s="235"/>
      <c r="F37" s="881" t="s">
        <v>2224</v>
      </c>
      <c r="G37" s="881" t="s">
        <v>2225</v>
      </c>
      <c r="H37" s="881" t="s">
        <v>2216</v>
      </c>
      <c r="I37" s="72"/>
    </row>
    <row r="38" spans="1:9" x14ac:dyDescent="0.2">
      <c r="A38" s="890"/>
      <c r="B38" s="1127" t="s">
        <v>2226</v>
      </c>
      <c r="C38" s="1128"/>
      <c r="D38" s="46"/>
      <c r="E38" s="47"/>
      <c r="F38" s="15"/>
      <c r="G38" s="12"/>
      <c r="H38" s="7"/>
      <c r="I38" s="312">
        <f>SUM(H39:H41)</f>
        <v>0</v>
      </c>
    </row>
    <row r="39" spans="1:9" x14ac:dyDescent="0.2">
      <c r="A39" s="1080"/>
      <c r="B39" s="1081"/>
      <c r="C39" s="1081"/>
      <c r="D39" s="46">
        <f>IF(A39&lt;&gt;0,VLOOKUP(A39,Transporte,8,FALSE),$J$1)</f>
        <v>0</v>
      </c>
      <c r="E39" s="47"/>
      <c r="F39" s="15">
        <f>IF(A39&lt;&gt;0,VLOOKUP(A39,Transporte,2,FALSE),$J$1)</f>
        <v>0</v>
      </c>
      <c r="G39" s="12"/>
      <c r="H39" s="7">
        <f t="shared" ref="H39:H44" si="3">IF(A39&lt;&gt;0,D39/F39*G39,$J$1)</f>
        <v>0</v>
      </c>
      <c r="I39" s="69"/>
    </row>
    <row r="40" spans="1:9" x14ac:dyDescent="0.2">
      <c r="A40" s="1080"/>
      <c r="B40" s="1081"/>
      <c r="C40" s="1081"/>
      <c r="D40" s="46">
        <f>IF(A29&lt;&gt;0,VLOOKUP(A40,Transporte,8,FALSE),$J$1)</f>
        <v>0</v>
      </c>
      <c r="E40" s="47"/>
      <c r="F40" s="15">
        <f>IF(A40&lt;&gt;0,VLOOKUP(A40,Transporte,2,FALSE),$J$1)</f>
        <v>0</v>
      </c>
      <c r="G40" s="12"/>
      <c r="H40" s="7">
        <f t="shared" si="3"/>
        <v>0</v>
      </c>
      <c r="I40" s="69"/>
    </row>
    <row r="41" spans="1:9" x14ac:dyDescent="0.2">
      <c r="A41" s="1080"/>
      <c r="B41" s="1081"/>
      <c r="C41" s="1081"/>
      <c r="D41" s="46">
        <f>IF(A30&lt;&gt;0,VLOOKUP(A41,Transporte,8,FALSE),$J$1)</f>
        <v>0</v>
      </c>
      <c r="E41" s="47"/>
      <c r="F41" s="15">
        <f>IF(A41&lt;&gt;0,VLOOKUP(A41,Transporte,2,FALSE),$J$1)</f>
        <v>0</v>
      </c>
      <c r="G41" s="12"/>
      <c r="H41" s="7">
        <f t="shared" si="3"/>
        <v>0</v>
      </c>
      <c r="I41" s="69"/>
    </row>
    <row r="42" spans="1:9" x14ac:dyDescent="0.2">
      <c r="A42" s="890"/>
      <c r="B42" s="1127" t="s">
        <v>2227</v>
      </c>
      <c r="C42" s="1128"/>
      <c r="D42" s="46"/>
      <c r="E42" s="47"/>
      <c r="F42" s="15"/>
      <c r="G42" s="12"/>
      <c r="H42" s="7"/>
      <c r="I42" s="312">
        <f>SUM(H43:H44)</f>
        <v>0</v>
      </c>
    </row>
    <row r="43" spans="1:9" x14ac:dyDescent="0.2">
      <c r="A43" s="1080"/>
      <c r="B43" s="1081"/>
      <c r="C43" s="1081"/>
      <c r="D43" s="46">
        <f>IF(A43&lt;&gt;0,VLOOKUP(A43,Transporte,8,FALSE),$J$1)</f>
        <v>0</v>
      </c>
      <c r="E43" s="47"/>
      <c r="F43" s="15">
        <f>IF(A43&lt;&gt;0,VLOOKUP(A43,Transporte,2,FALSE),$J$1)</f>
        <v>0</v>
      </c>
      <c r="G43" s="12"/>
      <c r="H43" s="7">
        <f t="shared" si="3"/>
        <v>0</v>
      </c>
      <c r="I43" s="69"/>
    </row>
    <row r="44" spans="1:9" x14ac:dyDescent="0.2">
      <c r="A44" s="1080"/>
      <c r="B44" s="1081"/>
      <c r="C44" s="1081"/>
      <c r="D44" s="46">
        <f>IF(A33&lt;&gt;0,VLOOKUP(A44,Transporte,8,FALSE),$J$1)</f>
        <v>0</v>
      </c>
      <c r="E44" s="61"/>
      <c r="F44" s="15">
        <f>IF(A44&lt;&gt;0,VLOOKUP(A44,Transporte,2,FALSE),$J$1)</f>
        <v>0</v>
      </c>
      <c r="G44" s="12"/>
      <c r="H44" s="7">
        <f t="shared" si="3"/>
        <v>0</v>
      </c>
      <c r="I44" s="73"/>
    </row>
    <row r="45" spans="1:9" x14ac:dyDescent="0.2">
      <c r="A45" s="1106" t="s">
        <v>2296</v>
      </c>
      <c r="B45" s="1203"/>
      <c r="C45" s="1203"/>
      <c r="D45" s="1203"/>
      <c r="E45" s="1203"/>
      <c r="F45" s="1203"/>
      <c r="G45" s="1203"/>
      <c r="H45" s="1203"/>
      <c r="I45" s="241">
        <f>SUM(I38:I44)</f>
        <v>0</v>
      </c>
    </row>
    <row r="46" spans="1:9" x14ac:dyDescent="0.2">
      <c r="A46" s="1086"/>
      <c r="B46" s="1087"/>
      <c r="C46" s="1087"/>
      <c r="D46" s="1087"/>
      <c r="E46" s="1087"/>
      <c r="F46" s="1087"/>
      <c r="G46" s="1087"/>
      <c r="H46" s="1087"/>
      <c r="I46" s="1088"/>
    </row>
    <row r="47" spans="1:9" x14ac:dyDescent="0.2">
      <c r="A47" s="1200" t="s">
        <v>554</v>
      </c>
      <c r="B47" s="1201"/>
      <c r="C47" s="1201"/>
      <c r="D47" s="1201"/>
      <c r="E47" s="1201"/>
      <c r="F47" s="1201"/>
      <c r="G47" s="1201"/>
      <c r="H47" s="1201"/>
      <c r="I47" s="1202"/>
    </row>
    <row r="48" spans="1:9" s="9" customFormat="1" ht="25.5" x14ac:dyDescent="0.2">
      <c r="A48" s="1198" t="s">
        <v>2229</v>
      </c>
      <c r="B48" s="1199"/>
      <c r="C48" s="1199"/>
      <c r="D48" s="1197" t="s">
        <v>2230</v>
      </c>
      <c r="E48" s="1197"/>
      <c r="F48" s="1197" t="s">
        <v>2218</v>
      </c>
      <c r="G48" s="1197"/>
      <c r="H48" s="874" t="s">
        <v>2216</v>
      </c>
      <c r="I48" s="72"/>
    </row>
    <row r="49" spans="1:9" x14ac:dyDescent="0.2">
      <c r="A49" s="1080"/>
      <c r="B49" s="1081"/>
      <c r="C49" s="1081"/>
      <c r="D49" s="1082">
        <f>IF(A49&lt;&gt;0,VLOOKUP(A49,Cuadrillas,7,FALSE),$J$1)</f>
        <v>0</v>
      </c>
      <c r="E49" s="1082"/>
      <c r="F49" s="1083"/>
      <c r="G49" s="1083"/>
      <c r="H49" s="7">
        <f>IF(A49&lt;&gt;0,ROUND(D49/F49,2),$J$1)</f>
        <v>0</v>
      </c>
      <c r="I49" s="69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080"/>
      <c r="B51" s="1081"/>
      <c r="C51" s="1081"/>
      <c r="D51" s="1082">
        <f>IF(A51&lt;&gt;0,VLOOKUP(A51,Cuadrillas,7,FALSE),$J$1)</f>
        <v>0</v>
      </c>
      <c r="E51" s="1082"/>
      <c r="F51" s="1083"/>
      <c r="G51" s="1083"/>
      <c r="H51" s="7">
        <f>IF(A51&lt;&gt;0,ROUND(D51/F51,2),$J$1)</f>
        <v>0</v>
      </c>
      <c r="I51" s="69"/>
    </row>
    <row r="52" spans="1:9" x14ac:dyDescent="0.2">
      <c r="A52" s="1080"/>
      <c r="B52" s="1081"/>
      <c r="C52" s="1081"/>
      <c r="D52" s="1082">
        <f>IF(A52&lt;&gt;0,VLOOKUP(A52,Cuadrillas,7,FALSE),$J$1)</f>
        <v>0</v>
      </c>
      <c r="E52" s="1082"/>
      <c r="F52" s="1083"/>
      <c r="G52" s="1083"/>
      <c r="H52" s="7">
        <f>IF(A52&lt;&gt;0,ROUND(D52/F52,2),$J$1)</f>
        <v>0</v>
      </c>
      <c r="I52" s="69"/>
    </row>
    <row r="53" spans="1:9" x14ac:dyDescent="0.2">
      <c r="A53" s="1080"/>
      <c r="B53" s="1081"/>
      <c r="C53" s="1081"/>
      <c r="D53" s="1082">
        <f>IF(A53&lt;&gt;0,VLOOKUP(A53,Cuadrillas,7,FALSE),$J$1)</f>
        <v>0</v>
      </c>
      <c r="E53" s="1082"/>
      <c r="F53" s="1083"/>
      <c r="G53" s="1083"/>
      <c r="H53" s="7">
        <f>IF(A53&lt;&gt;0,ROUND(D53/F53,2),$J$1)</f>
        <v>0</v>
      </c>
      <c r="I53" s="69"/>
    </row>
    <row r="54" spans="1:9" x14ac:dyDescent="0.2">
      <c r="A54" s="1106" t="s">
        <v>2231</v>
      </c>
      <c r="B54" s="1203"/>
      <c r="C54" s="1203"/>
      <c r="D54" s="1203"/>
      <c r="E54" s="1203"/>
      <c r="F54" s="1203"/>
      <c r="G54" s="1203"/>
      <c r="H54" s="1203"/>
      <c r="I54" s="242">
        <f>SUM(H49:H53)</f>
        <v>0</v>
      </c>
    </row>
    <row r="55" spans="1:9" x14ac:dyDescent="0.2">
      <c r="A55" s="1086"/>
      <c r="B55" s="1087"/>
      <c r="C55" s="1087"/>
      <c r="D55" s="1087"/>
      <c r="E55" s="1087"/>
      <c r="F55" s="1087"/>
      <c r="G55" s="1087"/>
      <c r="H55" s="1087"/>
      <c r="I55" s="1088"/>
    </row>
    <row r="56" spans="1:9" x14ac:dyDescent="0.2">
      <c r="A56" s="1089" t="s">
        <v>2232</v>
      </c>
      <c r="B56" s="1090"/>
      <c r="C56" s="1090"/>
      <c r="D56" s="1090"/>
      <c r="E56" s="1090"/>
      <c r="F56" s="1090"/>
      <c r="G56" s="1090"/>
      <c r="H56" s="1090"/>
      <c r="I56" s="237">
        <f>I23+I34+I45</f>
        <v>0</v>
      </c>
    </row>
    <row r="57" spans="1:9" ht="13.5" thickBot="1" x14ac:dyDescent="0.25">
      <c r="A57" s="1193" t="s">
        <v>2233</v>
      </c>
      <c r="B57" s="1194"/>
      <c r="C57" s="1194"/>
      <c r="D57" s="1194"/>
      <c r="E57" s="1194"/>
      <c r="F57" s="1194"/>
      <c r="G57" s="1194"/>
      <c r="H57" s="1194"/>
      <c r="I57" s="238">
        <f>I54</f>
        <v>0</v>
      </c>
    </row>
    <row r="58" spans="1:9" s="9" customFormat="1" ht="25.5" customHeight="1" thickTop="1" thickBot="1" x14ac:dyDescent="0.25">
      <c r="A58" s="1195" t="s">
        <v>2234</v>
      </c>
      <c r="B58" s="1196"/>
      <c r="C58" s="1196"/>
      <c r="D58" s="1196"/>
      <c r="E58" s="1196"/>
      <c r="F58" s="1196"/>
      <c r="G58" s="1196"/>
      <c r="H58" s="236"/>
      <c r="I58" s="239">
        <f>I56+I57</f>
        <v>0</v>
      </c>
    </row>
    <row r="59" spans="1:9" s="9" customFormat="1" ht="25.5" customHeight="1" thickTop="1" thickBot="1" x14ac:dyDescent="0.25">
      <c r="A59" s="1095" t="s">
        <v>10</v>
      </c>
      <c r="B59" s="1096"/>
      <c r="C59" s="1096"/>
      <c r="D59" s="1097">
        <f>+'Datos entrada'!B7</f>
        <v>0.3</v>
      </c>
      <c r="E59" s="1098"/>
      <c r="F59" s="1099">
        <f>I58*D59</f>
        <v>0</v>
      </c>
      <c r="G59" s="1099"/>
      <c r="H59" s="1099"/>
      <c r="I59" s="1100"/>
    </row>
    <row r="60" spans="1:9" s="9" customFormat="1" ht="25.5" customHeight="1" thickTop="1" thickBot="1" x14ac:dyDescent="0.25">
      <c r="A60" s="1095" t="s">
        <v>2236</v>
      </c>
      <c r="B60" s="1096"/>
      <c r="C60" s="1096"/>
      <c r="D60" s="1096"/>
      <c r="E60" s="1096"/>
      <c r="F60" s="1096"/>
      <c r="G60" s="1096"/>
      <c r="H60" s="1191">
        <f>I58+F59</f>
        <v>0</v>
      </c>
      <c r="I60" s="1192"/>
    </row>
    <row r="61" spans="1:9" ht="13.5" thickTop="1" x14ac:dyDescent="0.2">
      <c r="I61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4">
    <mergeCell ref="A10:C10"/>
    <mergeCell ref="A11:C11"/>
    <mergeCell ref="A13:C13"/>
    <mergeCell ref="A15:C15"/>
    <mergeCell ref="A33:C33"/>
    <mergeCell ref="A29:C29"/>
    <mergeCell ref="A30:C30"/>
    <mergeCell ref="A28:C28"/>
    <mergeCell ref="A31:C31"/>
    <mergeCell ref="A32:C32"/>
    <mergeCell ref="A2:I2"/>
    <mergeCell ref="A3:I3"/>
    <mergeCell ref="H1:I1"/>
    <mergeCell ref="A12:C12"/>
    <mergeCell ref="A27:C27"/>
    <mergeCell ref="A16:C16"/>
    <mergeCell ref="A17:C17"/>
    <mergeCell ref="A20:C20"/>
    <mergeCell ref="A22:C22"/>
    <mergeCell ref="A14:C14"/>
    <mergeCell ref="A19:C19"/>
    <mergeCell ref="A21:C21"/>
    <mergeCell ref="A18:C18"/>
    <mergeCell ref="A8:C8"/>
    <mergeCell ref="A9:C9"/>
    <mergeCell ref="A1:C1"/>
    <mergeCell ref="A55:I55"/>
    <mergeCell ref="A54:H54"/>
    <mergeCell ref="B42:C42"/>
    <mergeCell ref="A39:C39"/>
    <mergeCell ref="A40:C40"/>
    <mergeCell ref="A45:H45"/>
    <mergeCell ref="A41:C41"/>
    <mergeCell ref="A50:C50"/>
    <mergeCell ref="D50:E50"/>
    <mergeCell ref="A43:C43"/>
    <mergeCell ref="A44:C44"/>
    <mergeCell ref="B38:C38"/>
    <mergeCell ref="A46:I46"/>
    <mergeCell ref="F48:G48"/>
    <mergeCell ref="F49:G49"/>
    <mergeCell ref="F52:G52"/>
    <mergeCell ref="D49:E49"/>
    <mergeCell ref="A48:C48"/>
    <mergeCell ref="A47:I47"/>
    <mergeCell ref="F50:G50"/>
    <mergeCell ref="A49:C49"/>
    <mergeCell ref="D48:E48"/>
    <mergeCell ref="A60:G60"/>
    <mergeCell ref="H60:I60"/>
    <mergeCell ref="A51:C51"/>
    <mergeCell ref="A52:C52"/>
    <mergeCell ref="D51:E51"/>
    <mergeCell ref="F51:G51"/>
    <mergeCell ref="A53:C53"/>
    <mergeCell ref="D52:E52"/>
    <mergeCell ref="D59:E59"/>
    <mergeCell ref="F59:I59"/>
    <mergeCell ref="A57:H57"/>
    <mergeCell ref="A59:C59"/>
    <mergeCell ref="F53:G53"/>
    <mergeCell ref="D53:E53"/>
    <mergeCell ref="A58:G58"/>
    <mergeCell ref="A56:H56"/>
  </mergeCells>
  <phoneticPr fontId="0" type="noConversion"/>
  <dataValidations disablePrompts="1" count="5">
    <dataValidation type="list" allowBlank="1" showInputMessage="1" showErrorMessage="1" sqref="A9:A22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7:A33 B39:B44 C39:C41 C43:C44">
      <formula1>Descrip_equipos</formula1>
    </dataValidation>
    <dataValidation type="list" allowBlank="1" showInputMessage="1" showErrorMessage="1" sqref="A49:C53">
      <formula1>Descrip_cuadrillas</formula1>
    </dataValidation>
    <dataValidation type="list" allowBlank="1" showInputMessage="1" showErrorMessage="1" sqref="A38:A44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0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456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16" t="s">
        <v>230</v>
      </c>
      <c r="B8" s="1117"/>
      <c r="C8" s="1118"/>
      <c r="D8" s="844" t="e">
        <f t="shared" ref="D8:D18" si="0">IF(A8&lt;&gt;0,VLOOKUP(A8,Materiales,2,FALSE),$J$1)</f>
        <v>#REF!</v>
      </c>
      <c r="E8" s="13">
        <v>0.05</v>
      </c>
      <c r="F8" s="58" t="e">
        <f t="shared" ref="F8:F18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124</v>
      </c>
      <c r="B9" s="1284"/>
      <c r="C9" s="1284"/>
      <c r="D9" s="844" t="e">
        <f t="shared" si="0"/>
        <v>#REF!</v>
      </c>
      <c r="E9" s="13">
        <v>8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145</v>
      </c>
      <c r="B10" s="1081"/>
      <c r="C10" s="1081"/>
      <c r="D10" s="844" t="e">
        <f t="shared" si="0"/>
        <v>#REF!</v>
      </c>
      <c r="E10" s="13">
        <v>0.6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364</v>
      </c>
      <c r="B11" s="1081"/>
      <c r="C11" s="1081"/>
      <c r="D11" s="844" t="e">
        <f t="shared" si="0"/>
        <v>#REF!</v>
      </c>
      <c r="E11" s="13">
        <v>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330</v>
      </c>
      <c r="B12" s="1081"/>
      <c r="C12" s="1081"/>
      <c r="D12" s="844" t="e">
        <f t="shared" si="0"/>
        <v>#REF!</v>
      </c>
      <c r="E12" s="12">
        <v>0.8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15"/>
      <c r="B13" s="1216"/>
      <c r="C13" s="1217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3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3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213"/>
      <c r="B17" s="1214"/>
      <c r="C17" s="1214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324"/>
      <c r="B18" s="1325"/>
      <c r="C18" s="1325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371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53</v>
      </c>
      <c r="B45" s="1081"/>
      <c r="C45" s="1081"/>
      <c r="D45" s="1082">
        <f>IF(A45&lt;&gt;0,VLOOKUP(A45,Cuadrillas,7,FALSE),$J$1)</f>
        <v>228403.46</v>
      </c>
      <c r="E45" s="1082"/>
      <c r="F45" s="1083">
        <v>11.5</v>
      </c>
      <c r="G45" s="1083"/>
      <c r="H45" s="7">
        <f>IF(A45&lt;&gt;0,ROUND(D45/F45,2),$J$1)</f>
        <v>19861.169999999998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19861.169999999998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19861.169999999998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1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16" t="s">
        <v>122</v>
      </c>
      <c r="B8" s="1117"/>
      <c r="C8" s="1118"/>
      <c r="D8" s="844" t="e">
        <f t="shared" ref="D8:D18" si="0">IF(A8&lt;&gt;0,VLOOKUP(A8,Materiales,2,FALSE),$J$1)</f>
        <v>#REF!</v>
      </c>
      <c r="E8" s="13">
        <v>1.7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145</v>
      </c>
      <c r="B9" s="1219"/>
      <c r="C9" s="1219"/>
      <c r="D9" s="844" t="e">
        <f t="shared" si="0"/>
        <v>#REF!</v>
      </c>
      <c r="E9" s="13">
        <v>0.1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229</v>
      </c>
      <c r="B10" s="1081"/>
      <c r="C10" s="1081"/>
      <c r="D10" s="844" t="e">
        <f t="shared" si="0"/>
        <v>#REF!</v>
      </c>
      <c r="E10" s="13">
        <f>+(0.07*1*1)*1.12</f>
        <v>7.8400000000000011E-2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365</v>
      </c>
      <c r="B11" s="1081"/>
      <c r="C11" s="1081"/>
      <c r="D11" s="844" t="e">
        <f t="shared" si="0"/>
        <v>#REF!</v>
      </c>
      <c r="E11" s="13">
        <f>+(1+0.21)*1.05</f>
        <v>1.2705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446</v>
      </c>
      <c r="B12" s="1081"/>
      <c r="C12" s="1081"/>
      <c r="D12" s="844" t="e">
        <f t="shared" si="0"/>
        <v>#REF!</v>
      </c>
      <c r="E12" s="12">
        <v>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330</v>
      </c>
      <c r="B13" s="1081"/>
      <c r="C13" s="1081"/>
      <c r="D13" s="844" t="e">
        <f t="shared" si="0"/>
        <v>#REF!</v>
      </c>
      <c r="E13" s="12">
        <v>0.5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7</v>
      </c>
      <c r="E23" s="33"/>
      <c r="F23" s="12">
        <f t="shared" ref="F23:F29" si="3">IF(A23&lt;&gt;0,VLOOKUP(A23,Equipos,6,FALSE),$J$1)</f>
        <v>3710</v>
      </c>
      <c r="G23" s="14">
        <v>0.25</v>
      </c>
      <c r="H23" s="7">
        <f t="shared" ref="H23:H29" si="4">IF(A23&lt;&gt;0,ROUND((F23/D23)*G23,2),$J$1)</f>
        <v>132.5</v>
      </c>
      <c r="I23" s="69"/>
    </row>
    <row r="24" spans="1:9" x14ac:dyDescent="0.2">
      <c r="A24" s="1080" t="s">
        <v>497</v>
      </c>
      <c r="B24" s="1081"/>
      <c r="C24" s="1081"/>
      <c r="D24" s="33">
        <v>9</v>
      </c>
      <c r="E24" s="33"/>
      <c r="F24" s="12">
        <f t="shared" si="3"/>
        <v>42400</v>
      </c>
      <c r="G24" s="14">
        <v>0.15</v>
      </c>
      <c r="H24" s="7">
        <f t="shared" si="4"/>
        <v>706.67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839.17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17.5</v>
      </c>
      <c r="G45" s="1083"/>
      <c r="H45" s="7">
        <f>IF(A45&lt;&gt;0,ROUND(D45/F45,2),$J$1)</f>
        <v>18814.23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18814.23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18814.23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15" x14ac:dyDescent="0.2">
      <c r="A5" s="265" t="s">
        <v>2213</v>
      </c>
      <c r="B5" s="266" t="e">
        <f>+#REF!</f>
        <v>#REF!</v>
      </c>
      <c r="C5" s="1327" t="e">
        <f>+#REF!</f>
        <v>#REF!</v>
      </c>
      <c r="D5" s="1328"/>
      <c r="E5" s="1328"/>
      <c r="F5" s="1328"/>
      <c r="G5" s="1328"/>
      <c r="H5" s="1328"/>
      <c r="I5" s="132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420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0.04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274</v>
      </c>
      <c r="B10" s="1143"/>
      <c r="C10" s="1143"/>
      <c r="D10" s="844" t="e">
        <f t="shared" si="0"/>
        <v>#REF!</v>
      </c>
      <c r="E10" s="12">
        <v>0.02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437</v>
      </c>
      <c r="B11" s="1143"/>
      <c r="C11" s="1143"/>
      <c r="D11" s="844" t="e">
        <f t="shared" si="0"/>
        <v>#REF!</v>
      </c>
      <c r="E11" s="12">
        <v>0.2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927.5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927.5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70" t="s">
        <v>26</v>
      </c>
      <c r="B34" s="1271"/>
      <c r="C34" s="1272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2" t="s">
        <v>2226</v>
      </c>
      <c r="C35" s="1333"/>
      <c r="D35" s="364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51</v>
      </c>
      <c r="B46" s="1081"/>
      <c r="C46" s="1081"/>
      <c r="D46" s="1082">
        <f>IF(A46&lt;&gt;0,VLOOKUP(A46,Cuadrillas,7,FALSE),$J$1)</f>
        <v>418739.68</v>
      </c>
      <c r="E46" s="1082"/>
      <c r="F46" s="1083">
        <v>26</v>
      </c>
      <c r="G46" s="1083"/>
      <c r="H46" s="7">
        <f>IF(A46&lt;&gt;0,ROUND(D46/F46,2),$J$1)</f>
        <v>16105.37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16105.37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16105.37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0">
    <mergeCell ref="C5:I5"/>
    <mergeCell ref="A1:C1"/>
    <mergeCell ref="B38:C38"/>
    <mergeCell ref="A18:C18"/>
    <mergeCell ref="A19:C19"/>
    <mergeCell ref="A16:C16"/>
    <mergeCell ref="A17:C17"/>
    <mergeCell ref="A8:C8"/>
    <mergeCell ref="A9:C9"/>
    <mergeCell ref="A10:C10"/>
    <mergeCell ref="A11:C11"/>
    <mergeCell ref="A12:C12"/>
    <mergeCell ref="A13:C13"/>
    <mergeCell ref="A24:C24"/>
    <mergeCell ref="A25:C25"/>
    <mergeCell ref="B35:C35"/>
    <mergeCell ref="A34:C34"/>
    <mergeCell ref="A52:I52"/>
    <mergeCell ref="H1:I1"/>
    <mergeCell ref="A30:C30"/>
    <mergeCell ref="A54:H54"/>
    <mergeCell ref="A26:C26"/>
    <mergeCell ref="A27:C27"/>
    <mergeCell ref="D46:E46"/>
    <mergeCell ref="A45:C45"/>
    <mergeCell ref="A46:C46"/>
    <mergeCell ref="D45:E45"/>
    <mergeCell ref="A28:C28"/>
    <mergeCell ref="A29:C29"/>
    <mergeCell ref="A47:C47"/>
    <mergeCell ref="D47:E47"/>
    <mergeCell ref="A14:C14"/>
    <mergeCell ref="A15:C15"/>
    <mergeCell ref="A57:G57"/>
    <mergeCell ref="A43:I43"/>
    <mergeCell ref="F45:G45"/>
    <mergeCell ref="F46:G46"/>
    <mergeCell ref="A44:I44"/>
    <mergeCell ref="D50:E50"/>
    <mergeCell ref="H57:I57"/>
    <mergeCell ref="A48:C48"/>
    <mergeCell ref="A49:C49"/>
    <mergeCell ref="F50:G50"/>
    <mergeCell ref="F49:G49"/>
    <mergeCell ref="A55:G55"/>
    <mergeCell ref="A53:H53"/>
    <mergeCell ref="A56:C56"/>
    <mergeCell ref="D56:E56"/>
    <mergeCell ref="F56:I56"/>
    <mergeCell ref="F47:G47"/>
    <mergeCell ref="A51:H51"/>
    <mergeCell ref="D48:E48"/>
    <mergeCell ref="F48:G48"/>
    <mergeCell ref="A50:C50"/>
    <mergeCell ref="D49:E49"/>
    <mergeCell ref="A36:C36"/>
    <mergeCell ref="A37:C37"/>
    <mergeCell ref="A39:C39"/>
    <mergeCell ref="A40:C40"/>
    <mergeCell ref="A41:C41"/>
  </mergeCells>
  <phoneticPr fontId="0" type="noConversion"/>
  <dataValidations disablePrompts="1"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4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15" x14ac:dyDescent="0.2">
      <c r="A5" s="265" t="s">
        <v>2213</v>
      </c>
      <c r="B5" s="266" t="e">
        <f>+#REF!</f>
        <v>#REF!</v>
      </c>
      <c r="C5" s="1327" t="e">
        <f>+#REF!</f>
        <v>#REF!</v>
      </c>
      <c r="D5" s="1328"/>
      <c r="E5" s="1328"/>
      <c r="F5" s="1328"/>
      <c r="G5" s="1328"/>
      <c r="H5" s="1328"/>
      <c r="I5" s="132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437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0.04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274</v>
      </c>
      <c r="B10" s="1143"/>
      <c r="C10" s="1143"/>
      <c r="D10" s="844" t="e">
        <f t="shared" si="0"/>
        <v>#REF!</v>
      </c>
      <c r="E10" s="12">
        <v>0.02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4</v>
      </c>
      <c r="E24" s="33"/>
      <c r="F24" s="12">
        <f t="shared" ref="F24:F30" si="3">IF(A24&lt;&gt;0,VLOOKUP(A24,Equipos,6,FALSE),$J$1)</f>
        <v>3710</v>
      </c>
      <c r="G24" s="14">
        <v>0.1</v>
      </c>
      <c r="H24" s="7">
        <f t="shared" ref="H24:H30" si="4">IF(A24&lt;&gt;0,ROUND((F24/D24)*G24,2),$J$1)</f>
        <v>92.75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92.75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70" t="s">
        <v>26</v>
      </c>
      <c r="B34" s="1271"/>
      <c r="C34" s="1272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2" t="s">
        <v>2226</v>
      </c>
      <c r="C35" s="1333"/>
      <c r="D35" s="364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51</v>
      </c>
      <c r="B46" s="1081"/>
      <c r="C46" s="1081"/>
      <c r="D46" s="1082">
        <f>IF(A46&lt;&gt;0,VLOOKUP(A46,Cuadrillas,7,FALSE),$J$1)</f>
        <v>418739.68</v>
      </c>
      <c r="E46" s="1082"/>
      <c r="F46" s="1083">
        <v>500</v>
      </c>
      <c r="G46" s="1083"/>
      <c r="H46" s="7">
        <f>IF(A46&lt;&gt;0,ROUND(D46/F46,2),$J$1)</f>
        <v>837.48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837.48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837.48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0"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6:C46"/>
    <mergeCell ref="D46:E46"/>
    <mergeCell ref="F46:G46"/>
    <mergeCell ref="A36:C36"/>
    <mergeCell ref="A37:C37"/>
    <mergeCell ref="B38:C38"/>
    <mergeCell ref="A39:C39"/>
    <mergeCell ref="A40:C40"/>
    <mergeCell ref="A41:C41"/>
    <mergeCell ref="A43:I43"/>
    <mergeCell ref="A44:I44"/>
    <mergeCell ref="A45:C45"/>
    <mergeCell ref="D45:E45"/>
    <mergeCell ref="F45:G45"/>
    <mergeCell ref="B35:C35"/>
    <mergeCell ref="A17:C17"/>
    <mergeCell ref="A18:C18"/>
    <mergeCell ref="A19:C19"/>
    <mergeCell ref="A24:C24"/>
    <mergeCell ref="A25:C25"/>
    <mergeCell ref="A26:C26"/>
    <mergeCell ref="A27:C27"/>
    <mergeCell ref="A28:C28"/>
    <mergeCell ref="A29:C29"/>
    <mergeCell ref="A30:C30"/>
    <mergeCell ref="A34:C34"/>
    <mergeCell ref="A16:C16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14:C14"/>
    <mergeCell ref="A15:C15"/>
  </mergeCells>
  <dataValidations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7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415</v>
      </c>
      <c r="B8" s="1331"/>
      <c r="C8" s="1331"/>
      <c r="D8" s="844" t="e">
        <f t="shared" ref="D8:D19" si="0">IF(A8&lt;&gt;0,VLOOKUP(A8,Materiales,2,FALSE),$J$1)</f>
        <v>#REF!</v>
      </c>
      <c r="E8" s="12">
        <v>1.05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215</v>
      </c>
      <c r="B9" s="1143"/>
      <c r="C9" s="1143"/>
      <c r="D9" s="844" t="e">
        <f t="shared" si="0"/>
        <v>#REF!</v>
      </c>
      <c r="E9" s="12">
        <v>0.2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223</v>
      </c>
      <c r="B10" s="1143"/>
      <c r="C10" s="1143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148.4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38</v>
      </c>
      <c r="G46" s="1083"/>
      <c r="H46" s="7">
        <f>IF(A46&lt;&gt;0,ROUND(D46/F46,2),$J$1)</f>
        <v>5509.73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5509.73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5509.73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4:I44"/>
    <mergeCell ref="A45:C45"/>
    <mergeCell ref="D45:E45"/>
    <mergeCell ref="F45:G45"/>
    <mergeCell ref="A46:C46"/>
    <mergeCell ref="D46:E46"/>
    <mergeCell ref="F46:G4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disablePrompts="1"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8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215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223</v>
      </c>
      <c r="B10" s="1143"/>
      <c r="C10" s="1143"/>
      <c r="D10" s="844" t="e">
        <f t="shared" si="0"/>
        <v>#REF!</v>
      </c>
      <c r="E10" s="12">
        <v>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148.4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200</v>
      </c>
      <c r="G46" s="1083"/>
      <c r="H46" s="7">
        <f>IF(A46&lt;&gt;0,ROUND(D46/F46,2),$J$1)</f>
        <v>1046.8499999999999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1046.8499999999999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1046.8499999999999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4:I44"/>
    <mergeCell ref="A45:C45"/>
    <mergeCell ref="D45:E45"/>
    <mergeCell ref="F45:G45"/>
    <mergeCell ref="A46:C46"/>
    <mergeCell ref="D46:E46"/>
    <mergeCell ref="F46:G4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disablePrompts="1"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9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215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ht="24.75" customHeight="1" x14ac:dyDescent="0.2">
      <c r="A9" s="1335" t="s">
        <v>340</v>
      </c>
      <c r="B9" s="1336"/>
      <c r="C9" s="1337"/>
      <c r="D9" s="57" t="e">
        <f t="shared" si="0"/>
        <v>#REF!</v>
      </c>
      <c r="E9" s="515">
        <v>1</v>
      </c>
      <c r="F9" s="1338" t="e">
        <f t="shared" si="1"/>
        <v>#REF!</v>
      </c>
      <c r="G9" s="1339"/>
      <c r="H9" s="512" t="e">
        <f t="shared" si="2"/>
        <v>#REF!</v>
      </c>
      <c r="I9" s="69"/>
    </row>
    <row r="10" spans="1:10" x14ac:dyDescent="0.2">
      <c r="A10" s="1142" t="s">
        <v>137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148.4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35</v>
      </c>
      <c r="G46" s="1083"/>
      <c r="H46" s="7">
        <f>IF(A46&lt;&gt;0,ROUND(D46/F46,2),$J$1)</f>
        <v>5982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5982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5982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0">
    <mergeCell ref="A57:G57"/>
    <mergeCell ref="H57:I57"/>
    <mergeCell ref="F9:G9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4:I44"/>
    <mergeCell ref="A45:C45"/>
    <mergeCell ref="D45:E45"/>
    <mergeCell ref="F45:G45"/>
    <mergeCell ref="A46:C46"/>
    <mergeCell ref="D46:E46"/>
    <mergeCell ref="F46:G4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disablePrompts="1"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tabColor indexed="31"/>
    <pageSetUpPr fitToPage="1"/>
  </sheetPr>
  <dimension ref="A1:J58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215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ht="24.75" customHeight="1" x14ac:dyDescent="0.2">
      <c r="A9" s="1335" t="s">
        <v>213</v>
      </c>
      <c r="B9" s="1336"/>
      <c r="C9" s="1337"/>
      <c r="D9" s="57" t="e">
        <f t="shared" si="0"/>
        <v>#REF!</v>
      </c>
      <c r="E9" s="515">
        <v>1</v>
      </c>
      <c r="F9" s="1338" t="e">
        <f t="shared" si="1"/>
        <v>#REF!</v>
      </c>
      <c r="G9" s="1339"/>
      <c r="H9" s="512" t="e">
        <f t="shared" si="2"/>
        <v>#REF!</v>
      </c>
      <c r="I9" s="69"/>
    </row>
    <row r="10" spans="1:10" x14ac:dyDescent="0.2">
      <c r="A10" s="1142" t="s">
        <v>137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148.4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35</v>
      </c>
      <c r="G46" s="1083"/>
      <c r="H46" s="7">
        <f>IF(A46&lt;&gt;0,ROUND(D46/F46,2),$J$1)</f>
        <v>5982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5982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5982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0"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6:C46"/>
    <mergeCell ref="D46:E46"/>
    <mergeCell ref="F46:G46"/>
    <mergeCell ref="A36:C36"/>
    <mergeCell ref="A37:C37"/>
    <mergeCell ref="B38:C38"/>
    <mergeCell ref="A39:C39"/>
    <mergeCell ref="A40:C40"/>
    <mergeCell ref="A41:C41"/>
    <mergeCell ref="A43:I43"/>
    <mergeCell ref="A44:I44"/>
    <mergeCell ref="A45:C45"/>
    <mergeCell ref="D45:E45"/>
    <mergeCell ref="F45:G45"/>
    <mergeCell ref="B35:C35"/>
    <mergeCell ref="A17:C17"/>
    <mergeCell ref="A18:C18"/>
    <mergeCell ref="A19:C19"/>
    <mergeCell ref="A24:C24"/>
    <mergeCell ref="A25:C25"/>
    <mergeCell ref="A26:C26"/>
    <mergeCell ref="A27:C27"/>
    <mergeCell ref="A28:C28"/>
    <mergeCell ref="A29:C29"/>
    <mergeCell ref="A30:C30"/>
    <mergeCell ref="A34:C34"/>
    <mergeCell ref="A16:C16"/>
    <mergeCell ref="A1:C1"/>
    <mergeCell ref="H1:I1"/>
    <mergeCell ref="A8:C8"/>
    <mergeCell ref="A9:C9"/>
    <mergeCell ref="F9:G9"/>
    <mergeCell ref="A10:C10"/>
    <mergeCell ref="A11:C11"/>
    <mergeCell ref="A12:C12"/>
    <mergeCell ref="A13:C13"/>
    <mergeCell ref="A14:C14"/>
    <mergeCell ref="A15:C15"/>
  </mergeCells>
  <dataValidations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1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416</v>
      </c>
      <c r="B8" s="1331"/>
      <c r="C8" s="1331"/>
      <c r="D8" s="844" t="e">
        <f t="shared" ref="D8:D19" si="0">IF(A8&lt;&gt;0,VLOOKUP(A8,Materiales,2,FALSE),$J$1)</f>
        <v>#REF!</v>
      </c>
      <c r="E8" s="12">
        <v>1.05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215</v>
      </c>
      <c r="B9" s="1143"/>
      <c r="C9" s="1143"/>
      <c r="D9" s="844" t="e">
        <f t="shared" si="0"/>
        <v>#REF!</v>
      </c>
      <c r="E9" s="12">
        <v>0.2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223</v>
      </c>
      <c r="B10" s="1143"/>
      <c r="C10" s="1143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148.4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38</v>
      </c>
      <c r="G46" s="1083"/>
      <c r="H46" s="7">
        <f>IF(A46&lt;&gt;0,ROUND(D46/F46,2),$J$1)</f>
        <v>5509.73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5509.73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5509.73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4:I44"/>
    <mergeCell ref="A45:C45"/>
    <mergeCell ref="D45:E45"/>
    <mergeCell ref="F45:G45"/>
    <mergeCell ref="A46:C46"/>
    <mergeCell ref="D46:E46"/>
    <mergeCell ref="F46:G4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2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215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224</v>
      </c>
      <c r="B10" s="1143"/>
      <c r="C10" s="1143"/>
      <c r="D10" s="844" t="e">
        <f t="shared" si="0"/>
        <v>#REF!</v>
      </c>
      <c r="E10" s="12">
        <v>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148.4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200</v>
      </c>
      <c r="G46" s="1083"/>
      <c r="H46" s="7">
        <f>IF(A46&lt;&gt;0,ROUND(D46/F46,2),$J$1)</f>
        <v>1046.8499999999999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1046.8499999999999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1046.8499999999999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disablePrompts="1"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  <pageSetUpPr fitToPage="1"/>
  </sheetPr>
  <dimension ref="A1:K62"/>
  <sheetViews>
    <sheetView view="pageBreakPreview" topLeftCell="A28" zoomScaleNormal="100" zoomScaleSheetLayoutView="100" workbookViewId="0">
      <selection activeCell="A37" sqref="A37:C37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20.25" thickTop="1" x14ac:dyDescent="0.2">
      <c r="A1" s="1131"/>
      <c r="B1" s="1220"/>
      <c r="C1" s="1220"/>
      <c r="D1" s="93"/>
      <c r="E1" s="93"/>
      <c r="F1" s="93"/>
      <c r="G1" s="93"/>
      <c r="H1" s="1129"/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43" t="str">
        <f>'Datos entrada'!B2</f>
        <v>Análisis de Precios Unitarios</v>
      </c>
      <c r="B3" s="244"/>
      <c r="C3" s="244"/>
      <c r="D3" s="244"/>
      <c r="E3" s="244"/>
      <c r="F3" s="244"/>
      <c r="G3" s="244"/>
      <c r="H3" s="244"/>
      <c r="I3" s="245"/>
    </row>
    <row r="4" spans="1:10" s="10" customFormat="1" ht="24.75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47" t="s">
        <v>2297</v>
      </c>
      <c r="C5" s="1227" t="s">
        <v>289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155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2298</v>
      </c>
      <c r="G7" s="254"/>
      <c r="H7" s="879" t="s">
        <v>2216</v>
      </c>
      <c r="I7" s="72"/>
    </row>
    <row r="8" spans="1:10" x14ac:dyDescent="0.2">
      <c r="A8" s="1215" t="s">
        <v>210</v>
      </c>
      <c r="B8" s="1216"/>
      <c r="C8" s="1217"/>
      <c r="D8" s="851" t="e">
        <f t="shared" ref="D8:D19" si="0">IF(A8&lt;&gt;0,VLOOKUP(A8,Materiales,2,FALSE),$J$1)</f>
        <v>#REF!</v>
      </c>
      <c r="E8" s="12">
        <v>450</v>
      </c>
      <c r="F8" s="21" t="e">
        <f>IF(A8&lt;&gt;0,VLOOKUP(A8,Materiales,6,FALSE),$J$1)</f>
        <v>#REF!</v>
      </c>
      <c r="G8" s="22"/>
      <c r="H8" s="8" t="e">
        <f t="shared" ref="H8:H16" si="1">IF(A8&lt;&gt;0,ROUND(E8*F8,2),$J$1)</f>
        <v>#REF!</v>
      </c>
      <c r="I8" s="69"/>
    </row>
    <row r="9" spans="1:10" x14ac:dyDescent="0.2">
      <c r="A9" s="1215" t="s">
        <v>156</v>
      </c>
      <c r="B9" s="1216"/>
      <c r="C9" s="1217"/>
      <c r="D9" s="851" t="e">
        <f t="shared" si="0"/>
        <v>#REF!</v>
      </c>
      <c r="E9" s="12">
        <v>1.0900000000000001</v>
      </c>
      <c r="F9" s="21" t="e">
        <f t="shared" ref="F9:F19" si="2"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 t="s">
        <v>139</v>
      </c>
      <c r="B10" s="1216"/>
      <c r="C10" s="1217"/>
      <c r="D10" s="851" t="e">
        <f t="shared" si="0"/>
        <v>#REF!</v>
      </c>
      <c r="E10" s="12">
        <v>250</v>
      </c>
      <c r="F10" s="21" t="e">
        <f t="shared" si="2"/>
        <v>#REF!</v>
      </c>
      <c r="G10" s="22"/>
      <c r="H10" s="8" t="e">
        <f t="shared" si="1"/>
        <v>#REF!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 t="shared" si="2"/>
        <v>-</v>
      </c>
      <c r="G11" s="22"/>
      <c r="H11" s="8" t="str">
        <f t="shared" si="1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si="2"/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10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/>
      <c r="E17" s="12"/>
      <c r="F17" s="21"/>
      <c r="G17" s="22"/>
      <c r="H17" s="8"/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>IF(A18&lt;&gt;0,ROUND(E18*F18,2),$J$1)</f>
        <v>-</v>
      </c>
      <c r="I18" s="69"/>
    </row>
    <row r="19" spans="1:9" x14ac:dyDescent="0.2">
      <c r="A19" s="871"/>
      <c r="B19" s="872"/>
      <c r="C19" s="873"/>
      <c r="D19" s="851" t="str">
        <f t="shared" si="0"/>
        <v>-</v>
      </c>
      <c r="E19" s="12"/>
      <c r="F19" s="21" t="str">
        <f t="shared" si="2"/>
        <v>-</v>
      </c>
      <c r="G19" s="22"/>
      <c r="H19" s="8" t="str">
        <f>IF(A19&lt;&gt;0,ROUND(E19*F19,2),$J$1)</f>
        <v>-</v>
      </c>
      <c r="I19" s="73"/>
    </row>
    <row r="20" spans="1:9" x14ac:dyDescent="0.2">
      <c r="A20" s="850" t="s">
        <v>2217</v>
      </c>
      <c r="B20" s="872"/>
      <c r="C20" s="872"/>
      <c r="D20" s="872"/>
      <c r="E20" s="872"/>
      <c r="F20" s="872"/>
      <c r="G20" s="872"/>
      <c r="H20" s="873"/>
      <c r="I20" s="241" t="e">
        <f>SUM(H8:H19)</f>
        <v>#REF!</v>
      </c>
    </row>
    <row r="21" spans="1:9" x14ac:dyDescent="0.2">
      <c r="A21" s="76"/>
      <c r="B21" s="27"/>
      <c r="C21" s="27"/>
      <c r="D21" s="27"/>
      <c r="E21" s="27"/>
      <c r="F21" s="27"/>
      <c r="G21" s="27"/>
      <c r="H21" s="27"/>
      <c r="I21" s="64"/>
    </row>
    <row r="22" spans="1:9" x14ac:dyDescent="0.2">
      <c r="A22" s="875" t="s">
        <v>454</v>
      </c>
      <c r="B22" s="902"/>
      <c r="C22" s="902"/>
      <c r="D22" s="902"/>
      <c r="E22" s="902"/>
      <c r="F22" s="902"/>
      <c r="G22" s="902"/>
      <c r="H22" s="902"/>
      <c r="I22" s="903"/>
    </row>
    <row r="23" spans="1:9" s="9" customFormat="1" ht="25.5" x14ac:dyDescent="0.2">
      <c r="A23" s="255" t="s">
        <v>26</v>
      </c>
      <c r="B23" s="256"/>
      <c r="C23" s="254"/>
      <c r="D23" s="253" t="s">
        <v>2218</v>
      </c>
      <c r="E23" s="254"/>
      <c r="F23" s="881" t="s">
        <v>2295</v>
      </c>
      <c r="G23" s="881" t="s">
        <v>2220</v>
      </c>
      <c r="H23" s="257" t="s">
        <v>2216</v>
      </c>
      <c r="I23" s="72"/>
    </row>
    <row r="24" spans="1:9" x14ac:dyDescent="0.2">
      <c r="A24" s="1215" t="s">
        <v>477</v>
      </c>
      <c r="B24" s="1216"/>
      <c r="C24" s="1217"/>
      <c r="D24" s="26">
        <v>1</v>
      </c>
      <c r="E24" s="28"/>
      <c r="F24" s="12">
        <f t="shared" ref="F24:F30" si="3">IF(A24&lt;&gt;0,VLOOKUP(A24,Equipos,6,FALSE),$J$1)</f>
        <v>3710</v>
      </c>
      <c r="G24" s="14">
        <v>0.75</v>
      </c>
      <c r="H24" s="8">
        <f t="shared" ref="H24:H30" si="4">IF(A24&lt;&gt;0,ROUND((F24/D24)*G24,2),$J$1)</f>
        <v>2782.5</v>
      </c>
      <c r="I24" s="69"/>
    </row>
    <row r="25" spans="1:9" x14ac:dyDescent="0.2">
      <c r="A25" s="1215" t="s">
        <v>478</v>
      </c>
      <c r="B25" s="1216"/>
      <c r="C25" s="1217"/>
      <c r="D25" s="26">
        <f>0.0003*1000</f>
        <v>0.3</v>
      </c>
      <c r="E25" s="28"/>
      <c r="F25" s="12">
        <f t="shared" si="3"/>
        <v>63600</v>
      </c>
      <c r="G25" s="14">
        <v>0.05</v>
      </c>
      <c r="H25" s="8">
        <f t="shared" si="4"/>
        <v>10600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69"/>
    </row>
    <row r="30" spans="1:9" x14ac:dyDescent="0.2">
      <c r="A30" s="871"/>
      <c r="B30" s="872"/>
      <c r="C30" s="873"/>
      <c r="D30" s="26"/>
      <c r="E30" s="28"/>
      <c r="F30" s="12" t="str">
        <f t="shared" si="3"/>
        <v>-</v>
      </c>
      <c r="G30" s="14"/>
      <c r="H30" s="8" t="str">
        <f t="shared" si="4"/>
        <v>-</v>
      </c>
      <c r="I30" s="73"/>
    </row>
    <row r="31" spans="1:9" x14ac:dyDescent="0.2">
      <c r="A31" s="850" t="s">
        <v>2221</v>
      </c>
      <c r="B31" s="872"/>
      <c r="C31" s="872"/>
      <c r="D31" s="872"/>
      <c r="E31" s="872"/>
      <c r="F31" s="872"/>
      <c r="G31" s="872"/>
      <c r="H31" s="873"/>
      <c r="I31" s="241">
        <f>SUM(H24:H30)</f>
        <v>13382.5</v>
      </c>
    </row>
    <row r="32" spans="1:9" x14ac:dyDescent="0.2">
      <c r="A32" s="76"/>
      <c r="B32" s="27"/>
      <c r="C32" s="27"/>
      <c r="D32" s="27"/>
      <c r="E32" s="27"/>
      <c r="F32" s="27"/>
      <c r="G32" s="27"/>
      <c r="H32" s="27"/>
      <c r="I32" s="64"/>
    </row>
    <row r="33" spans="1:9" x14ac:dyDescent="0.2">
      <c r="A33" s="875" t="s">
        <v>2222</v>
      </c>
      <c r="B33" s="902"/>
      <c r="C33" s="902"/>
      <c r="D33" s="902"/>
      <c r="E33" s="902"/>
      <c r="F33" s="902"/>
      <c r="G33" s="902"/>
      <c r="H33" s="902"/>
      <c r="I33" s="903"/>
    </row>
    <row r="34" spans="1:9" s="9" customFormat="1" ht="25.5" x14ac:dyDescent="0.2">
      <c r="A34" s="250" t="s">
        <v>26</v>
      </c>
      <c r="B34" s="251"/>
      <c r="C34" s="252"/>
      <c r="D34" s="253" t="s">
        <v>2223</v>
      </c>
      <c r="E34" s="254"/>
      <c r="F34" s="881" t="s">
        <v>2224</v>
      </c>
      <c r="G34" s="881" t="s">
        <v>2225</v>
      </c>
      <c r="H34" s="257" t="s">
        <v>2216</v>
      </c>
      <c r="I34" s="72"/>
    </row>
    <row r="35" spans="1:9" x14ac:dyDescent="0.2">
      <c r="A35" s="1086"/>
      <c r="B35" s="1087"/>
      <c r="C35" s="1119"/>
      <c r="D35" s="46"/>
      <c r="E35" s="47"/>
      <c r="F35" s="51"/>
      <c r="G35" s="12"/>
      <c r="H35" s="8"/>
      <c r="I35" s="69"/>
    </row>
    <row r="36" spans="1:9" x14ac:dyDescent="0.2">
      <c r="A36" s="871"/>
      <c r="B36" s="1127" t="s">
        <v>2226</v>
      </c>
      <c r="C36" s="1128"/>
      <c r="D36" s="46"/>
      <c r="E36" s="47"/>
      <c r="F36" s="15"/>
      <c r="G36" s="12"/>
      <c r="H36" s="8"/>
      <c r="I36" s="314">
        <f>SUM(H37:H38)</f>
        <v>0</v>
      </c>
    </row>
    <row r="37" spans="1:9" x14ac:dyDescent="0.2">
      <c r="A37" s="1086"/>
      <c r="B37" s="1087"/>
      <c r="C37" s="1119"/>
      <c r="D37" s="46" t="str">
        <f>IF(A26&lt;&gt;0,VLOOKUP(A37,Transporte,8,FALSE),$J$1)</f>
        <v>-</v>
      </c>
      <c r="E37" s="47"/>
      <c r="F37" s="15" t="str">
        <f>IF(A37&lt;&gt;0,VLOOKUP(A37,Transporte,2,FALSE),$J$1)</f>
        <v>-</v>
      </c>
      <c r="G37" s="12"/>
      <c r="H37" s="8" t="str">
        <f>IF(A37&lt;&gt;0,D37/F37*G37,$J$1)</f>
        <v>-</v>
      </c>
      <c r="I37" s="316"/>
    </row>
    <row r="38" spans="1:9" x14ac:dyDescent="0.2">
      <c r="A38" s="1086"/>
      <c r="B38" s="1087"/>
      <c r="C38" s="1119"/>
      <c r="D38" s="46" t="str">
        <f>IF(A27&lt;&gt;0,VLOOKUP(A38,Transporte,8,FALSE),$J$1)</f>
        <v>-</v>
      </c>
      <c r="E38" s="47"/>
      <c r="F38" s="15" t="str">
        <f>IF(A38&lt;&gt;0,VLOOKUP(A38,Transporte,2,FALSE),$J$1)</f>
        <v>-</v>
      </c>
      <c r="G38" s="12"/>
      <c r="H38" s="8" t="str">
        <f>IF(A38&lt;&gt;0,D38/F38*G38,$J$1)</f>
        <v>-</v>
      </c>
      <c r="I38" s="316"/>
    </row>
    <row r="39" spans="1:9" x14ac:dyDescent="0.2">
      <c r="A39" s="871"/>
      <c r="B39" s="1127" t="s">
        <v>2227</v>
      </c>
      <c r="C39" s="1128"/>
      <c r="D39" s="46"/>
      <c r="E39" s="47"/>
      <c r="F39" s="15"/>
      <c r="G39" s="12"/>
      <c r="H39" s="8"/>
      <c r="I39" s="314">
        <f>SUM(H40:H41)</f>
        <v>0</v>
      </c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>IF(A40&lt;&gt;0,VLOOKUP(A40,Transporte,2,FALSE),$J$1)</f>
        <v>-</v>
      </c>
      <c r="G40" s="12"/>
      <c r="H40" s="8" t="str">
        <f>IF(A40&lt;&gt;0,D40/F40*G40,$J$1)</f>
        <v>-</v>
      </c>
      <c r="I40" s="69"/>
    </row>
    <row r="41" spans="1:9" x14ac:dyDescent="0.2">
      <c r="A41" s="1086"/>
      <c r="B41" s="1087"/>
      <c r="C41" s="1119"/>
      <c r="D41" s="46" t="str">
        <f>IF(A30&lt;&gt;0,VLOOKUP(A41,Transporte,8,FALSE),$J$1)</f>
        <v>-</v>
      </c>
      <c r="E41" s="47"/>
      <c r="F41" s="15" t="str">
        <f>IF(A41&lt;&gt;0,VLOOKUP(A41,Transporte,2,FALSE),$J$1)</f>
        <v>-</v>
      </c>
      <c r="G41" s="12"/>
      <c r="H41" s="8" t="str">
        <f>IF(A41&lt;&gt;0,D41/F41*G41,$J$1)</f>
        <v>-</v>
      </c>
      <c r="I41" s="73"/>
    </row>
    <row r="42" spans="1:9" x14ac:dyDescent="0.2">
      <c r="A42" s="1084" t="s">
        <v>2237</v>
      </c>
      <c r="B42" s="1085"/>
      <c r="C42" s="1085"/>
      <c r="D42" s="1085"/>
      <c r="E42" s="1085"/>
      <c r="F42" s="1085"/>
      <c r="G42" s="1085"/>
      <c r="H42" s="1133"/>
      <c r="I42" s="241">
        <f>SUM(I36:I41)</f>
        <v>0</v>
      </c>
    </row>
    <row r="43" spans="1:9" x14ac:dyDescent="0.2">
      <c r="A43" s="1086"/>
      <c r="B43" s="1087"/>
      <c r="C43" s="1087"/>
      <c r="D43" s="1087"/>
      <c r="E43" s="1087"/>
      <c r="F43" s="1087"/>
      <c r="G43" s="1087"/>
      <c r="H43" s="1087"/>
      <c r="I43" s="1088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29" t="s">
        <v>2229</v>
      </c>
      <c r="B45" s="1230"/>
      <c r="C45" s="1231"/>
      <c r="D45" s="1223" t="s">
        <v>2230</v>
      </c>
      <c r="E45" s="1224"/>
      <c r="F45" s="1223" t="s">
        <v>2218</v>
      </c>
      <c r="G45" s="1224"/>
      <c r="H45" s="257" t="s">
        <v>2216</v>
      </c>
      <c r="I45" s="72"/>
    </row>
    <row r="46" spans="1:9" x14ac:dyDescent="0.2">
      <c r="A46" s="1215" t="s">
        <v>48</v>
      </c>
      <c r="B46" s="1216"/>
      <c r="C46" s="1217"/>
      <c r="D46" s="1225">
        <f>IF(A46&lt;&gt;0,VLOOKUP(A46,Cuadrillas,7,FALSE),$J$1)</f>
        <v>329249.03000000003</v>
      </c>
      <c r="E46" s="1226"/>
      <c r="F46" s="1221">
        <v>5</v>
      </c>
      <c r="G46" s="1222"/>
      <c r="H46" s="8">
        <f>IF(A46&lt;&gt;0,ROUND(D46/F46,2),$J$1)</f>
        <v>65849.81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69"/>
    </row>
    <row r="50" spans="1:11" x14ac:dyDescent="0.2">
      <c r="A50" s="1215"/>
      <c r="B50" s="1216"/>
      <c r="C50" s="1217"/>
      <c r="D50" s="1225" t="str">
        <f>IF(A50&lt;&gt;0,VLOOKUP(A50,Cuadrillas,7,FALSE),$J$1)</f>
        <v>-</v>
      </c>
      <c r="E50" s="1226"/>
      <c r="F50" s="1221"/>
      <c r="G50" s="1222"/>
      <c r="H50" s="8" t="str">
        <f>IF(A50&lt;&gt;0,ROUND(D50/F50,2),$J$1)</f>
        <v>-</v>
      </c>
      <c r="I50" s="73"/>
    </row>
    <row r="51" spans="1:11" x14ac:dyDescent="0.2">
      <c r="A51" s="1084" t="s">
        <v>2231</v>
      </c>
      <c r="B51" s="1085"/>
      <c r="C51" s="1085"/>
      <c r="D51" s="1085"/>
      <c r="E51" s="1085"/>
      <c r="F51" s="1085"/>
      <c r="G51" s="1085"/>
      <c r="H51" s="1133"/>
      <c r="I51" s="240">
        <f>SUM(H46:H50)</f>
        <v>65849.81</v>
      </c>
    </row>
    <row r="52" spans="1:11" x14ac:dyDescent="0.2">
      <c r="A52" s="1086"/>
      <c r="B52" s="1087"/>
      <c r="C52" s="1087"/>
      <c r="D52" s="1087"/>
      <c r="E52" s="1087"/>
      <c r="F52" s="1087"/>
      <c r="G52" s="1087"/>
      <c r="H52" s="1087"/>
      <c r="I52" s="1088"/>
    </row>
    <row r="53" spans="1:11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11" ht="13.5" thickBot="1" x14ac:dyDescent="0.25">
      <c r="A54" s="1193" t="s">
        <v>2233</v>
      </c>
      <c r="B54" s="1194"/>
      <c r="C54" s="1194"/>
      <c r="D54" s="1194"/>
      <c r="E54" s="1194"/>
      <c r="F54" s="1194"/>
      <c r="G54" s="1194"/>
      <c r="H54" s="1194"/>
      <c r="I54" s="238">
        <f>I51</f>
        <v>65849.81</v>
      </c>
    </row>
    <row r="55" spans="1:11" s="9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  <c r="K55" s="9" t="s">
        <v>2235</v>
      </c>
    </row>
    <row r="56" spans="1:11" s="9" customFormat="1" ht="25.5" customHeight="1" thickTop="1" thickBot="1" x14ac:dyDescent="0.25">
      <c r="A56" s="1095" t="s">
        <v>10</v>
      </c>
      <c r="B56" s="1096"/>
      <c r="C56" s="1232"/>
      <c r="D56" s="1097">
        <f>+'Datos entrada'!B7</f>
        <v>0.3</v>
      </c>
      <c r="E56" s="1098"/>
      <c r="F56" s="1233" t="e">
        <f>I55*D56</f>
        <v>#REF!</v>
      </c>
      <c r="G56" s="1099"/>
      <c r="H56" s="1099"/>
      <c r="I56" s="1100"/>
    </row>
    <row r="57" spans="1:11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05" t="e">
        <f>I55+F56</f>
        <v>#REF!</v>
      </c>
      <c r="I57" s="106"/>
    </row>
    <row r="58" spans="1:11" ht="14.25" thickTop="1" thickBot="1" x14ac:dyDescent="0.25"/>
    <row r="59" spans="1:11" ht="13.5" thickTop="1" x14ac:dyDescent="0.2">
      <c r="A59" s="983" t="str">
        <f>+'Datos entrada'!$B$5</f>
        <v>INGENIERO CIVIL HEBER EDUARDO YEPES VILLOTA</v>
      </c>
      <c r="B59" s="983"/>
      <c r="C59" s="983"/>
      <c r="D59" s="983"/>
      <c r="E59" s="983"/>
      <c r="F59" s="983"/>
      <c r="G59" s="983"/>
      <c r="H59" s="983"/>
      <c r="I59" s="983"/>
    </row>
    <row r="60" spans="1:11" x14ac:dyDescent="0.2">
      <c r="A60" s="984"/>
      <c r="B60" s="984"/>
      <c r="C60" s="984"/>
      <c r="D60" s="984"/>
      <c r="E60" s="984"/>
      <c r="F60" s="984"/>
      <c r="G60" s="984"/>
      <c r="H60" s="984"/>
      <c r="I60" s="984"/>
    </row>
    <row r="61" spans="1:11" ht="12.75" customHeight="1" x14ac:dyDescent="0.2">
      <c r="A61" s="984"/>
      <c r="B61" s="984"/>
      <c r="C61" s="984"/>
      <c r="D61" s="984"/>
      <c r="E61" s="984"/>
      <c r="F61" s="984"/>
      <c r="G61" s="984"/>
      <c r="H61" s="984"/>
      <c r="I61" s="984"/>
    </row>
    <row r="62" spans="1:11" ht="12.75" customHeight="1" x14ac:dyDescent="0.2">
      <c r="A62" s="984"/>
      <c r="B62" s="984"/>
      <c r="C62" s="984"/>
      <c r="D62" s="984"/>
      <c r="E62" s="984"/>
      <c r="F62" s="984"/>
      <c r="G62" s="984"/>
      <c r="H62" s="984"/>
      <c r="I62" s="984"/>
    </row>
  </sheetData>
  <customSheetViews>
    <customSheetView guid="{93F324B6-F965-4669-93FF-DBB148734A46}" fitToPage="1">
      <selection activeCell="L4" sqref="L4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7">
    <mergeCell ref="A59:I62"/>
    <mergeCell ref="A40:C40"/>
    <mergeCell ref="A41:C41"/>
    <mergeCell ref="A1:C1"/>
    <mergeCell ref="B36:C36"/>
    <mergeCell ref="B39:C39"/>
    <mergeCell ref="A37:C37"/>
    <mergeCell ref="A38:C38"/>
    <mergeCell ref="A8:C8"/>
    <mergeCell ref="A9:C9"/>
    <mergeCell ref="A10:C10"/>
    <mergeCell ref="A42:H42"/>
    <mergeCell ref="A57:G57"/>
    <mergeCell ref="A55:G55"/>
    <mergeCell ref="F56:I56"/>
    <mergeCell ref="A51:H51"/>
    <mergeCell ref="A54:H54"/>
    <mergeCell ref="A53:H53"/>
    <mergeCell ref="A52:I52"/>
    <mergeCell ref="A56:C56"/>
    <mergeCell ref="D56:E56"/>
    <mergeCell ref="A50:C50"/>
    <mergeCell ref="D50:E50"/>
    <mergeCell ref="F46:G46"/>
    <mergeCell ref="A44:I44"/>
    <mergeCell ref="A49:C49"/>
    <mergeCell ref="A47:C47"/>
    <mergeCell ref="F50:G50"/>
    <mergeCell ref="D49:E49"/>
    <mergeCell ref="F49:G49"/>
    <mergeCell ref="D47:E47"/>
    <mergeCell ref="A45:C45"/>
    <mergeCell ref="A46:C46"/>
    <mergeCell ref="H1:I1"/>
    <mergeCell ref="A11:C11"/>
    <mergeCell ref="A24:C24"/>
    <mergeCell ref="F48:G48"/>
    <mergeCell ref="D45:E45"/>
    <mergeCell ref="D46:E46"/>
    <mergeCell ref="A35:C35"/>
    <mergeCell ref="F47:G47"/>
    <mergeCell ref="D48:E48"/>
    <mergeCell ref="A48:C48"/>
    <mergeCell ref="C5:I5"/>
    <mergeCell ref="A25:C25"/>
    <mergeCell ref="A43:I43"/>
    <mergeCell ref="F45:G45"/>
  </mergeCells>
  <phoneticPr fontId="0" type="noConversion"/>
  <dataValidations count="5">
    <dataValidation type="list" allowBlank="1" showInputMessage="1" showErrorMessage="1" sqref="A12:C19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:A11">
      <formula1>Descripción</formula1>
    </dataValidation>
    <dataValidation type="list" allowBlank="1" showInputMessage="1" showErrorMessage="1" sqref="B26:C30 A24:A30 B39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B37:C38 A35:A41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2" orientation="portrait" blackAndWhite="1" errors="blank" r:id="rId2"/>
  <headerFooter alignWithMargins="0">
    <oddFooter xml:space="preserve">&amp;C  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3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215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ht="24.75" customHeight="1" x14ac:dyDescent="0.2">
      <c r="A9" s="1335" t="s">
        <v>336</v>
      </c>
      <c r="B9" s="1336"/>
      <c r="C9" s="1337"/>
      <c r="D9" s="57" t="e">
        <f t="shared" si="0"/>
        <v>#REF!</v>
      </c>
      <c r="E9" s="515">
        <v>1</v>
      </c>
      <c r="F9" s="1338" t="e">
        <f t="shared" si="1"/>
        <v>#REF!</v>
      </c>
      <c r="G9" s="1339"/>
      <c r="H9" s="512" t="e">
        <f t="shared" si="2"/>
        <v>#REF!</v>
      </c>
      <c r="I9" s="69"/>
    </row>
    <row r="10" spans="1:10" x14ac:dyDescent="0.2">
      <c r="A10" s="1142" t="s">
        <v>135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148.4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35</v>
      </c>
      <c r="G46" s="1083"/>
      <c r="H46" s="7">
        <f>IF(A46&lt;&gt;0,ROUND(D46/F46,2),$J$1)</f>
        <v>5982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5982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5982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0">
    <mergeCell ref="A16:C16"/>
    <mergeCell ref="A1:C1"/>
    <mergeCell ref="H1:I1"/>
    <mergeCell ref="A8:C8"/>
    <mergeCell ref="A9:C9"/>
    <mergeCell ref="F9:G9"/>
    <mergeCell ref="A10:C10"/>
    <mergeCell ref="A11:C11"/>
    <mergeCell ref="A12:C12"/>
    <mergeCell ref="A13:C13"/>
    <mergeCell ref="A14:C14"/>
    <mergeCell ref="A15:C15"/>
    <mergeCell ref="B35:C35"/>
    <mergeCell ref="A17:C17"/>
    <mergeCell ref="A18:C18"/>
    <mergeCell ref="A19:C19"/>
    <mergeCell ref="A24:C24"/>
    <mergeCell ref="A25:C25"/>
    <mergeCell ref="A26:C26"/>
    <mergeCell ref="A27:C27"/>
    <mergeCell ref="A28:C28"/>
    <mergeCell ref="A29:C29"/>
    <mergeCell ref="A30:C30"/>
    <mergeCell ref="A34:C34"/>
    <mergeCell ref="A46:C46"/>
    <mergeCell ref="D46:E46"/>
    <mergeCell ref="F46:G46"/>
    <mergeCell ref="A36:C36"/>
    <mergeCell ref="A37:C37"/>
    <mergeCell ref="B38:C38"/>
    <mergeCell ref="A39:C39"/>
    <mergeCell ref="A40:C40"/>
    <mergeCell ref="A41:C41"/>
    <mergeCell ref="A43:I43"/>
    <mergeCell ref="A44:I44"/>
    <mergeCell ref="A45:C45"/>
    <mergeCell ref="D45:E45"/>
    <mergeCell ref="F45:G45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4">
    <tabColor indexed="31"/>
    <pageSetUpPr fitToPage="1"/>
  </sheetPr>
  <dimension ref="A1:J58"/>
  <sheetViews>
    <sheetView workbookViewId="0">
      <selection activeCell="F21" sqref="F2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215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ht="24.75" customHeight="1" x14ac:dyDescent="0.2">
      <c r="A9" s="1335" t="s">
        <v>442</v>
      </c>
      <c r="B9" s="1336"/>
      <c r="C9" s="1337"/>
      <c r="D9" s="57" t="e">
        <f t="shared" si="0"/>
        <v>#REF!</v>
      </c>
      <c r="E9" s="515">
        <v>1</v>
      </c>
      <c r="F9" s="1338" t="e">
        <f t="shared" si="1"/>
        <v>#REF!</v>
      </c>
      <c r="G9" s="1339"/>
      <c r="H9" s="512" t="e">
        <f t="shared" si="2"/>
        <v>#REF!</v>
      </c>
      <c r="I9" s="69"/>
    </row>
    <row r="10" spans="1:10" x14ac:dyDescent="0.2">
      <c r="A10" s="1142" t="s">
        <v>135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148.4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35</v>
      </c>
      <c r="G46" s="1083"/>
      <c r="H46" s="7">
        <f>IF(A46&lt;&gt;0,ROUND(D46/F46,2),$J$1)</f>
        <v>5982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5982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5982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activeCell="F21" sqref="F2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0"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6:C46"/>
    <mergeCell ref="D46:E46"/>
    <mergeCell ref="F46:G46"/>
    <mergeCell ref="A36:C36"/>
    <mergeCell ref="A37:C37"/>
    <mergeCell ref="B38:C38"/>
    <mergeCell ref="A39:C39"/>
    <mergeCell ref="A40:C40"/>
    <mergeCell ref="A41:C41"/>
    <mergeCell ref="A43:I43"/>
    <mergeCell ref="A44:I44"/>
    <mergeCell ref="A45:C45"/>
    <mergeCell ref="D45:E45"/>
    <mergeCell ref="F45:G45"/>
    <mergeCell ref="B35:C35"/>
    <mergeCell ref="A17:C17"/>
    <mergeCell ref="A18:C18"/>
    <mergeCell ref="A19:C19"/>
    <mergeCell ref="A24:C24"/>
    <mergeCell ref="A25:C25"/>
    <mergeCell ref="A26:C26"/>
    <mergeCell ref="A27:C27"/>
    <mergeCell ref="A28:C28"/>
    <mergeCell ref="A29:C29"/>
    <mergeCell ref="A30:C30"/>
    <mergeCell ref="A34:C34"/>
    <mergeCell ref="A16:C16"/>
    <mergeCell ref="A1:C1"/>
    <mergeCell ref="H1:I1"/>
    <mergeCell ref="A8:C8"/>
    <mergeCell ref="A9:C9"/>
    <mergeCell ref="F9:G9"/>
    <mergeCell ref="A10:C10"/>
    <mergeCell ref="A11:C11"/>
    <mergeCell ref="A12:C12"/>
    <mergeCell ref="A13:C13"/>
    <mergeCell ref="A14:C14"/>
    <mergeCell ref="A15:C15"/>
  </mergeCells>
  <dataValidations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7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40" t="s">
        <v>339</v>
      </c>
      <c r="B8" s="1341"/>
      <c r="C8" s="134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385</v>
      </c>
      <c r="B9" s="1143"/>
      <c r="C9" s="1143"/>
      <c r="D9" s="844" t="e">
        <f t="shared" si="0"/>
        <v>#REF!</v>
      </c>
      <c r="E9" s="12">
        <v>0.03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/>
      <c r="B10" s="1143"/>
      <c r="C10" s="1143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23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161.30000000000001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161.30000000000001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20</v>
      </c>
      <c r="G46" s="1083"/>
      <c r="H46" s="7">
        <f>IF(A46&lt;&gt;0,ROUND(D46/F46,2),$J$1)</f>
        <v>10468.49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10468.49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10468.49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8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28.5" customHeight="1" x14ac:dyDescent="0.2">
      <c r="A8" s="1330" t="s">
        <v>336</v>
      </c>
      <c r="B8" s="1331"/>
      <c r="C8" s="1331"/>
      <c r="D8" s="55" t="e">
        <f t="shared" ref="D8:D19" si="0">IF(A8&lt;&gt;0,VLOOKUP(A8,Materiales,2,FALSE),$J$1)</f>
        <v>#REF!</v>
      </c>
      <c r="E8" s="510">
        <v>1</v>
      </c>
      <c r="F8" s="1342" t="e">
        <f t="shared" ref="F8:F18" si="1">IF(A8&lt;&gt;0,VLOOKUP(A8,Materiales,6,FALSE),$J$1)</f>
        <v>#REF!</v>
      </c>
      <c r="G8" s="1343"/>
      <c r="H8" s="512" t="e">
        <f t="shared" ref="H8:H19" si="2">IF(A8&lt;&gt;0,ROUND(E8*F8,2),$J$1)</f>
        <v>#REF!</v>
      </c>
      <c r="I8" s="69"/>
    </row>
    <row r="9" spans="1:10" x14ac:dyDescent="0.2">
      <c r="A9" s="1142" t="s">
        <v>385</v>
      </c>
      <c r="B9" s="1143"/>
      <c r="C9" s="1143"/>
      <c r="D9" s="55" t="e">
        <f t="shared" si="0"/>
        <v>#REF!</v>
      </c>
      <c r="E9" s="510">
        <v>0.03</v>
      </c>
      <c r="F9" s="511" t="e">
        <f t="shared" si="1"/>
        <v>#REF!</v>
      </c>
      <c r="G9" s="511"/>
      <c r="H9" s="512" t="e">
        <f t="shared" si="2"/>
        <v>#REF!</v>
      </c>
      <c r="I9" s="69"/>
    </row>
    <row r="10" spans="1:10" x14ac:dyDescent="0.2">
      <c r="A10" s="1142" t="s">
        <v>135</v>
      </c>
      <c r="B10" s="1143"/>
      <c r="C10" s="1143"/>
      <c r="D10" s="55" t="e">
        <f t="shared" si="0"/>
        <v>#REF!</v>
      </c>
      <c r="E10" s="510">
        <v>2</v>
      </c>
      <c r="F10" s="511" t="e">
        <f t="shared" si="1"/>
        <v>#REF!</v>
      </c>
      <c r="G10" s="511"/>
      <c r="H10" s="512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23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161.30000000000001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161.30000000000001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20</v>
      </c>
      <c r="G46" s="1083"/>
      <c r="H46" s="7">
        <f>IF(A46&lt;&gt;0,ROUND(D46/F46,2),$J$1)</f>
        <v>10468.49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10468.49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10468.49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0">
    <mergeCell ref="A11:C11"/>
    <mergeCell ref="A1:C1"/>
    <mergeCell ref="H1:I1"/>
    <mergeCell ref="A8:C8"/>
    <mergeCell ref="A9:C9"/>
    <mergeCell ref="A10:C10"/>
    <mergeCell ref="F8:G8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disablePrompts="1"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9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9.5" customHeight="1" x14ac:dyDescent="0.2">
      <c r="A8" s="1340" t="s">
        <v>341</v>
      </c>
      <c r="B8" s="1341"/>
      <c r="C8" s="134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385</v>
      </c>
      <c r="B9" s="1143"/>
      <c r="C9" s="1143"/>
      <c r="D9" s="844" t="e">
        <f t="shared" si="0"/>
        <v>#REF!</v>
      </c>
      <c r="E9" s="12">
        <v>0.03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/>
      <c r="B10" s="1143"/>
      <c r="C10" s="1143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23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161.30000000000001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161.30000000000001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20</v>
      </c>
      <c r="G46" s="1083"/>
      <c r="H46" s="7">
        <f>IF(A46&lt;&gt;0,ROUND(D46/F46,2),$J$1)</f>
        <v>10468.49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10468.49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10468.49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4:I44"/>
    <mergeCell ref="A45:C45"/>
    <mergeCell ref="D45:E45"/>
    <mergeCell ref="F45:G45"/>
    <mergeCell ref="A46:C46"/>
    <mergeCell ref="D46:E46"/>
    <mergeCell ref="F46:G4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419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274</v>
      </c>
      <c r="B10" s="1143"/>
      <c r="C10" s="1143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436</v>
      </c>
      <c r="B11" s="1143"/>
      <c r="C11" s="1143"/>
      <c r="D11" s="844" t="e">
        <f t="shared" si="0"/>
        <v>#REF!</v>
      </c>
      <c r="E11" s="12">
        <v>0.2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154.58000000000001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154.58000000000001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73</v>
      </c>
      <c r="G46" s="1083"/>
      <c r="H46" s="7">
        <f>IF(A46&lt;&gt;0,ROUND(D46/F46,2),$J$1)</f>
        <v>2868.08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2868.08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2868.08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:C1"/>
    <mergeCell ref="B38:C38"/>
    <mergeCell ref="A11:C11"/>
    <mergeCell ref="A56:C56"/>
    <mergeCell ref="A37:C37"/>
    <mergeCell ref="A39:C39"/>
    <mergeCell ref="A40:C40"/>
    <mergeCell ref="A41:C41"/>
    <mergeCell ref="A12:C12"/>
    <mergeCell ref="A13:C13"/>
    <mergeCell ref="A24:C24"/>
    <mergeCell ref="A25:C25"/>
    <mergeCell ref="A14:C14"/>
    <mergeCell ref="A15:C15"/>
    <mergeCell ref="A18:C18"/>
    <mergeCell ref="A19:C19"/>
    <mergeCell ref="A16:C16"/>
    <mergeCell ref="A17:C17"/>
    <mergeCell ref="A55:G55"/>
    <mergeCell ref="A53:H53"/>
    <mergeCell ref="F50:G50"/>
    <mergeCell ref="D56:E56"/>
    <mergeCell ref="A28:C28"/>
    <mergeCell ref="A29:C29"/>
    <mergeCell ref="B35:C35"/>
    <mergeCell ref="A34:C34"/>
    <mergeCell ref="A36:C36"/>
    <mergeCell ref="A57:G57"/>
    <mergeCell ref="A43:I43"/>
    <mergeCell ref="F45:G45"/>
    <mergeCell ref="F46:G46"/>
    <mergeCell ref="A44:I44"/>
    <mergeCell ref="D50:E50"/>
    <mergeCell ref="H57:I57"/>
    <mergeCell ref="A48:C48"/>
    <mergeCell ref="A49:C49"/>
    <mergeCell ref="F47:G47"/>
    <mergeCell ref="A51:H51"/>
    <mergeCell ref="D48:E48"/>
    <mergeCell ref="F48:G48"/>
    <mergeCell ref="A50:C50"/>
    <mergeCell ref="D49:E49"/>
    <mergeCell ref="F56:I56"/>
    <mergeCell ref="H1:I1"/>
    <mergeCell ref="A30:C30"/>
    <mergeCell ref="A54:H54"/>
    <mergeCell ref="A26:C26"/>
    <mergeCell ref="A27:C27"/>
    <mergeCell ref="D46:E46"/>
    <mergeCell ref="A45:C45"/>
    <mergeCell ref="A46:C46"/>
    <mergeCell ref="D45:E45"/>
    <mergeCell ref="A47:C47"/>
    <mergeCell ref="D47:E47"/>
    <mergeCell ref="F49:G49"/>
    <mergeCell ref="A8:C8"/>
    <mergeCell ref="A9:C9"/>
    <mergeCell ref="A10:C10"/>
    <mergeCell ref="A52:I52"/>
  </mergeCells>
  <phoneticPr fontId="0" type="noConversion"/>
  <dataValidations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0">
    <tabColor indexed="31"/>
    <pageSetUpPr fitToPage="1"/>
  </sheetPr>
  <dimension ref="A1:J58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244" t="s">
        <v>420</v>
      </c>
      <c r="B8" s="1245"/>
      <c r="C8" s="1245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274</v>
      </c>
      <c r="B10" s="1143"/>
      <c r="C10" s="1143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437</v>
      </c>
      <c r="B11" s="1143"/>
      <c r="C11" s="1143"/>
      <c r="D11" s="844" t="e">
        <f t="shared" si="0"/>
        <v>#REF!</v>
      </c>
      <c r="E11" s="12">
        <v>0.2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154.58000000000001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154.58000000000001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73</v>
      </c>
      <c r="G46" s="1083"/>
      <c r="H46" s="7">
        <f>IF(A46&lt;&gt;0,ROUND(D46/F46,2),$J$1)</f>
        <v>2868.08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2868.08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2868.08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:C1"/>
    <mergeCell ref="B38:C38"/>
    <mergeCell ref="A18:C18"/>
    <mergeCell ref="A19:C19"/>
    <mergeCell ref="A16:C16"/>
    <mergeCell ref="A17:C17"/>
    <mergeCell ref="A8:C8"/>
    <mergeCell ref="A9:C9"/>
    <mergeCell ref="A10:C10"/>
    <mergeCell ref="A11:C11"/>
    <mergeCell ref="A12:C12"/>
    <mergeCell ref="A13:C13"/>
    <mergeCell ref="A24:C24"/>
    <mergeCell ref="A25:C25"/>
    <mergeCell ref="B35:C35"/>
    <mergeCell ref="A34:C34"/>
    <mergeCell ref="A52:I52"/>
    <mergeCell ref="H1:I1"/>
    <mergeCell ref="A30:C30"/>
    <mergeCell ref="A54:H54"/>
    <mergeCell ref="A26:C26"/>
    <mergeCell ref="A27:C27"/>
    <mergeCell ref="D46:E46"/>
    <mergeCell ref="A45:C45"/>
    <mergeCell ref="A46:C46"/>
    <mergeCell ref="D45:E45"/>
    <mergeCell ref="A28:C28"/>
    <mergeCell ref="A29:C29"/>
    <mergeCell ref="A47:C47"/>
    <mergeCell ref="D47:E47"/>
    <mergeCell ref="A14:C14"/>
    <mergeCell ref="A15:C15"/>
    <mergeCell ref="A57:G57"/>
    <mergeCell ref="A43:I43"/>
    <mergeCell ref="F45:G45"/>
    <mergeCell ref="F46:G46"/>
    <mergeCell ref="A44:I44"/>
    <mergeCell ref="D50:E50"/>
    <mergeCell ref="H57:I57"/>
    <mergeCell ref="A48:C48"/>
    <mergeCell ref="A49:C49"/>
    <mergeCell ref="F50:G50"/>
    <mergeCell ref="F49:G49"/>
    <mergeCell ref="A55:G55"/>
    <mergeCell ref="A53:H53"/>
    <mergeCell ref="A56:C56"/>
    <mergeCell ref="D56:E56"/>
    <mergeCell ref="F56:I56"/>
    <mergeCell ref="F47:G47"/>
    <mergeCell ref="A51:H51"/>
    <mergeCell ref="D48:E48"/>
    <mergeCell ref="F48:G48"/>
    <mergeCell ref="A50:C50"/>
    <mergeCell ref="D49:E49"/>
    <mergeCell ref="A36:C36"/>
    <mergeCell ref="A37:C37"/>
    <mergeCell ref="A39:C39"/>
    <mergeCell ref="A40:C40"/>
    <mergeCell ref="A41:C41"/>
  </mergeCells>
  <phoneticPr fontId="0" type="noConversion"/>
  <dataValidations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2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5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44" t="s">
        <v>425</v>
      </c>
      <c r="B8" s="1345"/>
      <c r="C8" s="1345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157</v>
      </c>
      <c r="B9" s="1143"/>
      <c r="C9" s="1143"/>
      <c r="D9" s="844" t="e">
        <f t="shared" si="0"/>
        <v>#REF!</v>
      </c>
      <c r="E9" s="12">
        <v>0.08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214</v>
      </c>
      <c r="B10" s="1143"/>
      <c r="C10" s="1143"/>
      <c r="D10" s="844" t="e">
        <f t="shared" si="0"/>
        <v>#REF!</v>
      </c>
      <c r="E10" s="12">
        <v>1</v>
      </c>
      <c r="F10" s="58" t="e">
        <f>IF(A10&lt;&gt;0,VLOOKUP(A10,Materiales,6,FALSE),$J$1)</f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274</v>
      </c>
      <c r="B11" s="1143"/>
      <c r="C11" s="1143"/>
      <c r="D11" s="844" t="e">
        <f t="shared" si="0"/>
        <v>#REF!</v>
      </c>
      <c r="E11" s="12">
        <v>0.01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355</v>
      </c>
      <c r="B12" s="1250"/>
      <c r="C12" s="1251"/>
      <c r="D12" s="844" t="e">
        <f t="shared" si="0"/>
        <v>#REF!</v>
      </c>
      <c r="E12" s="12">
        <v>0.01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 t="s">
        <v>517</v>
      </c>
      <c r="B25" s="1081"/>
      <c r="C25" s="1081"/>
      <c r="D25" s="33">
        <v>25</v>
      </c>
      <c r="E25" s="33"/>
      <c r="F25" s="12">
        <f t="shared" si="3"/>
        <v>58300</v>
      </c>
      <c r="G25" s="14">
        <v>0.1</v>
      </c>
      <c r="H25" s="7">
        <f t="shared" si="4"/>
        <v>233.2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381.6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25</v>
      </c>
      <c r="G46" s="1083"/>
      <c r="H46" s="7">
        <f>IF(A46&lt;&gt;0,ROUND(D46/F46,2),$J$1)</f>
        <v>8374.7900000000009</v>
      </c>
      <c r="I46" s="69"/>
    </row>
    <row r="47" spans="1:9" x14ac:dyDescent="0.2">
      <c r="A47" s="1080" t="s">
        <v>39</v>
      </c>
      <c r="B47" s="1081"/>
      <c r="C47" s="1081"/>
      <c r="D47" s="1082">
        <f>IF(A47&lt;&gt;0,VLOOKUP(A47,Cuadrillas,7,FALSE),$J$1)</f>
        <v>154270.22</v>
      </c>
      <c r="E47" s="1082"/>
      <c r="F47" s="1083">
        <v>40</v>
      </c>
      <c r="G47" s="1083"/>
      <c r="H47" s="7">
        <f>IF(A47&lt;&gt;0,ROUND(D47/F47,2),$J$1)</f>
        <v>3856.76</v>
      </c>
      <c r="I47" s="69"/>
    </row>
    <row r="48" spans="1:9" x14ac:dyDescent="0.2">
      <c r="A48" s="1080" t="s">
        <v>42</v>
      </c>
      <c r="B48" s="1081"/>
      <c r="C48" s="1081"/>
      <c r="D48" s="1082">
        <f>IF(A48&lt;&gt;0,VLOOKUP(A48,Cuadrillas,7,FALSE),$J$1)</f>
        <v>51423.41</v>
      </c>
      <c r="E48" s="1082"/>
      <c r="F48" s="1083">
        <v>20</v>
      </c>
      <c r="G48" s="1083"/>
      <c r="H48" s="7">
        <f>IF(A48&lt;&gt;0,ROUND(D48/F48,2),$J$1)</f>
        <v>2571.17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14802.720000000001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14802.720000000001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:C1"/>
    <mergeCell ref="B38:C38"/>
    <mergeCell ref="A18:C18"/>
    <mergeCell ref="A19:C19"/>
    <mergeCell ref="A16:C16"/>
    <mergeCell ref="A17:C17"/>
    <mergeCell ref="A8:C8"/>
    <mergeCell ref="A9:C9"/>
    <mergeCell ref="A10:C10"/>
    <mergeCell ref="A11:C11"/>
    <mergeCell ref="A12:C12"/>
    <mergeCell ref="A13:C13"/>
    <mergeCell ref="A24:C24"/>
    <mergeCell ref="A25:C25"/>
    <mergeCell ref="B35:C35"/>
    <mergeCell ref="A34:C34"/>
    <mergeCell ref="A52:I52"/>
    <mergeCell ref="H1:I1"/>
    <mergeCell ref="A30:C30"/>
    <mergeCell ref="A54:H54"/>
    <mergeCell ref="A26:C26"/>
    <mergeCell ref="A27:C27"/>
    <mergeCell ref="D46:E46"/>
    <mergeCell ref="A45:C45"/>
    <mergeCell ref="A46:C46"/>
    <mergeCell ref="D45:E45"/>
    <mergeCell ref="A28:C28"/>
    <mergeCell ref="A29:C29"/>
    <mergeCell ref="A47:C47"/>
    <mergeCell ref="D47:E47"/>
    <mergeCell ref="A14:C14"/>
    <mergeCell ref="A15:C15"/>
    <mergeCell ref="A57:G57"/>
    <mergeCell ref="A43:I43"/>
    <mergeCell ref="F45:G45"/>
    <mergeCell ref="F46:G46"/>
    <mergeCell ref="A44:I44"/>
    <mergeCell ref="D50:E50"/>
    <mergeCell ref="H57:I57"/>
    <mergeCell ref="A48:C48"/>
    <mergeCell ref="A49:C49"/>
    <mergeCell ref="F50:G50"/>
    <mergeCell ref="F49:G49"/>
    <mergeCell ref="A55:G55"/>
    <mergeCell ref="A53:H53"/>
    <mergeCell ref="A56:C56"/>
    <mergeCell ref="D56:E56"/>
    <mergeCell ref="F56:I56"/>
    <mergeCell ref="F47:G47"/>
    <mergeCell ref="A51:H51"/>
    <mergeCell ref="D48:E48"/>
    <mergeCell ref="F48:G48"/>
    <mergeCell ref="A50:C50"/>
    <mergeCell ref="D49:E49"/>
    <mergeCell ref="A36:C36"/>
    <mergeCell ref="A37:C37"/>
    <mergeCell ref="A39:C39"/>
    <mergeCell ref="A40:C40"/>
    <mergeCell ref="A41:C41"/>
  </mergeCells>
  <phoneticPr fontId="0" type="noConversion"/>
  <dataValidations disablePrompts="1"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3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424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274</v>
      </c>
      <c r="B10" s="1143"/>
      <c r="C10" s="1143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113</v>
      </c>
      <c r="B11" s="1143"/>
      <c r="C11" s="1143"/>
      <c r="D11" s="844" t="e">
        <f t="shared" si="0"/>
        <v>#REF!</v>
      </c>
      <c r="E11" s="12">
        <v>0.3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157</v>
      </c>
      <c r="B12" s="1250"/>
      <c r="C12" s="1251"/>
      <c r="D12" s="844" t="e">
        <f t="shared" si="0"/>
        <v>#REF!</v>
      </c>
      <c r="E12" s="12">
        <v>0.08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49" t="s">
        <v>214</v>
      </c>
      <c r="B13" s="1250"/>
      <c r="C13" s="1251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154.58000000000001</v>
      </c>
      <c r="I24" s="69"/>
    </row>
    <row r="25" spans="1:9" x14ac:dyDescent="0.2">
      <c r="A25" s="1080" t="s">
        <v>517</v>
      </c>
      <c r="B25" s="1081"/>
      <c r="C25" s="1081"/>
      <c r="D25" s="33">
        <v>25</v>
      </c>
      <c r="E25" s="33"/>
      <c r="F25" s="12">
        <f t="shared" si="3"/>
        <v>58300</v>
      </c>
      <c r="G25" s="14">
        <v>0.1</v>
      </c>
      <c r="H25" s="7">
        <f t="shared" si="4"/>
        <v>233.2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387.78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73</v>
      </c>
      <c r="G46" s="1083"/>
      <c r="H46" s="7">
        <f>IF(A46&lt;&gt;0,ROUND(D46/F46,2),$J$1)</f>
        <v>2868.08</v>
      </c>
      <c r="I46" s="69"/>
    </row>
    <row r="47" spans="1:9" x14ac:dyDescent="0.2">
      <c r="A47" s="1080" t="s">
        <v>39</v>
      </c>
      <c r="B47" s="1081"/>
      <c r="C47" s="1081"/>
      <c r="D47" s="1082">
        <f>IF(A47&lt;&gt;0,VLOOKUP(A47,Cuadrillas,7,FALSE),$J$1)</f>
        <v>154270.22</v>
      </c>
      <c r="E47" s="1082"/>
      <c r="F47" s="1083">
        <v>40</v>
      </c>
      <c r="G47" s="1083"/>
      <c r="H47" s="7">
        <f>IF(A47&lt;&gt;0,ROUND(D47/F47,2),$J$1)</f>
        <v>3856.76</v>
      </c>
      <c r="I47" s="69"/>
    </row>
    <row r="48" spans="1:9" x14ac:dyDescent="0.2">
      <c r="A48" s="1080" t="s">
        <v>42</v>
      </c>
      <c r="B48" s="1081"/>
      <c r="C48" s="1081"/>
      <c r="D48" s="1082">
        <f>IF(A48&lt;&gt;0,VLOOKUP(A48,Cuadrillas,7,FALSE),$J$1)</f>
        <v>51423.41</v>
      </c>
      <c r="E48" s="1082"/>
      <c r="F48" s="1083">
        <v>20</v>
      </c>
      <c r="G48" s="1083"/>
      <c r="H48" s="7">
        <f>IF(A48&lt;&gt;0,ROUND(D48/F48,2),$J$1)</f>
        <v>2571.17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9296.01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9296.01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:C1"/>
    <mergeCell ref="B38:C38"/>
    <mergeCell ref="A18:C18"/>
    <mergeCell ref="A19:C19"/>
    <mergeCell ref="A16:C16"/>
    <mergeCell ref="A17:C17"/>
    <mergeCell ref="A8:C8"/>
    <mergeCell ref="A9:C9"/>
    <mergeCell ref="A10:C10"/>
    <mergeCell ref="A11:C11"/>
    <mergeCell ref="A12:C12"/>
    <mergeCell ref="A13:C13"/>
    <mergeCell ref="A24:C24"/>
    <mergeCell ref="A25:C25"/>
    <mergeCell ref="B35:C35"/>
    <mergeCell ref="A34:C34"/>
    <mergeCell ref="A52:I52"/>
    <mergeCell ref="H1:I1"/>
    <mergeCell ref="A30:C30"/>
    <mergeCell ref="A54:H54"/>
    <mergeCell ref="A26:C26"/>
    <mergeCell ref="A27:C27"/>
    <mergeCell ref="D46:E46"/>
    <mergeCell ref="A45:C45"/>
    <mergeCell ref="A46:C46"/>
    <mergeCell ref="D45:E45"/>
    <mergeCell ref="A28:C28"/>
    <mergeCell ref="A29:C29"/>
    <mergeCell ref="A47:C47"/>
    <mergeCell ref="D47:E47"/>
    <mergeCell ref="A14:C14"/>
    <mergeCell ref="A15:C15"/>
    <mergeCell ref="A57:G57"/>
    <mergeCell ref="A43:I43"/>
    <mergeCell ref="F45:G45"/>
    <mergeCell ref="F46:G46"/>
    <mergeCell ref="A44:I44"/>
    <mergeCell ref="D50:E50"/>
    <mergeCell ref="H57:I57"/>
    <mergeCell ref="A48:C48"/>
    <mergeCell ref="A49:C49"/>
    <mergeCell ref="F50:G50"/>
    <mergeCell ref="F49:G49"/>
    <mergeCell ref="A55:G55"/>
    <mergeCell ref="A53:H53"/>
    <mergeCell ref="A56:C56"/>
    <mergeCell ref="D56:E56"/>
    <mergeCell ref="F56:I56"/>
    <mergeCell ref="F47:G47"/>
    <mergeCell ref="A51:H51"/>
    <mergeCell ref="D48:E48"/>
    <mergeCell ref="F48:G48"/>
    <mergeCell ref="A50:C50"/>
    <mergeCell ref="D49:E49"/>
    <mergeCell ref="A36:C36"/>
    <mergeCell ref="A37:C37"/>
    <mergeCell ref="A39:C39"/>
    <mergeCell ref="A40:C40"/>
    <mergeCell ref="A41:C41"/>
  </mergeCells>
  <phoneticPr fontId="0" type="noConversion"/>
  <dataValidations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4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9.5" customHeight="1" x14ac:dyDescent="0.2">
      <c r="A8" s="1330" t="s">
        <v>426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0.01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274</v>
      </c>
      <c r="B10" s="1143"/>
      <c r="C10" s="1143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157</v>
      </c>
      <c r="B11" s="1143"/>
      <c r="C11" s="1143"/>
      <c r="D11" s="844" t="e">
        <f t="shared" si="0"/>
        <v>#REF!</v>
      </c>
      <c r="E11" s="12">
        <v>0.08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214</v>
      </c>
      <c r="B12" s="1250"/>
      <c r="C12" s="1251"/>
      <c r="D12" s="844" t="e">
        <f t="shared" si="0"/>
        <v>#REF!</v>
      </c>
      <c r="E12" s="12">
        <v>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23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161.30000000000001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161.30000000000001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20</v>
      </c>
      <c r="G46" s="1083"/>
      <c r="H46" s="7">
        <f>IF(A46&lt;&gt;0,ROUND(D46/F46,2),$J$1)</f>
        <v>10468.49</v>
      </c>
      <c r="I46" s="69"/>
    </row>
    <row r="47" spans="1:9" x14ac:dyDescent="0.2">
      <c r="A47" s="1080" t="s">
        <v>39</v>
      </c>
      <c r="B47" s="1081"/>
      <c r="C47" s="1081"/>
      <c r="D47" s="1082">
        <f>IF(A47&lt;&gt;0,VLOOKUP(A47,Cuadrillas,7,FALSE),$J$1)</f>
        <v>154270.22</v>
      </c>
      <c r="E47" s="1082"/>
      <c r="F47" s="1083">
        <v>40</v>
      </c>
      <c r="G47" s="1083"/>
      <c r="H47" s="7">
        <f>IF(A47&lt;&gt;0,ROUND(D47/F47,2),$J$1)</f>
        <v>3856.76</v>
      </c>
      <c r="I47" s="69"/>
    </row>
    <row r="48" spans="1:9" x14ac:dyDescent="0.2">
      <c r="A48" s="1080" t="s">
        <v>42</v>
      </c>
      <c r="B48" s="1081"/>
      <c r="C48" s="1081"/>
      <c r="D48" s="1082">
        <f>IF(A48&lt;&gt;0,VLOOKUP(A48,Cuadrillas,7,FALSE),$J$1)</f>
        <v>51423.41</v>
      </c>
      <c r="E48" s="1082"/>
      <c r="F48" s="1083">
        <v>20</v>
      </c>
      <c r="G48" s="1083"/>
      <c r="H48" s="7">
        <f>IF(A48&lt;&gt;0,ROUND(D48/F48,2),$J$1)</f>
        <v>2571.17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16896.419999999998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16896.419999999998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:C1"/>
    <mergeCell ref="B38:C38"/>
    <mergeCell ref="A11:C11"/>
    <mergeCell ref="A56:C56"/>
    <mergeCell ref="A37:C37"/>
    <mergeCell ref="A39:C39"/>
    <mergeCell ref="A40:C40"/>
    <mergeCell ref="A41:C41"/>
    <mergeCell ref="A12:C12"/>
    <mergeCell ref="A13:C13"/>
    <mergeCell ref="A24:C24"/>
    <mergeCell ref="A25:C25"/>
    <mergeCell ref="A14:C14"/>
    <mergeCell ref="A15:C15"/>
    <mergeCell ref="A18:C18"/>
    <mergeCell ref="A19:C19"/>
    <mergeCell ref="A16:C16"/>
    <mergeCell ref="A17:C17"/>
    <mergeCell ref="A55:G55"/>
    <mergeCell ref="A53:H53"/>
    <mergeCell ref="F50:G50"/>
    <mergeCell ref="D56:E56"/>
    <mergeCell ref="A28:C28"/>
    <mergeCell ref="A29:C29"/>
    <mergeCell ref="B35:C35"/>
    <mergeCell ref="A34:C34"/>
    <mergeCell ref="A36:C36"/>
    <mergeCell ref="A57:G57"/>
    <mergeCell ref="A43:I43"/>
    <mergeCell ref="F45:G45"/>
    <mergeCell ref="F46:G46"/>
    <mergeCell ref="A44:I44"/>
    <mergeCell ref="D50:E50"/>
    <mergeCell ref="H57:I57"/>
    <mergeCell ref="A48:C48"/>
    <mergeCell ref="A49:C49"/>
    <mergeCell ref="F47:G47"/>
    <mergeCell ref="A51:H51"/>
    <mergeCell ref="D48:E48"/>
    <mergeCell ref="F48:G48"/>
    <mergeCell ref="A50:C50"/>
    <mergeCell ref="D49:E49"/>
    <mergeCell ref="F56:I56"/>
    <mergeCell ref="H1:I1"/>
    <mergeCell ref="A30:C30"/>
    <mergeCell ref="A54:H54"/>
    <mergeCell ref="A26:C26"/>
    <mergeCell ref="A27:C27"/>
    <mergeCell ref="D46:E46"/>
    <mergeCell ref="A45:C45"/>
    <mergeCell ref="A46:C46"/>
    <mergeCell ref="D45:E45"/>
    <mergeCell ref="A47:C47"/>
    <mergeCell ref="D47:E47"/>
    <mergeCell ref="F49:G49"/>
    <mergeCell ref="A8:C8"/>
    <mergeCell ref="A9:C9"/>
    <mergeCell ref="A10:C10"/>
    <mergeCell ref="A52:I52"/>
  </mergeCells>
  <phoneticPr fontId="0" type="noConversion"/>
  <dataValidations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FF00"/>
    <pageSetUpPr fitToPage="1"/>
  </sheetPr>
  <dimension ref="A1:K61"/>
  <sheetViews>
    <sheetView view="pageBreakPreview" topLeftCell="A40" zoomScale="85" zoomScaleNormal="100" zoomScaleSheetLayoutView="85" workbookViewId="0">
      <selection activeCell="A37" sqref="A37:C37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20.25" thickTop="1" x14ac:dyDescent="0.2">
      <c r="A1" s="1131"/>
      <c r="B1" s="1220"/>
      <c r="C1" s="1220"/>
      <c r="D1" s="93"/>
      <c r="E1" s="93"/>
      <c r="F1" s="93"/>
      <c r="G1" s="93"/>
      <c r="H1" s="1129"/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43" t="str">
        <f>'Datos entrada'!B2</f>
        <v>Análisis de Precios Unitarios</v>
      </c>
      <c r="B3" s="244"/>
      <c r="C3" s="244"/>
      <c r="D3" s="244"/>
      <c r="E3" s="244"/>
      <c r="F3" s="244"/>
      <c r="G3" s="244"/>
      <c r="H3" s="244"/>
      <c r="I3" s="245"/>
    </row>
    <row r="4" spans="1:10" s="10" customFormat="1" ht="36.7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47" t="s">
        <v>2297</v>
      </c>
      <c r="C5" s="1227" t="s">
        <v>2299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155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2292</v>
      </c>
      <c r="G7" s="254"/>
      <c r="H7" s="879" t="s">
        <v>2216</v>
      </c>
      <c r="I7" s="72"/>
    </row>
    <row r="8" spans="1:10" x14ac:dyDescent="0.2">
      <c r="A8" s="1122" t="s">
        <v>210</v>
      </c>
      <c r="B8" s="1216"/>
      <c r="C8" s="1217"/>
      <c r="D8" s="851" t="e">
        <f t="shared" ref="D8:D18" si="0">IF(A8&lt;&gt;0,VLOOKUP(A8,Materiales,2,FALSE),$J$1)</f>
        <v>#REF!</v>
      </c>
      <c r="E8" s="12">
        <v>450</v>
      </c>
      <c r="F8" s="21" t="e">
        <f t="shared" ref="F8:F18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154</v>
      </c>
      <c r="B9" s="1216"/>
      <c r="C9" s="1217"/>
      <c r="D9" s="851" t="e">
        <f t="shared" si="0"/>
        <v>#REF!</v>
      </c>
      <c r="E9" s="12">
        <v>1.0900000000000001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139</v>
      </c>
      <c r="B10" s="1216"/>
      <c r="C10" s="1217"/>
      <c r="D10" s="851" t="e">
        <f t="shared" si="0"/>
        <v>#REF!</v>
      </c>
      <c r="E10" s="12">
        <v>250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349</v>
      </c>
      <c r="B11" s="1216"/>
      <c r="C11" s="1217"/>
      <c r="D11" s="851" t="e">
        <f t="shared" si="0"/>
        <v>#REF!</v>
      </c>
      <c r="E11" s="12">
        <v>12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si="1"/>
        <v>-</v>
      </c>
      <c r="G12" s="22"/>
      <c r="H12" s="8" t="str">
        <f t="shared" si="2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871"/>
      <c r="B14" s="872"/>
      <c r="C14" s="873"/>
      <c r="D14" s="101" t="str">
        <f t="shared" si="0"/>
        <v>-</v>
      </c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1"/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1"/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902"/>
      <c r="C21" s="902"/>
      <c r="D21" s="902"/>
      <c r="E21" s="902"/>
      <c r="F21" s="902"/>
      <c r="G21" s="902"/>
      <c r="H21" s="902"/>
      <c r="I21" s="903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</v>
      </c>
      <c r="E23" s="28"/>
      <c r="F23" s="12">
        <f t="shared" ref="F23:F29" si="3">IF(A23&lt;&gt;0,VLOOKUP(A23,Equipos,6,FALSE),$J$1)</f>
        <v>3710</v>
      </c>
      <c r="G23" s="14">
        <v>0.75</v>
      </c>
      <c r="H23" s="8">
        <f t="shared" ref="H23:H29" si="4">IF(A23&lt;&gt;0,ROUND((F23/D23)*G23,2),$J$1)</f>
        <v>2782.5</v>
      </c>
      <c r="I23" s="69"/>
    </row>
    <row r="24" spans="1:9" x14ac:dyDescent="0.2">
      <c r="A24" s="1215" t="s">
        <v>478</v>
      </c>
      <c r="B24" s="1216"/>
      <c r="C24" s="1217"/>
      <c r="D24" s="26">
        <v>0.3</v>
      </c>
      <c r="E24" s="28"/>
      <c r="F24" s="12">
        <f t="shared" si="3"/>
        <v>63600</v>
      </c>
      <c r="G24" s="14">
        <v>0.05</v>
      </c>
      <c r="H24" s="8">
        <f t="shared" si="4"/>
        <v>10600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13382.5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902"/>
      <c r="C32" s="902"/>
      <c r="D32" s="902"/>
      <c r="E32" s="902"/>
      <c r="F32" s="902"/>
      <c r="G32" s="902"/>
      <c r="H32" s="902"/>
      <c r="I32" s="903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1086"/>
      <c r="B34" s="1087"/>
      <c r="C34" s="1119"/>
      <c r="D34" s="46"/>
      <c r="E34" s="47"/>
      <c r="F34" s="51"/>
      <c r="G34" s="12"/>
      <c r="H34" s="8"/>
      <c r="I34" s="69"/>
    </row>
    <row r="35" spans="1:9" x14ac:dyDescent="0.2">
      <c r="A35" s="871"/>
      <c r="B35" s="1127" t="s">
        <v>2226</v>
      </c>
      <c r="C35" s="1128"/>
      <c r="D35" s="46"/>
      <c r="E35" s="47"/>
      <c r="F35" s="15"/>
      <c r="G35" s="12"/>
      <c r="H35" s="8"/>
      <c r="I35" s="314">
        <f>SUM(H36:H37)</f>
        <v>0</v>
      </c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>IF(A36&lt;&gt;0,VLOOKUP(A36,Transporte,2,FALSE),$J$1)</f>
        <v>-</v>
      </c>
      <c r="G36" s="12"/>
      <c r="H36" s="8" t="str">
        <f>IF(A36&lt;&gt;0,D36/F36*G36,$J$1)</f>
        <v>-</v>
      </c>
      <c r="I36" s="69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>IF(A37&lt;&gt;0,VLOOKUP(A37,Transporte,2,FALSE),$J$1)</f>
        <v>-</v>
      </c>
      <c r="G37" s="12"/>
      <c r="H37" s="8" t="str">
        <f>IF(A37&lt;&gt;0,D37/F37*G37,$J$1)</f>
        <v>-</v>
      </c>
      <c r="I37" s="69"/>
    </row>
    <row r="38" spans="1:9" x14ac:dyDescent="0.2">
      <c r="A38" s="871"/>
      <c r="B38" s="1127" t="s">
        <v>2227</v>
      </c>
      <c r="C38" s="1128"/>
      <c r="D38" s="46"/>
      <c r="E38" s="47"/>
      <c r="F38" s="15"/>
      <c r="G38" s="12"/>
      <c r="H38" s="8"/>
      <c r="I38" s="312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>IF(A39&lt;&gt;0,VLOOKUP(A39,Transporte,2,FALSE),$J$1)</f>
        <v>-</v>
      </c>
      <c r="G39" s="12"/>
      <c r="H39" s="8" t="str">
        <f>IF(A39&lt;&gt;0,D39/F39*G39,$J$1)</f>
        <v>-</v>
      </c>
      <c r="I39" s="69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>IF(A40&lt;&gt;0,VLOOKUP(A40,Transporte,2,FALSE),$J$1)</f>
        <v>-</v>
      </c>
      <c r="G40" s="12"/>
      <c r="H40" s="8" t="str">
        <f>IF(A40&lt;&gt;0,D40/F40*G40,$J$1)</f>
        <v>-</v>
      </c>
      <c r="I40" s="73"/>
    </row>
    <row r="41" spans="1:9" x14ac:dyDescent="0.2">
      <c r="A41" s="1084" t="s">
        <v>2237</v>
      </c>
      <c r="B41" s="1085"/>
      <c r="C41" s="1085"/>
      <c r="D41" s="1085"/>
      <c r="E41" s="1085"/>
      <c r="F41" s="1085"/>
      <c r="G41" s="1085"/>
      <c r="H41" s="1133"/>
      <c r="I41" s="315">
        <f>SUM(I35:I40)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48</v>
      </c>
      <c r="B45" s="1216"/>
      <c r="C45" s="1217"/>
      <c r="D45" s="1225">
        <f>IF(A45&lt;&gt;0,VLOOKUP(A45,Cuadrillas,7,FALSE),$J$1)</f>
        <v>329249.03000000003</v>
      </c>
      <c r="E45" s="1226"/>
      <c r="F45" s="1221">
        <v>5</v>
      </c>
      <c r="G45" s="1222"/>
      <c r="H45" s="8">
        <f>IF(A45&lt;&gt;0,ROUND(D45/F45,2),$J$1)</f>
        <v>65849.81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65849.81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65849.81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05" t="e">
        <f>I54+F55</f>
        <v>#REF!</v>
      </c>
      <c r="I56" s="106"/>
    </row>
    <row r="57" spans="1:11" ht="14.25" thickTop="1" thickBot="1" x14ac:dyDescent="0.25"/>
    <row r="58" spans="1:11" ht="13.5" thickTop="1" x14ac:dyDescent="0.2">
      <c r="A58" s="983" t="str">
        <f>+'Datos entrada'!$B$5</f>
        <v>INGENIERO CIVIL HEBER EDUARDO YEPES VILLOTA</v>
      </c>
      <c r="B58" s="983"/>
      <c r="C58" s="983"/>
      <c r="D58" s="983"/>
      <c r="E58" s="983"/>
      <c r="F58" s="983"/>
      <c r="G58" s="983"/>
      <c r="H58" s="983"/>
      <c r="I58" s="983"/>
    </row>
    <row r="59" spans="1:11" x14ac:dyDescent="0.2">
      <c r="A59" s="984"/>
      <c r="B59" s="984"/>
      <c r="C59" s="984"/>
      <c r="D59" s="984"/>
      <c r="E59" s="984"/>
      <c r="F59" s="984"/>
      <c r="G59" s="984"/>
      <c r="H59" s="984"/>
      <c r="I59" s="984"/>
    </row>
    <row r="60" spans="1:11" x14ac:dyDescent="0.2">
      <c r="A60" s="984"/>
      <c r="B60" s="984"/>
      <c r="C60" s="984"/>
      <c r="D60" s="984"/>
      <c r="E60" s="984"/>
      <c r="F60" s="984"/>
      <c r="G60" s="984"/>
      <c r="H60" s="984"/>
      <c r="I60" s="984"/>
    </row>
    <row r="61" spans="1:11" ht="12.75" customHeight="1" x14ac:dyDescent="0.2">
      <c r="A61" s="984"/>
      <c r="B61" s="984"/>
      <c r="C61" s="984"/>
      <c r="D61" s="984"/>
      <c r="E61" s="984"/>
      <c r="F61" s="984"/>
      <c r="G61" s="984"/>
      <c r="H61" s="984"/>
      <c r="I61" s="984"/>
    </row>
  </sheetData>
  <customSheetViews>
    <customSheetView guid="{93F324B6-F965-4669-93FF-DBB148734A46}" fitToPage="1">
      <selection activeCell="L4" sqref="L4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3">
    <mergeCell ref="A58:I61"/>
    <mergeCell ref="A1:C1"/>
    <mergeCell ref="B35:C35"/>
    <mergeCell ref="B38:C38"/>
    <mergeCell ref="F45:G45"/>
    <mergeCell ref="D44:E44"/>
    <mergeCell ref="A41:H41"/>
    <mergeCell ref="D45:E45"/>
    <mergeCell ref="H1:I1"/>
    <mergeCell ref="C5:I5"/>
    <mergeCell ref="A8:C8"/>
    <mergeCell ref="A24:C24"/>
    <mergeCell ref="A9:C9"/>
    <mergeCell ref="A10:C10"/>
    <mergeCell ref="A34:C34"/>
    <mergeCell ref="A11:C11"/>
    <mergeCell ref="A23:C23"/>
    <mergeCell ref="A55:C55"/>
    <mergeCell ref="D55:E55"/>
    <mergeCell ref="A53:H53"/>
    <mergeCell ref="A52:H52"/>
    <mergeCell ref="A51:I51"/>
    <mergeCell ref="A50:H50"/>
    <mergeCell ref="A48:C48"/>
    <mergeCell ref="F49:G49"/>
    <mergeCell ref="A49:C49"/>
    <mergeCell ref="D49:E49"/>
    <mergeCell ref="D48:E48"/>
    <mergeCell ref="F48:G48"/>
    <mergeCell ref="A42:I42"/>
    <mergeCell ref="A43:I43"/>
    <mergeCell ref="A44:C44"/>
    <mergeCell ref="A56:G56"/>
    <mergeCell ref="A54:G54"/>
    <mergeCell ref="F55:I55"/>
    <mergeCell ref="A45:C45"/>
    <mergeCell ref="F44:G44"/>
    <mergeCell ref="F47:G47"/>
    <mergeCell ref="F46:G46"/>
    <mergeCell ref="D47:E47"/>
    <mergeCell ref="A47:C47"/>
    <mergeCell ref="A46:C46"/>
    <mergeCell ref="D46:E46"/>
  </mergeCells>
  <phoneticPr fontId="0" type="noConversion"/>
  <dataValidations count="5">
    <dataValidation type="list" allowBlank="1" showInputMessage="1" showErrorMessage="1" sqref="A12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:A11">
      <formula1>Descripción</formula1>
    </dataValidation>
    <dataValidation type="list" allowBlank="1" showInputMessage="1" showErrorMessage="1" sqref="B25:C29 A23:A29 B36:C37 B39:C40 B38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2" orientation="portrait" blackAndWhite="1" errors="blank" r:id="rId2"/>
  <headerFooter alignWithMargins="0">
    <oddFooter xml:space="preserve">&amp;C  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6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113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274</v>
      </c>
      <c r="B10" s="1143"/>
      <c r="C10" s="1143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157</v>
      </c>
      <c r="B11" s="1143"/>
      <c r="C11" s="1143"/>
      <c r="D11" s="844" t="e">
        <f t="shared" si="0"/>
        <v>#REF!</v>
      </c>
      <c r="E11" s="12">
        <v>1E-3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214</v>
      </c>
      <c r="B12" s="1250"/>
      <c r="C12" s="1251"/>
      <c r="D12" s="844" t="e">
        <f t="shared" si="0"/>
        <v>#REF!</v>
      </c>
      <c r="E12" s="12">
        <v>0.5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154.58000000000001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154.58000000000001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70" t="s">
        <v>26</v>
      </c>
      <c r="B34" s="1271"/>
      <c r="C34" s="1272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83"/>
    </row>
    <row r="35" spans="1:9" x14ac:dyDescent="0.2">
      <c r="B35" s="1346" t="s">
        <v>2226</v>
      </c>
      <c r="C35" s="1346"/>
      <c r="D35" s="364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73</v>
      </c>
      <c r="G46" s="1083"/>
      <c r="H46" s="7">
        <f>IF(A46&lt;&gt;0,ROUND(D46/F46,2),$J$1)</f>
        <v>2868.08</v>
      </c>
      <c r="I46" s="69"/>
    </row>
    <row r="47" spans="1:9" x14ac:dyDescent="0.2">
      <c r="A47" s="1080" t="s">
        <v>39</v>
      </c>
      <c r="B47" s="1081"/>
      <c r="C47" s="1081"/>
      <c r="D47" s="1082">
        <f>IF(A47&lt;&gt;0,VLOOKUP(A47,Cuadrillas,7,FALSE),$J$1)</f>
        <v>154270.22</v>
      </c>
      <c r="E47" s="1082"/>
      <c r="F47" s="1083">
        <v>100</v>
      </c>
      <c r="G47" s="1083"/>
      <c r="H47" s="7">
        <f>IF(A47&lt;&gt;0,ROUND(D47/F47,2),$J$1)</f>
        <v>1542.7</v>
      </c>
      <c r="I47" s="69"/>
    </row>
    <row r="48" spans="1:9" x14ac:dyDescent="0.2">
      <c r="A48" s="1080" t="s">
        <v>42</v>
      </c>
      <c r="B48" s="1081"/>
      <c r="C48" s="1081"/>
      <c r="D48" s="1082">
        <f>IF(A48&lt;&gt;0,VLOOKUP(A48,Cuadrillas,7,FALSE),$J$1)</f>
        <v>51423.41</v>
      </c>
      <c r="E48" s="1082"/>
      <c r="F48" s="1083">
        <v>200</v>
      </c>
      <c r="G48" s="1083"/>
      <c r="H48" s="7">
        <f>IF(A48&lt;&gt;0,ROUND(D48/F48,2),$J$1)</f>
        <v>257.12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4667.8999999999996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4667.8999999999996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:C1"/>
    <mergeCell ref="B38:C38"/>
    <mergeCell ref="A11:C11"/>
    <mergeCell ref="A56:C56"/>
    <mergeCell ref="A37:C37"/>
    <mergeCell ref="A39:C39"/>
    <mergeCell ref="A40:C40"/>
    <mergeCell ref="A41:C41"/>
    <mergeCell ref="A12:C12"/>
    <mergeCell ref="A13:C13"/>
    <mergeCell ref="A24:C24"/>
    <mergeCell ref="A25:C25"/>
    <mergeCell ref="A14:C14"/>
    <mergeCell ref="A15:C15"/>
    <mergeCell ref="A18:C18"/>
    <mergeCell ref="A19:C19"/>
    <mergeCell ref="A16:C16"/>
    <mergeCell ref="A17:C17"/>
    <mergeCell ref="A55:G55"/>
    <mergeCell ref="A53:H53"/>
    <mergeCell ref="F50:G50"/>
    <mergeCell ref="D56:E56"/>
    <mergeCell ref="A28:C28"/>
    <mergeCell ref="A29:C29"/>
    <mergeCell ref="B35:C35"/>
    <mergeCell ref="A34:C34"/>
    <mergeCell ref="A36:C36"/>
    <mergeCell ref="A57:G57"/>
    <mergeCell ref="A43:I43"/>
    <mergeCell ref="F45:G45"/>
    <mergeCell ref="F46:G46"/>
    <mergeCell ref="A44:I44"/>
    <mergeCell ref="D50:E50"/>
    <mergeCell ref="H57:I57"/>
    <mergeCell ref="A48:C48"/>
    <mergeCell ref="A49:C49"/>
    <mergeCell ref="F47:G47"/>
    <mergeCell ref="A51:H51"/>
    <mergeCell ref="D48:E48"/>
    <mergeCell ref="F48:G48"/>
    <mergeCell ref="A50:C50"/>
    <mergeCell ref="D49:E49"/>
    <mergeCell ref="F56:I56"/>
    <mergeCell ref="H1:I1"/>
    <mergeCell ref="A30:C30"/>
    <mergeCell ref="A54:H54"/>
    <mergeCell ref="A26:C26"/>
    <mergeCell ref="A27:C27"/>
    <mergeCell ref="D46:E46"/>
    <mergeCell ref="A45:C45"/>
    <mergeCell ref="A46:C46"/>
    <mergeCell ref="D45:E45"/>
    <mergeCell ref="A47:C47"/>
    <mergeCell ref="D47:E47"/>
    <mergeCell ref="F49:G49"/>
    <mergeCell ref="A8:C8"/>
    <mergeCell ref="A9:C9"/>
    <mergeCell ref="A10:C10"/>
    <mergeCell ref="A52:I52"/>
  </mergeCells>
  <phoneticPr fontId="0" type="noConversion"/>
  <dataValidations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2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9.5" customHeight="1" x14ac:dyDescent="0.2">
      <c r="A8" s="1330" t="s">
        <v>115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274</v>
      </c>
      <c r="B9" s="1143"/>
      <c r="C9" s="1143"/>
      <c r="D9" s="844" t="e">
        <f t="shared" si="0"/>
        <v>#REF!</v>
      </c>
      <c r="E9" s="12">
        <v>0.01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355</v>
      </c>
      <c r="B10" s="1143"/>
      <c r="C10" s="1143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157</v>
      </c>
      <c r="B11" s="1143"/>
      <c r="C11" s="1143"/>
      <c r="D11" s="844" t="e">
        <f t="shared" si="0"/>
        <v>#REF!</v>
      </c>
      <c r="E11" s="12">
        <v>0.01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214</v>
      </c>
      <c r="B12" s="1250"/>
      <c r="C12" s="1251"/>
      <c r="D12" s="844" t="e">
        <f t="shared" si="0"/>
        <v>#REF!</v>
      </c>
      <c r="E12" s="12">
        <v>0.5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23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161.30000000000001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161.30000000000001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73</v>
      </c>
      <c r="G46" s="1083"/>
      <c r="H46" s="7">
        <f>IF(A46&lt;&gt;0,ROUND(D46/F46,2),$J$1)</f>
        <v>2868.08</v>
      </c>
      <c r="I46" s="69"/>
    </row>
    <row r="47" spans="1:9" x14ac:dyDescent="0.2">
      <c r="A47" s="1080" t="s">
        <v>39</v>
      </c>
      <c r="B47" s="1081"/>
      <c r="C47" s="1081"/>
      <c r="D47" s="1082">
        <f>IF(A47&lt;&gt;0,VLOOKUP(A47,Cuadrillas,7,FALSE),$J$1)</f>
        <v>154270.22</v>
      </c>
      <c r="E47" s="1082"/>
      <c r="F47" s="1083">
        <v>100</v>
      </c>
      <c r="G47" s="1083"/>
      <c r="H47" s="7">
        <f>IF(A47&lt;&gt;0,ROUND(D47/F47,2),$J$1)</f>
        <v>1542.7</v>
      </c>
      <c r="I47" s="69"/>
    </row>
    <row r="48" spans="1:9" x14ac:dyDescent="0.2">
      <c r="A48" s="1080" t="s">
        <v>42</v>
      </c>
      <c r="B48" s="1081"/>
      <c r="C48" s="1081"/>
      <c r="D48" s="1082">
        <f>IF(A48&lt;&gt;0,VLOOKUP(A48,Cuadrillas,7,FALSE),$J$1)</f>
        <v>51423.41</v>
      </c>
      <c r="E48" s="1082"/>
      <c r="F48" s="1083">
        <v>200</v>
      </c>
      <c r="G48" s="1083"/>
      <c r="H48" s="7">
        <f>IF(A48&lt;&gt;0,ROUND(D48/F48,2),$J$1)</f>
        <v>257.12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4667.8999999999996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4667.8999999999996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4:I44"/>
    <mergeCell ref="A45:C45"/>
    <mergeCell ref="D45:E45"/>
    <mergeCell ref="F45:G45"/>
    <mergeCell ref="A46:C46"/>
    <mergeCell ref="D46:E46"/>
    <mergeCell ref="F46:G4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5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5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413</v>
      </c>
      <c r="B8" s="1331"/>
      <c r="C8" s="1331"/>
      <c r="D8" s="844" t="e">
        <f t="shared" ref="D8:D19" si="0">IF(A8&lt;&gt;0,VLOOKUP(A8,Materiales,2,FALSE),$J$1)</f>
        <v>#REF!</v>
      </c>
      <c r="E8" s="12">
        <v>1.05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215</v>
      </c>
      <c r="B9" s="1143"/>
      <c r="C9" s="1143"/>
      <c r="D9" s="844" t="e">
        <f t="shared" si="0"/>
        <v>#REF!</v>
      </c>
      <c r="E9" s="12">
        <v>0.2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225</v>
      </c>
      <c r="B10" s="1143"/>
      <c r="C10" s="1143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148.4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38</v>
      </c>
      <c r="G46" s="1083"/>
      <c r="H46" s="7">
        <f>IF(A46&lt;&gt;0,ROUND(D46/F46,2),$J$1)</f>
        <v>5509.73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5509.73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5509.73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6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5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215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226</v>
      </c>
      <c r="B10" s="1143"/>
      <c r="C10" s="1143"/>
      <c r="D10" s="844" t="e">
        <f t="shared" si="0"/>
        <v>#REF!</v>
      </c>
      <c r="E10" s="12">
        <v>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148.4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500</v>
      </c>
      <c r="G46" s="1083"/>
      <c r="H46" s="7">
        <f>IF(A46&lt;&gt;0,ROUND(D46/F46,2),$J$1)</f>
        <v>418.74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418.74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418.74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7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337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385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138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154.58000000000001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154.58000000000001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127" t="s">
        <v>2226</v>
      </c>
      <c r="C35" s="1127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30</v>
      </c>
      <c r="G46" s="1083"/>
      <c r="H46" s="7">
        <f>IF(A46&lt;&gt;0,ROUND(D46/F46,2),$J$1)</f>
        <v>6978.99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6978.99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6978.99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disablePrompts="1"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8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5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338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385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138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154.58000000000001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154.58000000000001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127" t="s">
        <v>2226</v>
      </c>
      <c r="C35" s="1127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28</v>
      </c>
      <c r="G46" s="1083"/>
      <c r="H46" s="7">
        <f>IF(A46&lt;&gt;0,ROUND(D46/F46,2),$J$1)</f>
        <v>7477.49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7477.49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7477.49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disablePrompts="1"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9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195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291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/>
      <c r="B10" s="1143"/>
      <c r="C10" s="1143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154.58000000000001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154.58000000000001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127" t="s">
        <v>2226</v>
      </c>
      <c r="C35" s="1127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48</v>
      </c>
      <c r="B46" s="1081"/>
      <c r="C46" s="1081"/>
      <c r="D46" s="1082">
        <f>IF(A46&lt;&gt;0,VLOOKUP(A46,Cuadrillas,7,FALSE),$J$1)</f>
        <v>329249.03000000003</v>
      </c>
      <c r="E46" s="1082"/>
      <c r="F46" s="1083">
        <v>18</v>
      </c>
      <c r="G46" s="1083"/>
      <c r="H46" s="7">
        <f>IF(A46&lt;&gt;0,ROUND(D46/F46,2),$J$1)</f>
        <v>18291.61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18291.61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18291.61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disablePrompts="1"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0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418</v>
      </c>
      <c r="B8" s="1331"/>
      <c r="C8" s="1331"/>
      <c r="D8" s="844" t="e">
        <f t="shared" ref="D8:D19" si="0">IF(A8&lt;&gt;0,VLOOKUP(A8,Materiales,2,FALSE),$J$1)</f>
        <v>#REF!</v>
      </c>
      <c r="E8" s="12">
        <v>1.5</v>
      </c>
      <c r="F8" s="58" t="e">
        <f t="shared" ref="F8:F16" si="1">IF(A8&lt;&gt;0,VLOOKUP(A8,Materiales,6,FALSE),$J$1)</f>
        <v>#REF!</v>
      </c>
      <c r="G8" s="58"/>
      <c r="H8" s="7" t="e">
        <f t="shared" ref="H8:H16" si="2">IF(A8&lt;&gt;0,ROUND(E8*F8,2),$J$1)</f>
        <v>#REF!</v>
      </c>
      <c r="I8" s="69"/>
    </row>
    <row r="9" spans="1:10" x14ac:dyDescent="0.2">
      <c r="A9" s="1142" t="s">
        <v>435</v>
      </c>
      <c r="B9" s="1143"/>
      <c r="C9" s="1143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220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135</v>
      </c>
      <c r="B11" s="1143"/>
      <c r="C11" s="1143"/>
      <c r="D11" s="844" t="e">
        <f t="shared" si="0"/>
        <v>#REF!</v>
      </c>
      <c r="E11" s="12">
        <v>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377</v>
      </c>
      <c r="B12" s="1250"/>
      <c r="C12" s="1251"/>
      <c r="D12" s="844" t="e">
        <f t="shared" si="0"/>
        <v>#REF!</v>
      </c>
      <c r="E12" s="12">
        <v>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142" t="s">
        <v>441</v>
      </c>
      <c r="B13" s="1143"/>
      <c r="C13" s="1143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137" t="s">
        <v>224</v>
      </c>
      <c r="B14" s="1143"/>
      <c r="C14" s="1143"/>
      <c r="D14" s="844" t="e">
        <f t="shared" si="0"/>
        <v>#REF!</v>
      </c>
      <c r="E14" s="12">
        <v>1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120" t="s">
        <v>355</v>
      </c>
      <c r="B15" s="1121"/>
      <c r="C15" s="1121"/>
      <c r="D15" s="844" t="e">
        <f t="shared" si="0"/>
        <v>#REF!</v>
      </c>
      <c r="E15" s="12">
        <v>0.15</v>
      </c>
      <c r="F15" s="58" t="e">
        <f t="shared" si="1"/>
        <v>#REF!</v>
      </c>
      <c r="G15" s="58"/>
      <c r="H15" s="7" t="e">
        <f t="shared" si="2"/>
        <v>#REF!</v>
      </c>
      <c r="I15" s="349"/>
    </row>
    <row r="16" spans="1:10" x14ac:dyDescent="0.2">
      <c r="A16" s="1120" t="s">
        <v>274</v>
      </c>
      <c r="B16" s="1121"/>
      <c r="C16" s="1121"/>
      <c r="D16" s="844" t="e">
        <f t="shared" si="0"/>
        <v>#REF!</v>
      </c>
      <c r="E16" s="12">
        <v>0.15</v>
      </c>
      <c r="F16" s="58" t="e">
        <f t="shared" si="1"/>
        <v>#REF!</v>
      </c>
      <c r="G16" s="58"/>
      <c r="H16" s="7" t="e">
        <f t="shared" si="2"/>
        <v>#REF!</v>
      </c>
      <c r="I16" s="304"/>
    </row>
    <row r="17" spans="1:9" x14ac:dyDescent="0.2">
      <c r="A17" s="1122" t="s">
        <v>215</v>
      </c>
      <c r="B17" s="1123"/>
      <c r="C17" s="1124"/>
      <c r="D17" s="844" t="e">
        <f t="shared" si="0"/>
        <v>#REF!</v>
      </c>
      <c r="E17" s="12">
        <v>0.2</v>
      </c>
      <c r="F17" s="58" t="e">
        <f>IF(A17&lt;&gt;0,VLOOKUP(A17,Materiales,6,FALSE),$J$1)</f>
        <v>#REF!</v>
      </c>
      <c r="G17" s="58"/>
      <c r="H17" s="7" t="e">
        <f>IF(A17&lt;&gt;0,ROUND(E17*F17,2),$J$1)</f>
        <v>#REF!</v>
      </c>
      <c r="I17" s="304"/>
    </row>
    <row r="18" spans="1:9" x14ac:dyDescent="0.2">
      <c r="A18" s="1347"/>
      <c r="B18" s="1348"/>
      <c r="C18" s="1349"/>
      <c r="D18" s="844" t="str">
        <f t="shared" si="0"/>
        <v>-</v>
      </c>
      <c r="E18" s="12"/>
      <c r="F18" s="58" t="str">
        <f>IF(A18&lt;&gt;0,VLOOKUP(A18,Materiales,6,FALSE),$J$1)</f>
        <v>-</v>
      </c>
      <c r="G18" s="58"/>
      <c r="H18" s="7" t="str">
        <f>IF(A18&lt;&gt;0,ROUND(E18*F18,2),$J$1)</f>
        <v>-</v>
      </c>
      <c r="I18" s="304"/>
    </row>
    <row r="19" spans="1:9" x14ac:dyDescent="0.2">
      <c r="A19" s="1347"/>
      <c r="B19" s="1348"/>
      <c r="C19" s="1349"/>
      <c r="D19" s="844" t="str">
        <f t="shared" si="0"/>
        <v>-</v>
      </c>
      <c r="E19" s="523"/>
      <c r="F19" s="58" t="str">
        <f>IF(A19&lt;&gt;0,VLOOKUP(A19,Materiales,6,FALSE),$J$1)</f>
        <v>-</v>
      </c>
      <c r="G19" s="58"/>
      <c r="H19" s="7" t="str">
        <f>IF(A19&lt;&gt;0,ROUND(E19*F19,2),$J$1)</f>
        <v>-</v>
      </c>
      <c r="I19" s="304"/>
    </row>
    <row r="20" spans="1:9" s="350" customFormat="1" x14ac:dyDescent="0.2">
      <c r="A20" s="884" t="s">
        <v>2217</v>
      </c>
      <c r="B20" s="885"/>
      <c r="C20" s="885"/>
      <c r="D20" s="323"/>
      <c r="E20" s="893"/>
      <c r="F20" s="893"/>
      <c r="G20" s="893"/>
      <c r="H20" s="894"/>
      <c r="I20" s="937" t="e">
        <f>SUM(H8:H16)</f>
        <v>#REF!</v>
      </c>
    </row>
    <row r="21" spans="1:9" x14ac:dyDescent="0.2">
      <c r="A21" s="356"/>
      <c r="B21" s="357"/>
      <c r="C21" s="357"/>
      <c r="D21" s="357"/>
      <c r="E21" s="357"/>
      <c r="F21" s="357"/>
      <c r="G21" s="357"/>
      <c r="H21" s="357"/>
      <c r="I21" s="358"/>
    </row>
    <row r="22" spans="1:9" x14ac:dyDescent="0.2">
      <c r="A22" s="875" t="s">
        <v>454</v>
      </c>
      <c r="B22" s="876"/>
      <c r="C22" s="876"/>
      <c r="D22" s="876"/>
      <c r="E22" s="876"/>
      <c r="F22" s="876"/>
      <c r="G22" s="876"/>
      <c r="H22" s="876"/>
      <c r="I22" s="286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1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29" si="4">IF(A24&lt;&gt;0,ROUND((F24/D24)*G24,2),$J$1)</f>
        <v>3710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256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360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/>
      <c r="I30" s="304"/>
    </row>
    <row r="31" spans="1:9" x14ac:dyDescent="0.2">
      <c r="A31" s="887" t="s">
        <v>2221</v>
      </c>
      <c r="B31" s="888"/>
      <c r="C31" s="888"/>
      <c r="D31" s="323"/>
      <c r="E31" s="893"/>
      <c r="F31" s="893"/>
      <c r="G31" s="893"/>
      <c r="H31" s="894"/>
      <c r="I31" s="937">
        <f>SUM(H24:H30)</f>
        <v>3710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81"/>
    </row>
    <row r="33" spans="1:9" x14ac:dyDescent="0.2">
      <c r="A33" s="1354" t="s">
        <v>2222</v>
      </c>
      <c r="B33" s="1355"/>
      <c r="C33" s="1355"/>
      <c r="D33" s="876"/>
      <c r="E33" s="876"/>
      <c r="F33" s="876"/>
      <c r="G33" s="876"/>
      <c r="H33" s="876"/>
      <c r="I33" s="877"/>
    </row>
    <row r="34" spans="1:9" s="9" customFormat="1" ht="25.5" x14ac:dyDescent="0.2">
      <c r="A34" s="227" t="s">
        <v>26</v>
      </c>
      <c r="B34" s="225"/>
      <c r="C34" s="225"/>
      <c r="D34" s="225" t="s">
        <v>2218</v>
      </c>
      <c r="E34" s="225"/>
      <c r="F34" s="225" t="s">
        <v>2219</v>
      </c>
      <c r="G34" s="858" t="s">
        <v>2220</v>
      </c>
      <c r="H34" s="858" t="s">
        <v>2216</v>
      </c>
      <c r="I34" s="384"/>
    </row>
    <row r="35" spans="1:9" x14ac:dyDescent="0.2">
      <c r="A35" s="890"/>
      <c r="B35" s="1334" t="s">
        <v>2226</v>
      </c>
      <c r="C35" s="1334"/>
      <c r="D35" s="46"/>
      <c r="E35" s="47"/>
      <c r="F35" s="15"/>
      <c r="G35" s="12"/>
      <c r="H35" s="7"/>
      <c r="I35" s="946">
        <f>SUM(H36:H38)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947"/>
    </row>
    <row r="37" spans="1:9" x14ac:dyDescent="0.2">
      <c r="A37" s="1306"/>
      <c r="B37" s="1307"/>
      <c r="C37" s="1308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947"/>
    </row>
    <row r="38" spans="1:9" x14ac:dyDescent="0.2">
      <c r="A38" s="890"/>
      <c r="B38" s="1352"/>
      <c r="C38" s="1353"/>
      <c r="D38" s="61" t="str">
        <f>IF(A27&lt;&gt;0,VLOOKUP(A38,Transporte,8,FALSE),$J$1)</f>
        <v>-</v>
      </c>
      <c r="E38" s="61"/>
      <c r="F38" s="15" t="str">
        <f t="shared" si="5"/>
        <v>-</v>
      </c>
      <c r="G38" s="12"/>
      <c r="H38" s="7" t="str">
        <f t="shared" si="6"/>
        <v>-</v>
      </c>
      <c r="I38" s="948"/>
    </row>
    <row r="39" spans="1:9" x14ac:dyDescent="0.2">
      <c r="A39" s="890"/>
      <c r="B39" s="1105" t="s">
        <v>2227</v>
      </c>
      <c r="C39" s="1104"/>
      <c r="D39" s="46"/>
      <c r="E39" s="47"/>
      <c r="F39" s="15"/>
      <c r="G39" s="12"/>
      <c r="H39" s="7"/>
      <c r="I39" s="946">
        <f>SUM(H40:H41)</f>
        <v>0</v>
      </c>
    </row>
    <row r="40" spans="1:9" x14ac:dyDescent="0.2">
      <c r="A40" s="1215"/>
      <c r="B40" s="1216"/>
      <c r="C40" s="1217"/>
      <c r="D40" s="61" t="str">
        <f>IF(A29&lt;&gt;0,VLOOKUP(A42,Transporte,8,FALSE),$J$1)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947"/>
    </row>
    <row r="41" spans="1:9" x14ac:dyDescent="0.2">
      <c r="A41" s="1215"/>
      <c r="B41" s="1216"/>
      <c r="C41" s="1217"/>
      <c r="D41" s="61" t="str">
        <f>IF(A30&lt;&gt;0,VLOOKUP(#REF!,Transporte,8,FALSE),$J$1)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949"/>
    </row>
    <row r="42" spans="1:9" x14ac:dyDescent="0.2">
      <c r="A42" s="880" t="s">
        <v>2228</v>
      </c>
      <c r="B42" s="888"/>
      <c r="C42" s="888"/>
      <c r="D42" s="888"/>
      <c r="E42" s="888"/>
      <c r="F42" s="888"/>
      <c r="G42" s="888"/>
      <c r="H42" s="888"/>
      <c r="I42" s="950">
        <f>SUM(H35:H41)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8</v>
      </c>
      <c r="G46" s="1083"/>
      <c r="H46" s="7">
        <f>IF(A46&lt;&gt;0,ROUND(D46/F46,2),$J$1)</f>
        <v>26171.23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350" t="str">
        <f>IF(A48&lt;&gt;0,VLOOKUP(A48,Cuadrillas,7,FALSE),$J$1)</f>
        <v>-</v>
      </c>
      <c r="E48" s="1350"/>
      <c r="F48" s="1351"/>
      <c r="G48" s="1351"/>
      <c r="H48" s="171" t="str">
        <f>IF(A48&lt;&gt;0,ROUND(D48/F48,2),$J$1)</f>
        <v>-</v>
      </c>
      <c r="I48" s="951"/>
    </row>
    <row r="49" spans="1:9" x14ac:dyDescent="0.2">
      <c r="A49" s="1256"/>
      <c r="B49" s="1257"/>
      <c r="C49" s="1257"/>
      <c r="D49" s="1350" t="str">
        <f>IF(A49&lt;&gt;0,VLOOKUP(A49,Cuadrillas,7,FALSE),$J$1)</f>
        <v>-</v>
      </c>
      <c r="E49" s="1350"/>
      <c r="F49" s="1351"/>
      <c r="G49" s="1351"/>
      <c r="H49" s="171" t="str">
        <f>IF(A49&lt;&gt;0,ROUND(D49/F49,2),$J$1)</f>
        <v>-</v>
      </c>
      <c r="I49" s="952"/>
    </row>
    <row r="50" spans="1:9" x14ac:dyDescent="0.2">
      <c r="A50" s="1256"/>
      <c r="B50" s="1257"/>
      <c r="C50" s="1257"/>
      <c r="D50" s="1350" t="str">
        <f>IF(A50&lt;&gt;0,VLOOKUP(A50,Cuadrillas,7,FALSE),$J$1)</f>
        <v>-</v>
      </c>
      <c r="E50" s="1350"/>
      <c r="F50" s="1351"/>
      <c r="G50" s="1351"/>
      <c r="H50" s="171" t="str">
        <f>IF(A50&lt;&gt;0,ROUND(D50/F50,2),$J$1)</f>
        <v>-</v>
      </c>
      <c r="I50" s="953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954">
        <f>SUM(H46:H50)</f>
        <v>26171.23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262"/>
    </row>
    <row r="53" spans="1:9" x14ac:dyDescent="0.2">
      <c r="A53" s="1273" t="s">
        <v>2232</v>
      </c>
      <c r="B53" s="1274"/>
      <c r="C53" s="1274"/>
      <c r="D53" s="1274"/>
      <c r="E53" s="1274"/>
      <c r="F53" s="1274"/>
      <c r="G53" s="1274"/>
      <c r="H53" s="1274"/>
      <c r="I53" s="324" t="e">
        <f>I20+I31+I42</f>
        <v>#REF!</v>
      </c>
    </row>
    <row r="54" spans="1:9" s="368" customFormat="1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26171.23</v>
      </c>
    </row>
    <row r="55" spans="1:9" s="9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2:C12"/>
    <mergeCell ref="A13:C13"/>
    <mergeCell ref="A14:C14"/>
    <mergeCell ref="A1:C1"/>
    <mergeCell ref="H1:I1"/>
    <mergeCell ref="A8:C8"/>
    <mergeCell ref="A9:C9"/>
    <mergeCell ref="A10:C10"/>
    <mergeCell ref="A11:C11"/>
    <mergeCell ref="B35:C35"/>
    <mergeCell ref="A15:C15"/>
    <mergeCell ref="A16:C16"/>
    <mergeCell ref="A24:C24"/>
    <mergeCell ref="A25:C25"/>
    <mergeCell ref="A26:C26"/>
    <mergeCell ref="A27:C27"/>
    <mergeCell ref="A28:C28"/>
    <mergeCell ref="A29:C29"/>
    <mergeCell ref="A30:C30"/>
    <mergeCell ref="A33:C33"/>
    <mergeCell ref="A46:C46"/>
    <mergeCell ref="D46:E46"/>
    <mergeCell ref="F46:G46"/>
    <mergeCell ref="A36:C36"/>
    <mergeCell ref="A37:C37"/>
    <mergeCell ref="B38:C38"/>
    <mergeCell ref="B39:C39"/>
    <mergeCell ref="A40:C40"/>
    <mergeCell ref="A41:C41"/>
    <mergeCell ref="A43:I43"/>
    <mergeCell ref="A44:I44"/>
    <mergeCell ref="A45:C45"/>
    <mergeCell ref="D45:E45"/>
    <mergeCell ref="F45:G45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57:G57"/>
    <mergeCell ref="H57:I57"/>
    <mergeCell ref="A19:C19"/>
    <mergeCell ref="A17:C17"/>
    <mergeCell ref="A18:C18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</mergeCells>
  <dataValidations count="4">
    <dataValidation type="list" allowBlank="1" showInputMessage="1" showErrorMessage="1" sqref="A35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indexed="31"/>
    <pageSetUpPr fitToPage="1"/>
  </sheetPr>
  <dimension ref="A1:J59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5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244" t="s">
        <v>417</v>
      </c>
      <c r="B8" s="1245"/>
      <c r="C8" s="1245"/>
      <c r="D8" s="844" t="e">
        <f t="shared" ref="D8:D20" si="0">IF(A8&lt;&gt;0,VLOOKUP(A8,Materiales,2,FALSE),$J$1)</f>
        <v>#REF!</v>
      </c>
      <c r="E8" s="12">
        <v>1.5</v>
      </c>
      <c r="F8" s="58" t="e">
        <f t="shared" ref="F8:F20" si="1">IF(A8&lt;&gt;0,VLOOKUP(A8,Materiales,6,FALSE),$J$1)</f>
        <v>#REF!</v>
      </c>
      <c r="G8" s="58"/>
      <c r="H8" s="7" t="e">
        <f t="shared" ref="H8:H20" si="2">IF(A8&lt;&gt;0,ROUND(E8*F8,2),$J$1)</f>
        <v>#REF!</v>
      </c>
      <c r="I8" s="69"/>
    </row>
    <row r="9" spans="1:10" x14ac:dyDescent="0.2">
      <c r="A9" s="1142" t="s">
        <v>421</v>
      </c>
      <c r="B9" s="1143"/>
      <c r="C9" s="1143"/>
      <c r="D9" s="844" t="e">
        <f t="shared" si="0"/>
        <v>#REF!</v>
      </c>
      <c r="E9" s="12">
        <v>2.5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227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138</v>
      </c>
      <c r="B11" s="1143"/>
      <c r="C11" s="1143"/>
      <c r="D11" s="844" t="e">
        <f t="shared" si="0"/>
        <v>#REF!</v>
      </c>
      <c r="E11" s="12">
        <v>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382</v>
      </c>
      <c r="B12" s="1250"/>
      <c r="C12" s="1251"/>
      <c r="D12" s="844" t="e">
        <f t="shared" si="0"/>
        <v>#REF!</v>
      </c>
      <c r="E12" s="12">
        <v>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49" t="s">
        <v>380</v>
      </c>
      <c r="B13" s="1250"/>
      <c r="C13" s="1251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142" t="s">
        <v>296</v>
      </c>
      <c r="B14" s="1143"/>
      <c r="C14" s="1143"/>
      <c r="D14" s="844" t="e">
        <f t="shared" si="0"/>
        <v>#REF!</v>
      </c>
      <c r="E14" s="12">
        <v>1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137" t="s">
        <v>225</v>
      </c>
      <c r="B15" s="1143"/>
      <c r="C15" s="1143"/>
      <c r="D15" s="844" t="e">
        <f t="shared" si="0"/>
        <v>#REF!</v>
      </c>
      <c r="E15" s="12">
        <v>1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139" t="s">
        <v>295</v>
      </c>
      <c r="B16" s="1140"/>
      <c r="C16" s="1141"/>
      <c r="D16" s="844" t="e">
        <f t="shared" si="0"/>
        <v>#REF!</v>
      </c>
      <c r="E16" s="12">
        <v>1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139" t="s">
        <v>376</v>
      </c>
      <c r="B17" s="1140"/>
      <c r="C17" s="1141"/>
      <c r="D17" s="844" t="e">
        <f t="shared" si="0"/>
        <v>#REF!</v>
      </c>
      <c r="E17" s="12">
        <v>1</v>
      </c>
      <c r="F17" s="58" t="e">
        <f t="shared" si="1"/>
        <v>#REF!</v>
      </c>
      <c r="G17" s="58"/>
      <c r="H17" s="7" t="e">
        <f t="shared" si="2"/>
        <v>#REF!</v>
      </c>
      <c r="I17" s="69"/>
    </row>
    <row r="18" spans="1:9" x14ac:dyDescent="0.2">
      <c r="A18" s="1139" t="s">
        <v>226</v>
      </c>
      <c r="B18" s="1140"/>
      <c r="C18" s="1141"/>
      <c r="D18" s="844" t="e">
        <f t="shared" si="0"/>
        <v>#REF!</v>
      </c>
      <c r="E18" s="12">
        <v>1</v>
      </c>
      <c r="F18" s="58" t="e">
        <f t="shared" si="1"/>
        <v>#REF!</v>
      </c>
      <c r="G18" s="58"/>
      <c r="H18" s="7" t="e">
        <f t="shared" si="2"/>
        <v>#REF!</v>
      </c>
      <c r="I18" s="69"/>
    </row>
    <row r="19" spans="1:9" x14ac:dyDescent="0.2">
      <c r="A19" s="1120" t="s">
        <v>355</v>
      </c>
      <c r="B19" s="1121"/>
      <c r="C19" s="1121"/>
      <c r="D19" s="844" t="e">
        <f t="shared" si="0"/>
        <v>#REF!</v>
      </c>
      <c r="E19" s="12">
        <v>0.15</v>
      </c>
      <c r="F19" s="58" t="e">
        <f t="shared" si="1"/>
        <v>#REF!</v>
      </c>
      <c r="G19" s="58"/>
      <c r="H19" s="7" t="e">
        <f t="shared" si="2"/>
        <v>#REF!</v>
      </c>
      <c r="I19" s="349"/>
    </row>
    <row r="20" spans="1:9" x14ac:dyDescent="0.2">
      <c r="A20" s="1120" t="s">
        <v>274</v>
      </c>
      <c r="B20" s="1121"/>
      <c r="C20" s="1121"/>
      <c r="D20" s="844" t="e">
        <f t="shared" si="0"/>
        <v>#REF!</v>
      </c>
      <c r="E20" s="12">
        <v>0.15</v>
      </c>
      <c r="F20" s="58" t="e">
        <f t="shared" si="1"/>
        <v>#REF!</v>
      </c>
      <c r="G20" s="58"/>
      <c r="H20" s="7" t="e">
        <f t="shared" si="2"/>
        <v>#REF!</v>
      </c>
      <c r="I20" s="304"/>
    </row>
    <row r="21" spans="1:9" s="350" customFormat="1" x14ac:dyDescent="0.2">
      <c r="A21" s="884" t="s">
        <v>2217</v>
      </c>
      <c r="B21" s="885"/>
      <c r="C21" s="885"/>
      <c r="D21" s="323"/>
      <c r="E21" s="893"/>
      <c r="F21" s="893"/>
      <c r="G21" s="893"/>
      <c r="H21" s="894"/>
      <c r="I21" s="937" t="e">
        <f>SUM(H8:H20)</f>
        <v>#REF!</v>
      </c>
    </row>
    <row r="22" spans="1:9" x14ac:dyDescent="0.2">
      <c r="A22" s="356"/>
      <c r="B22" s="357"/>
      <c r="C22" s="357"/>
      <c r="D22" s="357"/>
      <c r="E22" s="357"/>
      <c r="F22" s="357"/>
      <c r="G22" s="357"/>
      <c r="H22" s="357"/>
      <c r="I22" s="358"/>
    </row>
    <row r="23" spans="1:9" x14ac:dyDescent="0.2">
      <c r="A23" s="875" t="s">
        <v>454</v>
      </c>
      <c r="B23" s="876"/>
      <c r="C23" s="876"/>
      <c r="D23" s="876"/>
      <c r="E23" s="876"/>
      <c r="F23" s="876"/>
      <c r="G23" s="876"/>
      <c r="H23" s="876"/>
      <c r="I23" s="286"/>
    </row>
    <row r="24" spans="1:9" s="9" customFormat="1" ht="25.5" x14ac:dyDescent="0.2">
      <c r="A24" s="227" t="s">
        <v>26</v>
      </c>
      <c r="B24" s="225"/>
      <c r="C24" s="225"/>
      <c r="D24" s="225" t="s">
        <v>2218</v>
      </c>
      <c r="E24" s="225"/>
      <c r="F24" s="225" t="s">
        <v>2219</v>
      </c>
      <c r="G24" s="858" t="s">
        <v>2220</v>
      </c>
      <c r="H24" s="858" t="s">
        <v>2216</v>
      </c>
      <c r="I24" s="72"/>
    </row>
    <row r="25" spans="1:9" x14ac:dyDescent="0.2">
      <c r="A25" s="1080" t="s">
        <v>477</v>
      </c>
      <c r="B25" s="1081"/>
      <c r="C25" s="1081"/>
      <c r="D25" s="33">
        <v>1</v>
      </c>
      <c r="E25" s="33"/>
      <c r="F25" s="12">
        <f t="shared" ref="F25:F31" si="3">IF(A25&lt;&gt;0,VLOOKUP(A25,Equipos,6,FALSE),$J$1)</f>
        <v>3710</v>
      </c>
      <c r="G25" s="14">
        <v>1</v>
      </c>
      <c r="H25" s="7">
        <f t="shared" ref="H25:H30" si="4">IF(A25&lt;&gt;0,ROUND((F25/D25)*G25,2),$J$1)</f>
        <v>3710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60"/>
    </row>
    <row r="31" spans="1:9" x14ac:dyDescent="0.2">
      <c r="A31" s="1256"/>
      <c r="B31" s="1081"/>
      <c r="C31" s="1081"/>
      <c r="D31" s="33"/>
      <c r="E31" s="33"/>
      <c r="F31" s="12" t="str">
        <f t="shared" si="3"/>
        <v>-</v>
      </c>
      <c r="G31" s="14"/>
      <c r="H31" s="7"/>
      <c r="I31" s="304"/>
    </row>
    <row r="32" spans="1:9" x14ac:dyDescent="0.2">
      <c r="A32" s="887" t="s">
        <v>2221</v>
      </c>
      <c r="B32" s="888"/>
      <c r="C32" s="888"/>
      <c r="D32" s="323"/>
      <c r="E32" s="893"/>
      <c r="F32" s="893"/>
      <c r="G32" s="893"/>
      <c r="H32" s="894"/>
      <c r="I32" s="937">
        <f>SUM(H25:H31)</f>
        <v>3710</v>
      </c>
    </row>
    <row r="33" spans="1:9" x14ac:dyDescent="0.2">
      <c r="A33" s="307"/>
      <c r="B33" s="308"/>
      <c r="C33" s="308"/>
      <c r="D33" s="308"/>
      <c r="E33" s="308"/>
      <c r="F33" s="308"/>
      <c r="G33" s="308"/>
      <c r="H33" s="308"/>
      <c r="I33" s="381"/>
    </row>
    <row r="34" spans="1:9" x14ac:dyDescent="0.2">
      <c r="A34" s="1354" t="s">
        <v>2222</v>
      </c>
      <c r="B34" s="1355"/>
      <c r="C34" s="1355"/>
      <c r="D34" s="876"/>
      <c r="E34" s="876"/>
      <c r="F34" s="876"/>
      <c r="G34" s="876"/>
      <c r="H34" s="876"/>
      <c r="I34" s="877"/>
    </row>
    <row r="35" spans="1:9" s="9" customFormat="1" ht="25.5" x14ac:dyDescent="0.2">
      <c r="A35" s="227" t="s">
        <v>26</v>
      </c>
      <c r="B35" s="225"/>
      <c r="C35" s="225"/>
      <c r="D35" s="225" t="s">
        <v>2218</v>
      </c>
      <c r="E35" s="225"/>
      <c r="F35" s="225" t="s">
        <v>2219</v>
      </c>
      <c r="G35" s="858" t="s">
        <v>2220</v>
      </c>
      <c r="H35" s="858" t="s">
        <v>2216</v>
      </c>
      <c r="I35" s="384"/>
    </row>
    <row r="36" spans="1:9" x14ac:dyDescent="0.2">
      <c r="A36" s="890"/>
      <c r="B36" s="1334" t="s">
        <v>2226</v>
      </c>
      <c r="C36" s="1334"/>
      <c r="D36" s="46"/>
      <c r="E36" s="47"/>
      <c r="F36" s="15"/>
      <c r="G36" s="12"/>
      <c r="H36" s="7"/>
      <c r="I36" s="946">
        <f>SUM(H37:H39)</f>
        <v>0</v>
      </c>
    </row>
    <row r="37" spans="1:9" x14ac:dyDescent="0.2">
      <c r="A37" s="1306"/>
      <c r="B37" s="1307"/>
      <c r="C37" s="1308"/>
      <c r="D37" s="46" t="str">
        <f>IF(A37&lt;&gt;0,VLOOKUP(A37,Transporte,8,FALSE),$J$1)</f>
        <v>-</v>
      </c>
      <c r="E37" s="47"/>
      <c r="F37" s="15" t="str">
        <f t="shared" ref="F37:F42" si="5">IF(A37&lt;&gt;0,VLOOKUP(A37,Transporte,2,FALSE),$J$1)</f>
        <v>-</v>
      </c>
      <c r="G37" s="12"/>
      <c r="H37" s="7" t="str">
        <f t="shared" ref="H37:H42" si="6">IF(A37&lt;&gt;0,D37/F37*G37,$J$1)</f>
        <v>-</v>
      </c>
      <c r="I37" s="947"/>
    </row>
    <row r="38" spans="1:9" x14ac:dyDescent="0.2">
      <c r="A38" s="1306"/>
      <c r="B38" s="1307"/>
      <c r="C38" s="1308"/>
      <c r="D38" s="46" t="str">
        <f>IF(A38&lt;&gt;0,VLOOKUP(A38,Transporte,8,FALSE),$J$1)</f>
        <v>-</v>
      </c>
      <c r="E38" s="47"/>
      <c r="F38" s="15" t="str">
        <f t="shared" si="5"/>
        <v>-</v>
      </c>
      <c r="G38" s="12"/>
      <c r="H38" s="7" t="str">
        <f t="shared" si="6"/>
        <v>-</v>
      </c>
      <c r="I38" s="947"/>
    </row>
    <row r="39" spans="1:9" x14ac:dyDescent="0.2">
      <c r="A39" s="890"/>
      <c r="B39" s="1352"/>
      <c r="C39" s="135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948"/>
    </row>
    <row r="40" spans="1:9" x14ac:dyDescent="0.2">
      <c r="A40" s="890"/>
      <c r="B40" s="1105" t="s">
        <v>2227</v>
      </c>
      <c r="C40" s="1104"/>
      <c r="D40" s="46"/>
      <c r="E40" s="47"/>
      <c r="F40" s="15"/>
      <c r="G40" s="12"/>
      <c r="H40" s="7"/>
      <c r="I40" s="946">
        <f>SUM(H41:H42)</f>
        <v>0</v>
      </c>
    </row>
    <row r="41" spans="1:9" x14ac:dyDescent="0.2">
      <c r="A41" s="1215"/>
      <c r="B41" s="1216"/>
      <c r="C41" s="1217"/>
      <c r="D41" s="61" t="str">
        <f>IF(A30&lt;&gt;0,VLOOKUP(A43,Transporte,8,FALSE),$J$1)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947"/>
    </row>
    <row r="42" spans="1:9" x14ac:dyDescent="0.2">
      <c r="A42" s="1215"/>
      <c r="B42" s="1216"/>
      <c r="C42" s="1217"/>
      <c r="D42" s="61" t="str">
        <f>IF(A31&lt;&gt;0,VLOOKUP(#REF!,Transporte,8,FALSE),$J$1)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949"/>
    </row>
    <row r="43" spans="1:9" x14ac:dyDescent="0.2">
      <c r="A43" s="880" t="s">
        <v>2228</v>
      </c>
      <c r="B43" s="888"/>
      <c r="C43" s="888"/>
      <c r="D43" s="888"/>
      <c r="E43" s="888"/>
      <c r="F43" s="888"/>
      <c r="G43" s="888"/>
      <c r="H43" s="888"/>
      <c r="I43" s="950">
        <f>SUM(H36:H42)</f>
        <v>0</v>
      </c>
    </row>
    <row r="44" spans="1:9" x14ac:dyDescent="0.2">
      <c r="A44" s="1252"/>
      <c r="B44" s="1253"/>
      <c r="C44" s="1253"/>
      <c r="D44" s="1253"/>
      <c r="E44" s="1253"/>
      <c r="F44" s="1253"/>
      <c r="G44" s="1253"/>
      <c r="H44" s="1253"/>
      <c r="I44" s="1254"/>
    </row>
    <row r="45" spans="1:9" x14ac:dyDescent="0.2">
      <c r="A45" s="1200" t="s">
        <v>554</v>
      </c>
      <c r="B45" s="1201"/>
      <c r="C45" s="1201"/>
      <c r="D45" s="1201"/>
      <c r="E45" s="1201"/>
      <c r="F45" s="1201"/>
      <c r="G45" s="1201"/>
      <c r="H45" s="1201"/>
      <c r="I45" s="1202"/>
    </row>
    <row r="46" spans="1:9" s="9" customFormat="1" ht="25.5" x14ac:dyDescent="0.2">
      <c r="A46" s="1246" t="s">
        <v>2229</v>
      </c>
      <c r="B46" s="1247"/>
      <c r="C46" s="1247"/>
      <c r="D46" s="1248" t="s">
        <v>2230</v>
      </c>
      <c r="E46" s="1248"/>
      <c r="F46" s="1248" t="s">
        <v>2218</v>
      </c>
      <c r="G46" s="1248"/>
      <c r="H46" s="881" t="s">
        <v>2216</v>
      </c>
      <c r="I46" s="72"/>
    </row>
    <row r="47" spans="1:9" x14ac:dyDescent="0.2">
      <c r="A47" s="1080" t="s">
        <v>56</v>
      </c>
      <c r="B47" s="1081"/>
      <c r="C47" s="1081"/>
      <c r="D47" s="1082">
        <f>IF(A47&lt;&gt;0,VLOOKUP(A47,Cuadrillas,7,FALSE),$J$1)</f>
        <v>209369.84</v>
      </c>
      <c r="E47" s="1082"/>
      <c r="F47" s="1083">
        <v>9</v>
      </c>
      <c r="G47" s="1083"/>
      <c r="H47" s="7">
        <f>IF(A47&lt;&gt;0,ROUND(D47/F47,2),$J$1)</f>
        <v>23263.32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350" t="str">
        <f>IF(A49&lt;&gt;0,VLOOKUP(A49,Cuadrillas,7,FALSE),$J$1)</f>
        <v>-</v>
      </c>
      <c r="E49" s="1350"/>
      <c r="F49" s="1351"/>
      <c r="G49" s="1351"/>
      <c r="H49" s="171" t="str">
        <f>IF(A49&lt;&gt;0,ROUND(D49/F49,2),$J$1)</f>
        <v>-</v>
      </c>
      <c r="I49" s="951"/>
    </row>
    <row r="50" spans="1:9" x14ac:dyDescent="0.2">
      <c r="A50" s="1256"/>
      <c r="B50" s="1257"/>
      <c r="C50" s="1257"/>
      <c r="D50" s="1350" t="str">
        <f>IF(A50&lt;&gt;0,VLOOKUP(A50,Cuadrillas,7,FALSE),$J$1)</f>
        <v>-</v>
      </c>
      <c r="E50" s="1350"/>
      <c r="F50" s="1351"/>
      <c r="G50" s="1351"/>
      <c r="H50" s="171" t="str">
        <f>IF(A50&lt;&gt;0,ROUND(D50/F50,2),$J$1)</f>
        <v>-</v>
      </c>
      <c r="I50" s="952"/>
    </row>
    <row r="51" spans="1:9" x14ac:dyDescent="0.2">
      <c r="A51" s="1256"/>
      <c r="B51" s="1257"/>
      <c r="C51" s="1257"/>
      <c r="D51" s="1350" t="str">
        <f>IF(A51&lt;&gt;0,VLOOKUP(A51,Cuadrillas,7,FALSE),$J$1)</f>
        <v>-</v>
      </c>
      <c r="E51" s="1350"/>
      <c r="F51" s="1351"/>
      <c r="G51" s="1351"/>
      <c r="H51" s="171" t="str">
        <f>IF(A51&lt;&gt;0,ROUND(D51/F51,2),$J$1)</f>
        <v>-</v>
      </c>
      <c r="I51" s="953"/>
    </row>
    <row r="52" spans="1:9" x14ac:dyDescent="0.2">
      <c r="A52" s="1106" t="s">
        <v>2231</v>
      </c>
      <c r="B52" s="1203"/>
      <c r="C52" s="1203"/>
      <c r="D52" s="1203"/>
      <c r="E52" s="1203"/>
      <c r="F52" s="1203"/>
      <c r="G52" s="1203"/>
      <c r="H52" s="1203"/>
      <c r="I52" s="954">
        <f>SUM(H47:H51)</f>
        <v>23263.32</v>
      </c>
    </row>
    <row r="53" spans="1:9" x14ac:dyDescent="0.2">
      <c r="A53" s="1260"/>
      <c r="B53" s="1261"/>
      <c r="C53" s="1261"/>
      <c r="D53" s="1261"/>
      <c r="E53" s="1261"/>
      <c r="F53" s="1261"/>
      <c r="G53" s="1261"/>
      <c r="H53" s="1261"/>
      <c r="I53" s="1262"/>
    </row>
    <row r="54" spans="1:9" x14ac:dyDescent="0.2">
      <c r="A54" s="1273" t="s">
        <v>2232</v>
      </c>
      <c r="B54" s="1274"/>
      <c r="C54" s="1274"/>
      <c r="D54" s="1274"/>
      <c r="E54" s="1274"/>
      <c r="F54" s="1274"/>
      <c r="G54" s="1274"/>
      <c r="H54" s="1274"/>
      <c r="I54" s="324" t="e">
        <f>I21+I32+I43</f>
        <v>#REF!</v>
      </c>
    </row>
    <row r="55" spans="1:9" s="368" customFormat="1" ht="13.5" thickBot="1" x14ac:dyDescent="0.25">
      <c r="A55" s="1258" t="s">
        <v>2233</v>
      </c>
      <c r="B55" s="1259"/>
      <c r="C55" s="1259"/>
      <c r="D55" s="1259"/>
      <c r="E55" s="1259"/>
      <c r="F55" s="1259"/>
      <c r="G55" s="1259"/>
      <c r="H55" s="1259"/>
      <c r="I55" s="311">
        <f>I52</f>
        <v>23263.32</v>
      </c>
    </row>
    <row r="56" spans="1:9" s="9" customFormat="1" ht="25.5" customHeight="1" thickTop="1" thickBot="1" x14ac:dyDescent="0.25">
      <c r="A56" s="1195" t="s">
        <v>2234</v>
      </c>
      <c r="B56" s="1196"/>
      <c r="C56" s="1196"/>
      <c r="D56" s="1196"/>
      <c r="E56" s="1196"/>
      <c r="F56" s="1196"/>
      <c r="G56" s="1196"/>
      <c r="H56" s="258"/>
      <c r="I56" s="239" t="e">
        <f>I54+I55</f>
        <v>#REF!</v>
      </c>
    </row>
    <row r="57" spans="1:9" s="9" customFormat="1" ht="25.5" customHeight="1" thickTop="1" thickBot="1" x14ac:dyDescent="0.25">
      <c r="A57" s="1095" t="s">
        <v>10</v>
      </c>
      <c r="B57" s="1096"/>
      <c r="C57" s="1096"/>
      <c r="D57" s="1097">
        <f>+'Datos entrada'!B7</f>
        <v>0.3</v>
      </c>
      <c r="E57" s="1098"/>
      <c r="F57" s="1099" t="e">
        <f>I56*D57</f>
        <v>#REF!</v>
      </c>
      <c r="G57" s="1099"/>
      <c r="H57" s="1099"/>
      <c r="I57" s="1100"/>
    </row>
    <row r="58" spans="1:9" s="9" customFormat="1" ht="25.5" customHeight="1" thickTop="1" thickBot="1" x14ac:dyDescent="0.25">
      <c r="A58" s="1095" t="s">
        <v>2236</v>
      </c>
      <c r="B58" s="1096"/>
      <c r="C58" s="1096"/>
      <c r="D58" s="1096"/>
      <c r="E58" s="1096"/>
      <c r="F58" s="1096"/>
      <c r="G58" s="1096"/>
      <c r="H58" s="1191" t="e">
        <f>I56+F57</f>
        <v>#REF!</v>
      </c>
      <c r="I58" s="1192"/>
    </row>
    <row r="59" spans="1:9" ht="13.5" thickTop="1" x14ac:dyDescent="0.2">
      <c r="I59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0">
    <mergeCell ref="B36:C36"/>
    <mergeCell ref="A34:C34"/>
    <mergeCell ref="A37:C37"/>
    <mergeCell ref="A41:C41"/>
    <mergeCell ref="B40:C40"/>
    <mergeCell ref="A38:C38"/>
    <mergeCell ref="A58:G58"/>
    <mergeCell ref="A44:I44"/>
    <mergeCell ref="F46:G46"/>
    <mergeCell ref="F47:G47"/>
    <mergeCell ref="A45:I45"/>
    <mergeCell ref="D51:E51"/>
    <mergeCell ref="A55:H55"/>
    <mergeCell ref="H58:I58"/>
    <mergeCell ref="A49:C49"/>
    <mergeCell ref="A50:C50"/>
    <mergeCell ref="D49:E49"/>
    <mergeCell ref="F49:G49"/>
    <mergeCell ref="A51:C51"/>
    <mergeCell ref="D50:E50"/>
    <mergeCell ref="A54:H54"/>
    <mergeCell ref="F51:G51"/>
    <mergeCell ref="A57:C57"/>
    <mergeCell ref="D57:E57"/>
    <mergeCell ref="F57:I57"/>
    <mergeCell ref="A53:I53"/>
    <mergeCell ref="A52:H52"/>
    <mergeCell ref="A56:G56"/>
    <mergeCell ref="A16:C16"/>
    <mergeCell ref="A17:C17"/>
    <mergeCell ref="F50:G50"/>
    <mergeCell ref="F48:G48"/>
    <mergeCell ref="A48:C48"/>
    <mergeCell ref="D48:E48"/>
    <mergeCell ref="A27:C27"/>
    <mergeCell ref="A28:C28"/>
    <mergeCell ref="D47:E47"/>
    <mergeCell ref="A46:C46"/>
    <mergeCell ref="A47:C47"/>
    <mergeCell ref="D46:E46"/>
    <mergeCell ref="A29:C29"/>
    <mergeCell ref="A30:C30"/>
    <mergeCell ref="A31:C31"/>
    <mergeCell ref="B39:C39"/>
    <mergeCell ref="A42:C42"/>
    <mergeCell ref="H1:I1"/>
    <mergeCell ref="A12:C12"/>
    <mergeCell ref="A13:C13"/>
    <mergeCell ref="A25:C25"/>
    <mergeCell ref="A8:C8"/>
    <mergeCell ref="A9:C9"/>
    <mergeCell ref="A10:C10"/>
    <mergeCell ref="A11:C11"/>
    <mergeCell ref="A18:C18"/>
    <mergeCell ref="A1:C1"/>
    <mergeCell ref="A26:C26"/>
    <mergeCell ref="A14:C14"/>
    <mergeCell ref="A15:C15"/>
    <mergeCell ref="A19:C19"/>
    <mergeCell ref="A20:C20"/>
  </mergeCells>
  <phoneticPr fontId="0" type="noConversion"/>
  <dataValidations count="4">
    <dataValidation type="list" allowBlank="1" showInputMessage="1" showErrorMessage="1" sqref="A25:A31">
      <formula1>Descrip_equipos</formula1>
    </dataValidation>
    <dataValidation type="list" allowBlank="1" showInputMessage="1" showErrorMessage="1" sqref="A47:C51">
      <formula1>Descrip_cuadrillas</formula1>
    </dataValidation>
    <dataValidation type="list" allowBlank="1" showInputMessage="1" showErrorMessage="1" sqref="A36:A43">
      <formula1>Descrip_transporte</formula1>
    </dataValidation>
    <dataValidation type="list" allowBlank="1" showInputMessage="1" showErrorMessage="1" sqref="A8:A20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indexed="31"/>
    <pageSetUpPr fitToPage="1"/>
  </sheetPr>
  <dimension ref="A1:J59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244" t="s">
        <v>417</v>
      </c>
      <c r="B8" s="1245"/>
      <c r="C8" s="1245"/>
      <c r="D8" s="844" t="e">
        <f t="shared" ref="D8:D20" si="0">IF(A8&lt;&gt;0,VLOOKUP(A8,Materiales,2,FALSE),$J$1)</f>
        <v>#REF!</v>
      </c>
      <c r="E8" s="12">
        <v>1.5</v>
      </c>
      <c r="F8" s="58" t="e">
        <f t="shared" ref="F8:F20" si="1">IF(A8&lt;&gt;0,VLOOKUP(A8,Materiales,6,FALSE),$J$1)</f>
        <v>#REF!</v>
      </c>
      <c r="G8" s="58"/>
      <c r="H8" s="7" t="e">
        <f t="shared" ref="H8:H20" si="2">IF(A8&lt;&gt;0,ROUND(E8*F8,2),$J$1)</f>
        <v>#REF!</v>
      </c>
      <c r="I8" s="69"/>
    </row>
    <row r="9" spans="1:10" x14ac:dyDescent="0.2">
      <c r="A9" s="1142" t="s">
        <v>421</v>
      </c>
      <c r="B9" s="1143"/>
      <c r="C9" s="1143"/>
      <c r="D9" s="844" t="e">
        <f t="shared" si="0"/>
        <v>#REF!</v>
      </c>
      <c r="E9" s="12">
        <v>2.5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227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226</v>
      </c>
      <c r="B11" s="1143"/>
      <c r="C11" s="1143"/>
      <c r="D11" s="844" t="e">
        <f t="shared" si="0"/>
        <v>#REF!</v>
      </c>
      <c r="E11" s="12">
        <v>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138</v>
      </c>
      <c r="B12" s="1250"/>
      <c r="C12" s="1251"/>
      <c r="D12" s="844" t="e">
        <f t="shared" si="0"/>
        <v>#REF!</v>
      </c>
      <c r="E12" s="12">
        <v>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49" t="s">
        <v>382</v>
      </c>
      <c r="B13" s="1250"/>
      <c r="C13" s="1251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142" t="s">
        <v>380</v>
      </c>
      <c r="B14" s="1143"/>
      <c r="C14" s="1143"/>
      <c r="D14" s="844" t="e">
        <f t="shared" si="0"/>
        <v>#REF!</v>
      </c>
      <c r="E14" s="12">
        <v>1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137" t="s">
        <v>296</v>
      </c>
      <c r="B15" s="1143"/>
      <c r="C15" s="1143"/>
      <c r="D15" s="844" t="e">
        <f t="shared" si="0"/>
        <v>#REF!</v>
      </c>
      <c r="E15" s="12">
        <v>1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139" t="s">
        <v>225</v>
      </c>
      <c r="B16" s="1140"/>
      <c r="C16" s="1141"/>
      <c r="D16" s="844" t="e">
        <f t="shared" si="0"/>
        <v>#REF!</v>
      </c>
      <c r="E16" s="12">
        <v>1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139" t="s">
        <v>295</v>
      </c>
      <c r="B17" s="1140"/>
      <c r="C17" s="1141"/>
      <c r="D17" s="844" t="e">
        <f t="shared" si="0"/>
        <v>#REF!</v>
      </c>
      <c r="E17" s="12">
        <v>1</v>
      </c>
      <c r="F17" s="58" t="e">
        <f t="shared" si="1"/>
        <v>#REF!</v>
      </c>
      <c r="G17" s="58"/>
      <c r="H17" s="7" t="e">
        <f t="shared" si="2"/>
        <v>#REF!</v>
      </c>
      <c r="I17" s="69"/>
    </row>
    <row r="18" spans="1:9" x14ac:dyDescent="0.2">
      <c r="A18" s="1139" t="s">
        <v>376</v>
      </c>
      <c r="B18" s="1140"/>
      <c r="C18" s="1141"/>
      <c r="D18" s="844" t="e">
        <f t="shared" si="0"/>
        <v>#REF!</v>
      </c>
      <c r="E18" s="12">
        <v>1</v>
      </c>
      <c r="F18" s="58" t="e">
        <f t="shared" si="1"/>
        <v>#REF!</v>
      </c>
      <c r="G18" s="58"/>
      <c r="H18" s="7" t="e">
        <f t="shared" si="2"/>
        <v>#REF!</v>
      </c>
      <c r="I18" s="69"/>
    </row>
    <row r="19" spans="1:9" x14ac:dyDescent="0.2">
      <c r="A19" s="1120" t="s">
        <v>355</v>
      </c>
      <c r="B19" s="1121"/>
      <c r="C19" s="1121"/>
      <c r="D19" s="844" t="e">
        <f t="shared" si="0"/>
        <v>#REF!</v>
      </c>
      <c r="E19" s="12">
        <v>0.15</v>
      </c>
      <c r="F19" s="58" t="e">
        <f t="shared" si="1"/>
        <v>#REF!</v>
      </c>
      <c r="G19" s="58"/>
      <c r="H19" s="7" t="e">
        <f t="shared" si="2"/>
        <v>#REF!</v>
      </c>
      <c r="I19" s="349"/>
    </row>
    <row r="20" spans="1:9" x14ac:dyDescent="0.2">
      <c r="A20" s="1120" t="s">
        <v>274</v>
      </c>
      <c r="B20" s="1121"/>
      <c r="C20" s="1121"/>
      <c r="D20" s="844" t="e">
        <f t="shared" si="0"/>
        <v>#REF!</v>
      </c>
      <c r="E20" s="12">
        <v>0.15</v>
      </c>
      <c r="F20" s="58" t="e">
        <f t="shared" si="1"/>
        <v>#REF!</v>
      </c>
      <c r="G20" s="58"/>
      <c r="H20" s="7" t="e">
        <f t="shared" si="2"/>
        <v>#REF!</v>
      </c>
      <c r="I20" s="304"/>
    </row>
    <row r="21" spans="1:9" s="350" customFormat="1" x14ac:dyDescent="0.2">
      <c r="A21" s="884" t="s">
        <v>2217</v>
      </c>
      <c r="B21" s="885"/>
      <c r="C21" s="885"/>
      <c r="D21" s="323"/>
      <c r="E21" s="893"/>
      <c r="F21" s="893"/>
      <c r="G21" s="893"/>
      <c r="H21" s="894"/>
      <c r="I21" s="937" t="e">
        <f>SUM(H8:H20)</f>
        <v>#REF!</v>
      </c>
    </row>
    <row r="22" spans="1:9" x14ac:dyDescent="0.2">
      <c r="A22" s="307"/>
      <c r="B22" s="308"/>
      <c r="C22" s="308"/>
      <c r="D22" s="308"/>
      <c r="E22" s="308"/>
      <c r="F22" s="308"/>
      <c r="G22" s="308"/>
      <c r="H22" s="308"/>
      <c r="I22" s="309"/>
    </row>
    <row r="23" spans="1:9" x14ac:dyDescent="0.2">
      <c r="A23" s="875" t="s">
        <v>454</v>
      </c>
      <c r="B23" s="213"/>
      <c r="C23" s="213"/>
      <c r="D23" s="213"/>
      <c r="E23" s="213"/>
      <c r="F23" s="213"/>
      <c r="G23" s="213"/>
      <c r="H23" s="213"/>
      <c r="I23" s="226"/>
    </row>
    <row r="24" spans="1:9" s="9" customFormat="1" ht="25.5" x14ac:dyDescent="0.2">
      <c r="A24" s="227" t="s">
        <v>26</v>
      </c>
      <c r="B24" s="225"/>
      <c r="C24" s="225"/>
      <c r="D24" s="225" t="s">
        <v>2218</v>
      </c>
      <c r="E24" s="225"/>
      <c r="F24" s="225" t="s">
        <v>2219</v>
      </c>
      <c r="G24" s="858" t="s">
        <v>2220</v>
      </c>
      <c r="H24" s="858" t="s">
        <v>2216</v>
      </c>
      <c r="I24" s="72"/>
    </row>
    <row r="25" spans="1:9" x14ac:dyDescent="0.2">
      <c r="A25" s="1080" t="s">
        <v>477</v>
      </c>
      <c r="B25" s="1081"/>
      <c r="C25" s="1081"/>
      <c r="D25" s="33">
        <v>1</v>
      </c>
      <c r="E25" s="33"/>
      <c r="F25" s="12">
        <f t="shared" ref="F25:F31" si="3">IF(A25&lt;&gt;0,VLOOKUP(A25,Equipos,6,FALSE),$J$1)</f>
        <v>3710</v>
      </c>
      <c r="G25" s="14">
        <v>1</v>
      </c>
      <c r="H25" s="7">
        <f t="shared" ref="H25:H30" si="4">IF(A25&lt;&gt;0,ROUND((F25/D25)*G25,2),$J$1)</f>
        <v>3710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60"/>
    </row>
    <row r="31" spans="1:9" x14ac:dyDescent="0.2">
      <c r="A31" s="1256"/>
      <c r="B31" s="1081"/>
      <c r="C31" s="1081"/>
      <c r="D31" s="33"/>
      <c r="E31" s="33"/>
      <c r="F31" s="12" t="str">
        <f t="shared" si="3"/>
        <v>-</v>
      </c>
      <c r="G31" s="14"/>
      <c r="H31" s="7"/>
      <c r="I31" s="304"/>
    </row>
    <row r="32" spans="1:9" x14ac:dyDescent="0.2">
      <c r="A32" s="887" t="s">
        <v>2221</v>
      </c>
      <c r="B32" s="888"/>
      <c r="C32" s="888"/>
      <c r="D32" s="323"/>
      <c r="E32" s="893"/>
      <c r="F32" s="893"/>
      <c r="G32" s="893"/>
      <c r="H32" s="894"/>
      <c r="I32" s="937">
        <f>SUM(H25:H31)</f>
        <v>3710</v>
      </c>
    </row>
    <row r="33" spans="1:9" x14ac:dyDescent="0.2">
      <c r="A33" s="307"/>
      <c r="B33" s="308"/>
      <c r="C33" s="308"/>
      <c r="D33" s="308"/>
      <c r="E33" s="308"/>
      <c r="F33" s="308"/>
      <c r="G33" s="308"/>
      <c r="H33" s="308"/>
      <c r="I33" s="381"/>
    </row>
    <row r="34" spans="1:9" x14ac:dyDescent="0.2">
      <c r="A34" s="1354" t="s">
        <v>2222</v>
      </c>
      <c r="B34" s="1355"/>
      <c r="C34" s="1355"/>
      <c r="D34" s="876"/>
      <c r="E34" s="876"/>
      <c r="F34" s="876"/>
      <c r="G34" s="876"/>
      <c r="H34" s="876"/>
      <c r="I34" s="877"/>
    </row>
    <row r="35" spans="1:9" s="9" customFormat="1" ht="25.5" x14ac:dyDescent="0.2">
      <c r="A35" s="1270" t="s">
        <v>26</v>
      </c>
      <c r="B35" s="1271"/>
      <c r="C35" s="1272"/>
      <c r="D35" s="235" t="s">
        <v>2223</v>
      </c>
      <c r="E35" s="235"/>
      <c r="F35" s="881" t="s">
        <v>2224</v>
      </c>
      <c r="G35" s="881" t="s">
        <v>2225</v>
      </c>
      <c r="H35" s="881" t="s">
        <v>2216</v>
      </c>
      <c r="I35" s="362"/>
    </row>
    <row r="36" spans="1:9" x14ac:dyDescent="0.2">
      <c r="A36" s="890"/>
      <c r="B36" s="1334" t="s">
        <v>2226</v>
      </c>
      <c r="C36" s="1334"/>
      <c r="D36" s="46"/>
      <c r="E36" s="47"/>
      <c r="F36" s="15"/>
      <c r="G36" s="12"/>
      <c r="H36" s="7"/>
      <c r="I36" s="946">
        <f>SUM(H37:H39)</f>
        <v>0</v>
      </c>
    </row>
    <row r="37" spans="1:9" x14ac:dyDescent="0.2">
      <c r="A37" s="1306"/>
      <c r="B37" s="1307"/>
      <c r="C37" s="1308"/>
      <c r="D37" s="46" t="str">
        <f>IF(A37&lt;&gt;0,VLOOKUP(A37,Transporte,8,FALSE),$J$1)</f>
        <v>-</v>
      </c>
      <c r="E37" s="47"/>
      <c r="F37" s="15" t="str">
        <f t="shared" ref="F37:F42" si="5">IF(A37&lt;&gt;0,VLOOKUP(A37,Transporte,2,FALSE),$J$1)</f>
        <v>-</v>
      </c>
      <c r="G37" s="12"/>
      <c r="H37" s="7" t="str">
        <f t="shared" ref="H37:H42" si="6">IF(A37&lt;&gt;0,D37/F37*G37,$J$1)</f>
        <v>-</v>
      </c>
      <c r="I37" s="955"/>
    </row>
    <row r="38" spans="1:9" x14ac:dyDescent="0.2">
      <c r="A38" s="1306"/>
      <c r="B38" s="1307"/>
      <c r="C38" s="1308"/>
      <c r="D38" s="46" t="str">
        <f>IF(A38&lt;&gt;0,VLOOKUP(A38,Transporte,8,FALSE),$J$1)</f>
        <v>-</v>
      </c>
      <c r="E38" s="47"/>
      <c r="F38" s="15" t="str">
        <f t="shared" si="5"/>
        <v>-</v>
      </c>
      <c r="G38" s="12"/>
      <c r="H38" s="7" t="str">
        <f t="shared" si="6"/>
        <v>-</v>
      </c>
      <c r="I38" s="955"/>
    </row>
    <row r="39" spans="1:9" x14ac:dyDescent="0.2">
      <c r="A39" s="1215"/>
      <c r="B39" s="1216"/>
      <c r="C39" s="1217"/>
      <c r="D39" s="46" t="str">
        <f>IF(A39&lt;&gt;0,VLOOKUP(A39,Transporte,8,FALSE),$J$1)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955"/>
    </row>
    <row r="40" spans="1:9" x14ac:dyDescent="0.2">
      <c r="A40" s="890"/>
      <c r="B40" s="1105" t="s">
        <v>2227</v>
      </c>
      <c r="C40" s="1104"/>
      <c r="D40" s="46"/>
      <c r="E40" s="47"/>
      <c r="F40" s="15"/>
      <c r="G40" s="12"/>
      <c r="H40" s="7"/>
      <c r="I40" s="946">
        <f>SUM(H41:H42)</f>
        <v>0</v>
      </c>
    </row>
    <row r="41" spans="1:9" x14ac:dyDescent="0.2">
      <c r="A41" s="1215"/>
      <c r="B41" s="1216"/>
      <c r="C41" s="1217"/>
      <c r="D41" s="46" t="str">
        <f>IF(A41&lt;&gt;0,VLOOKUP(A41,Transporte,8,FALSE),$J$1)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955"/>
    </row>
    <row r="42" spans="1:9" x14ac:dyDescent="0.2">
      <c r="A42" s="1215"/>
      <c r="B42" s="1216"/>
      <c r="C42" s="1217"/>
      <c r="D42" s="46" t="str">
        <f>IF(A42&lt;&gt;0,VLOOKUP(A42,Transporte,8,FALSE),$J$1)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955"/>
    </row>
    <row r="43" spans="1:9" x14ac:dyDescent="0.2">
      <c r="A43" s="880" t="s">
        <v>2228</v>
      </c>
      <c r="B43" s="888"/>
      <c r="C43" s="888"/>
      <c r="D43" s="888"/>
      <c r="E43" s="888"/>
      <c r="F43" s="888"/>
      <c r="G43" s="888"/>
      <c r="H43" s="888"/>
      <c r="I43" s="956">
        <f>SUM(I36:I42)</f>
        <v>0</v>
      </c>
    </row>
    <row r="44" spans="1:9" x14ac:dyDescent="0.2">
      <c r="A44" s="1252"/>
      <c r="B44" s="1253"/>
      <c r="C44" s="1253"/>
      <c r="D44" s="1253"/>
      <c r="E44" s="1253"/>
      <c r="F44" s="1253"/>
      <c r="G44" s="1253"/>
      <c r="H44" s="1253"/>
      <c r="I44" s="1254"/>
    </row>
    <row r="45" spans="1:9" x14ac:dyDescent="0.2">
      <c r="A45" s="1200" t="s">
        <v>554</v>
      </c>
      <c r="B45" s="1201"/>
      <c r="C45" s="1201"/>
      <c r="D45" s="1201"/>
      <c r="E45" s="1201"/>
      <c r="F45" s="1201"/>
      <c r="G45" s="1201"/>
      <c r="H45" s="1201"/>
      <c r="I45" s="1202"/>
    </row>
    <row r="46" spans="1:9" s="9" customFormat="1" ht="25.5" x14ac:dyDescent="0.2">
      <c r="A46" s="1246" t="s">
        <v>2229</v>
      </c>
      <c r="B46" s="1247"/>
      <c r="C46" s="1247"/>
      <c r="D46" s="1248" t="s">
        <v>2230</v>
      </c>
      <c r="E46" s="1248"/>
      <c r="F46" s="1248" t="s">
        <v>2218</v>
      </c>
      <c r="G46" s="1248"/>
      <c r="H46" s="881" t="s">
        <v>2216</v>
      </c>
      <c r="I46" s="72"/>
    </row>
    <row r="47" spans="1:9" x14ac:dyDescent="0.2">
      <c r="A47" s="1080" t="s">
        <v>56</v>
      </c>
      <c r="B47" s="1081"/>
      <c r="C47" s="1081"/>
      <c r="D47" s="1082">
        <f>IF(A47&lt;&gt;0,VLOOKUP(A47,Cuadrillas,7,FALSE),$J$1)</f>
        <v>209369.84</v>
      </c>
      <c r="E47" s="1082"/>
      <c r="F47" s="1083">
        <v>9</v>
      </c>
      <c r="G47" s="1083"/>
      <c r="H47" s="7">
        <f>IF(A47&lt;&gt;0,ROUND(D47/F47,2),$J$1)</f>
        <v>23263.32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256"/>
      <c r="B51" s="1257"/>
      <c r="C51" s="1257"/>
      <c r="D51" s="1255" t="str">
        <f>IF(A51&lt;&gt;0,VLOOKUP(A51,Cuadrillas,7,FALSE),$J$1)</f>
        <v>-</v>
      </c>
      <c r="E51" s="1255"/>
      <c r="F51" s="1265"/>
      <c r="G51" s="1265"/>
      <c r="H51" s="293" t="str">
        <f>IF(A51&lt;&gt;0,ROUND(D51/F51,2),$J$1)</f>
        <v>-</v>
      </c>
      <c r="I51" s="304"/>
    </row>
    <row r="52" spans="1:9" x14ac:dyDescent="0.2">
      <c r="A52" s="1106" t="s">
        <v>2231</v>
      </c>
      <c r="B52" s="1203"/>
      <c r="C52" s="1203"/>
      <c r="D52" s="1203"/>
      <c r="E52" s="1203"/>
      <c r="F52" s="1203"/>
      <c r="G52" s="1203"/>
      <c r="H52" s="1203"/>
      <c r="I52" s="957">
        <f>SUM(H47:H51)</f>
        <v>23263.32</v>
      </c>
    </row>
    <row r="53" spans="1:9" x14ac:dyDescent="0.2">
      <c r="A53" s="1260"/>
      <c r="B53" s="1261"/>
      <c r="C53" s="1261"/>
      <c r="D53" s="1261"/>
      <c r="E53" s="1261"/>
      <c r="F53" s="1261"/>
      <c r="G53" s="1261"/>
      <c r="H53" s="1261"/>
      <c r="I53" s="1262"/>
    </row>
    <row r="54" spans="1:9" x14ac:dyDescent="0.2">
      <c r="A54" s="1273" t="s">
        <v>2232</v>
      </c>
      <c r="B54" s="1274"/>
      <c r="C54" s="1274"/>
      <c r="D54" s="1274"/>
      <c r="E54" s="1274"/>
      <c r="F54" s="1274"/>
      <c r="G54" s="1274"/>
      <c r="H54" s="1274"/>
      <c r="I54" s="324" t="e">
        <f>I21+I32+I43</f>
        <v>#REF!</v>
      </c>
    </row>
    <row r="55" spans="1:9" s="368" customFormat="1" ht="13.5" thickBot="1" x14ac:dyDescent="0.25">
      <c r="A55" s="1258" t="s">
        <v>2233</v>
      </c>
      <c r="B55" s="1259"/>
      <c r="C55" s="1259"/>
      <c r="D55" s="1259"/>
      <c r="E55" s="1259"/>
      <c r="F55" s="1259"/>
      <c r="G55" s="1259"/>
      <c r="H55" s="1259"/>
      <c r="I55" s="311">
        <f>I52</f>
        <v>23263.32</v>
      </c>
    </row>
    <row r="56" spans="1:9" s="9" customFormat="1" ht="25.5" customHeight="1" thickTop="1" thickBot="1" x14ac:dyDescent="0.25">
      <c r="A56" s="1195" t="s">
        <v>2234</v>
      </c>
      <c r="B56" s="1196"/>
      <c r="C56" s="1196"/>
      <c r="D56" s="1196"/>
      <c r="E56" s="1196"/>
      <c r="F56" s="1196"/>
      <c r="G56" s="1196"/>
      <c r="H56" s="258"/>
      <c r="I56" s="239" t="e">
        <f>I54+I55</f>
        <v>#REF!</v>
      </c>
    </row>
    <row r="57" spans="1:9" s="9" customFormat="1" ht="25.5" customHeight="1" thickTop="1" thickBot="1" x14ac:dyDescent="0.25">
      <c r="A57" s="1095" t="s">
        <v>10</v>
      </c>
      <c r="B57" s="1096"/>
      <c r="C57" s="1096"/>
      <c r="D57" s="1097">
        <f>+'Datos entrada'!B7</f>
        <v>0.3</v>
      </c>
      <c r="E57" s="1098"/>
      <c r="F57" s="1099" t="e">
        <f>I56*D57</f>
        <v>#REF!</v>
      </c>
      <c r="G57" s="1099"/>
      <c r="H57" s="1099"/>
      <c r="I57" s="1100"/>
    </row>
    <row r="58" spans="1:9" s="9" customFormat="1" ht="25.5" customHeight="1" thickTop="1" thickBot="1" x14ac:dyDescent="0.25">
      <c r="A58" s="1095" t="s">
        <v>2236</v>
      </c>
      <c r="B58" s="1096"/>
      <c r="C58" s="1096"/>
      <c r="D58" s="1096"/>
      <c r="E58" s="1096"/>
      <c r="F58" s="1096"/>
      <c r="G58" s="1096"/>
      <c r="H58" s="1191" t="e">
        <f>I56+F57</f>
        <v>#REF!</v>
      </c>
      <c r="I58" s="1192"/>
    </row>
    <row r="59" spans="1:9" ht="13.5" thickTop="1" x14ac:dyDescent="0.2">
      <c r="I59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1:C11"/>
    <mergeCell ref="A12:C12"/>
    <mergeCell ref="A25:C25"/>
    <mergeCell ref="A52:H52"/>
    <mergeCell ref="B40:C40"/>
    <mergeCell ref="A42:C42"/>
    <mergeCell ref="B36:C36"/>
    <mergeCell ref="A39:C39"/>
    <mergeCell ref="A41:C41"/>
    <mergeCell ref="A35:C35"/>
    <mergeCell ref="A38:C38"/>
    <mergeCell ref="A45:I45"/>
    <mergeCell ref="A57:C57"/>
    <mergeCell ref="D57:E57"/>
    <mergeCell ref="A44:I44"/>
    <mergeCell ref="F46:G46"/>
    <mergeCell ref="F47:G47"/>
    <mergeCell ref="A50:C50"/>
    <mergeCell ref="A55:H55"/>
    <mergeCell ref="D51:E51"/>
    <mergeCell ref="D49:E49"/>
    <mergeCell ref="F49:G49"/>
    <mergeCell ref="A51:C51"/>
    <mergeCell ref="D50:E50"/>
    <mergeCell ref="D47:E47"/>
    <mergeCell ref="A46:C46"/>
    <mergeCell ref="A47:C47"/>
    <mergeCell ref="D46:E46"/>
    <mergeCell ref="H58:I58"/>
    <mergeCell ref="A29:C29"/>
    <mergeCell ref="A30:C30"/>
    <mergeCell ref="A48:C48"/>
    <mergeCell ref="F51:G51"/>
    <mergeCell ref="F50:G50"/>
    <mergeCell ref="A49:C49"/>
    <mergeCell ref="F48:G48"/>
    <mergeCell ref="D48:E48"/>
    <mergeCell ref="A58:G58"/>
    <mergeCell ref="F57:I57"/>
    <mergeCell ref="A53:I53"/>
    <mergeCell ref="A56:G56"/>
    <mergeCell ref="A54:H54"/>
    <mergeCell ref="A34:C34"/>
    <mergeCell ref="A37:C37"/>
    <mergeCell ref="H1:I1"/>
    <mergeCell ref="A31:C31"/>
    <mergeCell ref="A13:C13"/>
    <mergeCell ref="A26:C26"/>
    <mergeCell ref="A14:C14"/>
    <mergeCell ref="A15:C15"/>
    <mergeCell ref="A19:C19"/>
    <mergeCell ref="A20:C20"/>
    <mergeCell ref="A16:C16"/>
    <mergeCell ref="A17:C17"/>
    <mergeCell ref="A18:C18"/>
    <mergeCell ref="A1:C1"/>
    <mergeCell ref="A8:C8"/>
    <mergeCell ref="A27:C27"/>
    <mergeCell ref="A28:C28"/>
    <mergeCell ref="A9:C9"/>
  </mergeCells>
  <phoneticPr fontId="0" type="noConversion"/>
  <dataValidations count="4">
    <dataValidation type="list" allowBlank="1" showInputMessage="1" showErrorMessage="1" sqref="A25:A31">
      <formula1>Descrip_equipos</formula1>
    </dataValidation>
    <dataValidation type="list" allowBlank="1" showInputMessage="1" showErrorMessage="1" sqref="A47:C51">
      <formula1>Descrip_cuadrillas</formula1>
    </dataValidation>
    <dataValidation type="list" allowBlank="1" showInputMessage="1" showErrorMessage="1" sqref="A36:A43">
      <formula1>Descrip_transporte</formula1>
    </dataValidation>
    <dataValidation type="list" allowBlank="1" showInputMessage="1" showErrorMessage="1" sqref="A8:A20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FF00"/>
    <pageSetUpPr fitToPage="1"/>
  </sheetPr>
  <dimension ref="A1:K62"/>
  <sheetViews>
    <sheetView view="pageBreakPreview" topLeftCell="A31" zoomScale="85" zoomScaleNormal="100" zoomScaleSheetLayoutView="85" workbookViewId="0">
      <selection activeCell="A37" sqref="A37:C37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20.25" thickTop="1" x14ac:dyDescent="0.2">
      <c r="A1" s="1131"/>
      <c r="B1" s="1220"/>
      <c r="C1" s="1220"/>
      <c r="D1" s="93"/>
      <c r="E1" s="93"/>
      <c r="F1" s="93"/>
      <c r="G1" s="93"/>
      <c r="H1" s="1129"/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43" t="str">
        <f>'Datos entrada'!B2</f>
        <v>Análisis de Precios Unitarios</v>
      </c>
      <c r="B3" s="244"/>
      <c r="C3" s="244"/>
      <c r="D3" s="244"/>
      <c r="E3" s="244"/>
      <c r="F3" s="244"/>
      <c r="G3" s="244"/>
      <c r="H3" s="244"/>
      <c r="I3" s="245"/>
    </row>
    <row r="4" spans="1:10" s="10" customFormat="1" ht="33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47" t="s">
        <v>2297</v>
      </c>
      <c r="C5" s="1227" t="s">
        <v>2300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155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15" t="s">
        <v>210</v>
      </c>
      <c r="B8" s="1216"/>
      <c r="C8" s="1217"/>
      <c r="D8" s="851" t="e">
        <f t="shared" ref="D8:D18" si="0">IF(A8&lt;&gt;0,VLOOKUP(A8,Materiales,2,FALSE),$J$1)</f>
        <v>#REF!</v>
      </c>
      <c r="E8" s="12">
        <v>362.5</v>
      </c>
      <c r="F8" s="21" t="e">
        <f t="shared" ref="F8:F18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154</v>
      </c>
      <c r="B9" s="1216"/>
      <c r="C9" s="1217"/>
      <c r="D9" s="851" t="e">
        <f t="shared" si="0"/>
        <v>#REF!</v>
      </c>
      <c r="E9" s="12">
        <v>1.1599999999999999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139</v>
      </c>
      <c r="B10" s="1216"/>
      <c r="C10" s="1217"/>
      <c r="D10" s="851" t="e">
        <f t="shared" si="0"/>
        <v>#REF!</v>
      </c>
      <c r="E10" s="12">
        <v>250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 t="shared" si="1"/>
        <v>-</v>
      </c>
      <c r="G11" s="22"/>
      <c r="H11" s="8" t="str">
        <f t="shared" si="2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si="1"/>
        <v>-</v>
      </c>
      <c r="G12" s="22"/>
      <c r="H12" s="8" t="str">
        <f t="shared" si="2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871"/>
      <c r="B14" s="872"/>
      <c r="C14" s="873"/>
      <c r="D14" s="101" t="str">
        <f t="shared" si="0"/>
        <v>-</v>
      </c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1"/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1"/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902"/>
      <c r="C21" s="902"/>
      <c r="D21" s="902"/>
      <c r="E21" s="902"/>
      <c r="F21" s="902"/>
      <c r="G21" s="902"/>
      <c r="H21" s="902"/>
      <c r="I21" s="903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</v>
      </c>
      <c r="E23" s="28"/>
      <c r="F23" s="12">
        <f t="shared" ref="F23:F29" si="3">IF(A23&lt;&gt;0,VLOOKUP(A23,Equipos,6,FALSE),$J$1)</f>
        <v>3710</v>
      </c>
      <c r="G23" s="14">
        <v>0.75</v>
      </c>
      <c r="H23" s="8">
        <f t="shared" ref="H23:H29" si="4">IF(A23&lt;&gt;0,ROUND((F23/D23)*G23,2),$J$1)</f>
        <v>2782.5</v>
      </c>
      <c r="I23" s="69"/>
    </row>
    <row r="24" spans="1:9" x14ac:dyDescent="0.2">
      <c r="A24" s="1215" t="s">
        <v>478</v>
      </c>
      <c r="B24" s="1216"/>
      <c r="C24" s="1217"/>
      <c r="D24" s="26">
        <v>0.3</v>
      </c>
      <c r="E24" s="28"/>
      <c r="F24" s="12">
        <f t="shared" si="3"/>
        <v>63600</v>
      </c>
      <c r="G24" s="14">
        <v>0.05</v>
      </c>
      <c r="H24" s="8">
        <f t="shared" si="4"/>
        <v>10600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13382.5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902"/>
      <c r="C32" s="902"/>
      <c r="D32" s="902"/>
      <c r="E32" s="902"/>
      <c r="F32" s="902"/>
      <c r="G32" s="902"/>
      <c r="H32" s="902"/>
      <c r="I32" s="903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1086"/>
      <c r="B34" s="1087"/>
      <c r="C34" s="1119"/>
      <c r="D34" s="46"/>
      <c r="E34" s="47"/>
      <c r="F34" s="51"/>
      <c r="G34" s="12"/>
      <c r="H34" s="8"/>
      <c r="I34" s="69"/>
    </row>
    <row r="35" spans="1:9" x14ac:dyDescent="0.2">
      <c r="A35" s="871"/>
      <c r="B35" s="1127" t="s">
        <v>2226</v>
      </c>
      <c r="C35" s="1128"/>
      <c r="D35" s="46"/>
      <c r="E35" s="47"/>
      <c r="F35" s="15"/>
      <c r="G35" s="12"/>
      <c r="H35" s="8"/>
      <c r="I35" s="312">
        <f>SUM(H36:H37)</f>
        <v>0</v>
      </c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>IF(A36&lt;&gt;0,VLOOKUP(A36,Transporte,2,FALSE),$J$1)</f>
        <v>-</v>
      </c>
      <c r="G36" s="12"/>
      <c r="H36" s="8" t="str">
        <f>IF(A36&lt;&gt;0,D36/F36*G36,$J$1)</f>
        <v>-</v>
      </c>
      <c r="I36" s="69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>IF(A37&lt;&gt;0,VLOOKUP(A37,Transporte,2,FALSE),$J$1)</f>
        <v>-</v>
      </c>
      <c r="G37" s="12"/>
      <c r="H37" s="8" t="str">
        <f>IF(A37&lt;&gt;0,D37/F37*G37,$J$1)</f>
        <v>-</v>
      </c>
      <c r="I37" s="69"/>
    </row>
    <row r="38" spans="1:9" x14ac:dyDescent="0.2">
      <c r="A38" s="871"/>
      <c r="B38" s="1127" t="s">
        <v>2227</v>
      </c>
      <c r="C38" s="1128"/>
      <c r="D38" s="46"/>
      <c r="E38" s="47"/>
      <c r="F38" s="15"/>
      <c r="G38" s="12"/>
      <c r="H38" s="8"/>
      <c r="I38" s="312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>IF(A39&lt;&gt;0,VLOOKUP(A39,Transporte,2,FALSE),$J$1)</f>
        <v>-</v>
      </c>
      <c r="G39" s="12"/>
      <c r="H39" s="8" t="str">
        <f>IF(A39&lt;&gt;0,D39/F39*G39,$J$1)</f>
        <v>-</v>
      </c>
      <c r="I39" s="69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>IF(A40&lt;&gt;0,VLOOKUP(A40,Transporte,2,FALSE),$J$1)</f>
        <v>-</v>
      </c>
      <c r="G40" s="12"/>
      <c r="H40" s="8" t="str">
        <f>IF(A40&lt;&gt;0,D40/F40*G40,$J$1)</f>
        <v>-</v>
      </c>
      <c r="I40" s="73"/>
    </row>
    <row r="41" spans="1:9" x14ac:dyDescent="0.2">
      <c r="A41" s="1084" t="s">
        <v>2237</v>
      </c>
      <c r="B41" s="1085"/>
      <c r="C41" s="1085"/>
      <c r="D41" s="1085"/>
      <c r="E41" s="1085"/>
      <c r="F41" s="1085"/>
      <c r="G41" s="1085"/>
      <c r="H41" s="1133"/>
      <c r="I41" s="241">
        <f>SUM(I35:I40)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48</v>
      </c>
      <c r="B45" s="1216"/>
      <c r="C45" s="1217"/>
      <c r="D45" s="1225">
        <f>IF(A45&lt;&gt;0,VLOOKUP(A45,Cuadrillas,7,FALSE),$J$1)</f>
        <v>329249.03000000003</v>
      </c>
      <c r="E45" s="1226"/>
      <c r="F45" s="1221">
        <v>5</v>
      </c>
      <c r="G45" s="1222"/>
      <c r="H45" s="8">
        <f>IF(A45&lt;&gt;0,ROUND(D45/F45,2),$J$1)</f>
        <v>65849.81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65849.81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65849.81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05" t="e">
        <f>I54+F55</f>
        <v>#REF!</v>
      </c>
      <c r="I56" s="106"/>
    </row>
    <row r="57" spans="1:11" ht="14.25" thickTop="1" thickBot="1" x14ac:dyDescent="0.25"/>
    <row r="58" spans="1:11" ht="13.5" thickTop="1" x14ac:dyDescent="0.2">
      <c r="A58" s="983" t="str">
        <f>+'Datos entrada'!$B$5</f>
        <v>INGENIERO CIVIL HEBER EDUARDO YEPES VILLOTA</v>
      </c>
      <c r="B58" s="983"/>
      <c r="C58" s="983"/>
      <c r="D58" s="983"/>
      <c r="E58" s="983"/>
      <c r="F58" s="983"/>
      <c r="G58" s="983"/>
      <c r="H58" s="983"/>
      <c r="I58" s="983"/>
    </row>
    <row r="59" spans="1:11" x14ac:dyDescent="0.2">
      <c r="A59" s="984"/>
      <c r="B59" s="984"/>
      <c r="C59" s="984"/>
      <c r="D59" s="984"/>
      <c r="E59" s="984"/>
      <c r="F59" s="984"/>
      <c r="G59" s="984"/>
      <c r="H59" s="984"/>
      <c r="I59" s="984"/>
    </row>
    <row r="60" spans="1:11" x14ac:dyDescent="0.2">
      <c r="A60" s="984"/>
      <c r="B60" s="984"/>
      <c r="C60" s="984"/>
      <c r="D60" s="984"/>
      <c r="E60" s="984"/>
      <c r="F60" s="984"/>
      <c r="G60" s="984"/>
      <c r="H60" s="984"/>
      <c r="I60" s="984"/>
    </row>
    <row r="61" spans="1:11" ht="12.75" customHeight="1" x14ac:dyDescent="0.2">
      <c r="A61" s="984"/>
      <c r="B61" s="984"/>
      <c r="C61" s="984"/>
      <c r="D61" s="984"/>
      <c r="E61" s="984"/>
      <c r="F61" s="984"/>
      <c r="G61" s="984"/>
      <c r="H61" s="984"/>
      <c r="I61" s="984"/>
    </row>
    <row r="62" spans="1:11" x14ac:dyDescent="0.2">
      <c r="A62" s="1234"/>
      <c r="B62" s="1234"/>
      <c r="C62" s="1234"/>
      <c r="D62" s="1234"/>
    </row>
  </sheetData>
  <customSheetViews>
    <customSheetView guid="{93F324B6-F965-4669-93FF-DBB148734A46}" fitToPage="1">
      <selection activeCell="L4" sqref="L4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4">
    <mergeCell ref="A1:C1"/>
    <mergeCell ref="B35:C35"/>
    <mergeCell ref="B38:C38"/>
    <mergeCell ref="F45:G45"/>
    <mergeCell ref="D44:E44"/>
    <mergeCell ref="A41:H41"/>
    <mergeCell ref="D45:E45"/>
    <mergeCell ref="H1:I1"/>
    <mergeCell ref="C5:I5"/>
    <mergeCell ref="A8:C8"/>
    <mergeCell ref="A24:C24"/>
    <mergeCell ref="A9:C9"/>
    <mergeCell ref="A10:C10"/>
    <mergeCell ref="A34:C34"/>
    <mergeCell ref="A11:C11"/>
    <mergeCell ref="A23:C23"/>
    <mergeCell ref="A55:C55"/>
    <mergeCell ref="D55:E55"/>
    <mergeCell ref="A53:H53"/>
    <mergeCell ref="A52:H52"/>
    <mergeCell ref="A51:I51"/>
    <mergeCell ref="A50:H50"/>
    <mergeCell ref="A48:C48"/>
    <mergeCell ref="F49:G49"/>
    <mergeCell ref="A49:C49"/>
    <mergeCell ref="D49:E49"/>
    <mergeCell ref="D48:E48"/>
    <mergeCell ref="F48:G48"/>
    <mergeCell ref="A62:D62"/>
    <mergeCell ref="A42:I42"/>
    <mergeCell ref="A43:I43"/>
    <mergeCell ref="A44:C44"/>
    <mergeCell ref="A45:C45"/>
    <mergeCell ref="F44:G44"/>
    <mergeCell ref="F47:G47"/>
    <mergeCell ref="F46:G46"/>
    <mergeCell ref="D47:E47"/>
    <mergeCell ref="A47:C47"/>
    <mergeCell ref="A46:C46"/>
    <mergeCell ref="D46:E46"/>
    <mergeCell ref="A56:G56"/>
    <mergeCell ref="A54:G54"/>
    <mergeCell ref="F55:I55"/>
    <mergeCell ref="A58:I61"/>
  </mergeCells>
  <phoneticPr fontId="0" type="noConversion"/>
  <dataValidations count="5">
    <dataValidation type="list" allowBlank="1" showInputMessage="1" showErrorMessage="1" sqref="A12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:A11">
      <formula1>Descripción</formula1>
    </dataValidation>
    <dataValidation type="list" allowBlank="1" showInputMessage="1" showErrorMessage="1" sqref="B25:C29 A23:A29 B36:C37 B39:C40 B38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3" orientation="portrait" blackAndWhite="1" errors="blank" r:id="rId2"/>
  <headerFooter alignWithMargins="0">
    <oddFooter xml:space="preserve">&amp;C  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1">
    <tabColor indexed="31"/>
    <pageSetUpPr fitToPage="1"/>
  </sheetPr>
  <dimension ref="A1:J59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244"/>
      <c r="B8" s="1245"/>
      <c r="C8" s="1245"/>
      <c r="D8" s="844" t="str">
        <f t="shared" ref="D8:D20" si="0">IF(A8&lt;&gt;0,VLOOKUP(A8,Materiales,2,FALSE),$J$1)</f>
        <v>-</v>
      </c>
      <c r="E8" s="12"/>
      <c r="F8" s="58" t="str">
        <f t="shared" ref="F8:F20" si="1">IF(A8&lt;&gt;0,VLOOKUP(A8,Materiales,6,FALSE),$J$1)</f>
        <v>-</v>
      </c>
      <c r="G8" s="58"/>
      <c r="H8" s="7" t="str">
        <f t="shared" ref="H8:H20" si="2">IF(A8&lt;&gt;0,ROUND(E8*F8,2),$J$1)</f>
        <v>-</v>
      </c>
      <c r="I8" s="69"/>
    </row>
    <row r="9" spans="1:10" x14ac:dyDescent="0.2">
      <c r="A9" s="1142" t="s">
        <v>421</v>
      </c>
      <c r="B9" s="1143"/>
      <c r="C9" s="1143"/>
      <c r="D9" s="844" t="e">
        <f t="shared" si="0"/>
        <v>#REF!</v>
      </c>
      <c r="E9" s="12">
        <v>2.5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380</v>
      </c>
      <c r="B10" s="1143"/>
      <c r="C10" s="1143"/>
      <c r="D10" s="844" t="e">
        <f t="shared" si="0"/>
        <v>#REF!</v>
      </c>
      <c r="E10" s="12">
        <v>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226</v>
      </c>
      <c r="B11" s="1143"/>
      <c r="C11" s="1143"/>
      <c r="D11" s="844" t="e">
        <f t="shared" si="0"/>
        <v>#REF!</v>
      </c>
      <c r="E11" s="12">
        <v>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138</v>
      </c>
      <c r="B12" s="1250"/>
      <c r="C12" s="1251"/>
      <c r="D12" s="844" t="e">
        <f t="shared" si="0"/>
        <v>#REF!</v>
      </c>
      <c r="E12" s="12">
        <v>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49" t="s">
        <v>376</v>
      </c>
      <c r="B13" s="1250"/>
      <c r="C13" s="1251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142" t="s">
        <v>380</v>
      </c>
      <c r="B14" s="1143"/>
      <c r="C14" s="1143"/>
      <c r="D14" s="844" t="e">
        <f t="shared" si="0"/>
        <v>#REF!</v>
      </c>
      <c r="E14" s="12">
        <v>1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137" t="s">
        <v>355</v>
      </c>
      <c r="B15" s="1143"/>
      <c r="C15" s="1143"/>
      <c r="D15" s="844" t="e">
        <f t="shared" si="0"/>
        <v>#REF!</v>
      </c>
      <c r="E15" s="12">
        <v>0.15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139" t="s">
        <v>274</v>
      </c>
      <c r="B16" s="1140"/>
      <c r="C16" s="1141"/>
      <c r="D16" s="844" t="e">
        <f t="shared" si="0"/>
        <v>#REF!</v>
      </c>
      <c r="E16" s="12">
        <v>0.15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139"/>
      <c r="B17" s="995"/>
      <c r="C17" s="996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139"/>
      <c r="B18" s="1140"/>
      <c r="C18" s="114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120"/>
      <c r="B19" s="1121"/>
      <c r="C19" s="1121"/>
      <c r="D19" s="43" t="str">
        <f t="shared" si="0"/>
        <v>-</v>
      </c>
      <c r="E19" s="52"/>
      <c r="F19" s="838" t="str">
        <f t="shared" si="1"/>
        <v>-</v>
      </c>
      <c r="G19" s="838"/>
      <c r="H19" s="171" t="str">
        <f t="shared" si="2"/>
        <v>-</v>
      </c>
      <c r="I19" s="958"/>
    </row>
    <row r="20" spans="1:9" x14ac:dyDescent="0.2">
      <c r="A20" s="1120"/>
      <c r="B20" s="1121"/>
      <c r="C20" s="1121"/>
      <c r="D20" s="43" t="str">
        <f t="shared" si="0"/>
        <v>-</v>
      </c>
      <c r="E20" s="52"/>
      <c r="F20" s="838" t="str">
        <f t="shared" si="1"/>
        <v>-</v>
      </c>
      <c r="G20" s="838"/>
      <c r="H20" s="171" t="str">
        <f t="shared" si="2"/>
        <v>-</v>
      </c>
      <c r="I20" s="959"/>
    </row>
    <row r="21" spans="1:9" s="350" customFormat="1" x14ac:dyDescent="0.2">
      <c r="A21" s="884" t="s">
        <v>2217</v>
      </c>
      <c r="B21" s="960"/>
      <c r="C21" s="960"/>
      <c r="D21" s="961"/>
      <c r="E21" s="962"/>
      <c r="F21" s="962"/>
      <c r="G21" s="962"/>
      <c r="H21" s="963"/>
      <c r="I21" s="937" t="e">
        <f>SUM(H8:H20)</f>
        <v>#REF!</v>
      </c>
    </row>
    <row r="22" spans="1:9" x14ac:dyDescent="0.2">
      <c r="A22" s="307"/>
      <c r="B22" s="308"/>
      <c r="C22" s="308"/>
      <c r="D22" s="308"/>
      <c r="E22" s="308"/>
      <c r="F22" s="308"/>
      <c r="G22" s="308"/>
      <c r="H22" s="308"/>
      <c r="I22" s="309"/>
    </row>
    <row r="23" spans="1:9" x14ac:dyDescent="0.2">
      <c r="A23" s="875" t="s">
        <v>454</v>
      </c>
      <c r="B23" s="876"/>
      <c r="C23" s="876"/>
      <c r="D23" s="876"/>
      <c r="E23" s="876"/>
      <c r="F23" s="876"/>
      <c r="G23" s="876"/>
      <c r="H23" s="876"/>
      <c r="I23" s="286"/>
    </row>
    <row r="24" spans="1:9" s="9" customFormat="1" ht="25.5" x14ac:dyDescent="0.2">
      <c r="A24" s="227" t="s">
        <v>26</v>
      </c>
      <c r="B24" s="225"/>
      <c r="C24" s="225"/>
      <c r="D24" s="225" t="s">
        <v>2218</v>
      </c>
      <c r="E24" s="225"/>
      <c r="F24" s="225" t="s">
        <v>2219</v>
      </c>
      <c r="G24" s="858" t="s">
        <v>2220</v>
      </c>
      <c r="H24" s="858" t="s">
        <v>2216</v>
      </c>
      <c r="I24" s="72"/>
    </row>
    <row r="25" spans="1:9" x14ac:dyDescent="0.2">
      <c r="A25" s="1080" t="s">
        <v>477</v>
      </c>
      <c r="B25" s="1081"/>
      <c r="C25" s="1081"/>
      <c r="D25" s="33">
        <v>1</v>
      </c>
      <c r="E25" s="33"/>
      <c r="F25" s="12">
        <f t="shared" ref="F25:F31" si="3">IF(A25&lt;&gt;0,VLOOKUP(A25,Equipos,6,FALSE),$J$1)</f>
        <v>3710</v>
      </c>
      <c r="G25" s="14">
        <v>1</v>
      </c>
      <c r="H25" s="7">
        <f t="shared" ref="H25:H30" si="4">IF(A25&lt;&gt;0,ROUND((F25/D25)*G25,2),$J$1)</f>
        <v>3710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60"/>
    </row>
    <row r="31" spans="1:9" x14ac:dyDescent="0.2">
      <c r="A31" s="1256"/>
      <c r="B31" s="1081"/>
      <c r="C31" s="1081"/>
      <c r="D31" s="33"/>
      <c r="E31" s="33"/>
      <c r="F31" s="12" t="str">
        <f t="shared" si="3"/>
        <v>-</v>
      </c>
      <c r="G31" s="14"/>
      <c r="H31" s="7"/>
      <c r="I31" s="304"/>
    </row>
    <row r="32" spans="1:9" x14ac:dyDescent="0.2">
      <c r="A32" s="887" t="s">
        <v>2221</v>
      </c>
      <c r="B32" s="888"/>
      <c r="C32" s="888"/>
      <c r="D32" s="323"/>
      <c r="E32" s="893"/>
      <c r="F32" s="893"/>
      <c r="G32" s="893"/>
      <c r="H32" s="894"/>
      <c r="I32" s="937">
        <f>SUM(H25:H31)</f>
        <v>3710</v>
      </c>
    </row>
    <row r="33" spans="1:9" x14ac:dyDescent="0.2">
      <c r="A33" s="307"/>
      <c r="B33" s="308"/>
      <c r="C33" s="308"/>
      <c r="D33" s="308"/>
      <c r="E33" s="308"/>
      <c r="F33" s="308"/>
      <c r="G33" s="308"/>
      <c r="H33" s="308"/>
      <c r="I33" s="381"/>
    </row>
    <row r="34" spans="1:9" x14ac:dyDescent="0.2">
      <c r="A34" s="1354" t="s">
        <v>2222</v>
      </c>
      <c r="B34" s="1355"/>
      <c r="C34" s="1355"/>
      <c r="D34" s="876"/>
      <c r="E34" s="876"/>
      <c r="F34" s="876"/>
      <c r="G34" s="876"/>
      <c r="H34" s="876"/>
      <c r="I34" s="877"/>
    </row>
    <row r="35" spans="1:9" s="9" customFormat="1" ht="25.5" x14ac:dyDescent="0.2">
      <c r="A35" s="227" t="s">
        <v>26</v>
      </c>
      <c r="B35" s="225"/>
      <c r="C35" s="225"/>
      <c r="D35" s="235" t="s">
        <v>2223</v>
      </c>
      <c r="E35" s="235"/>
      <c r="F35" s="881" t="s">
        <v>2224</v>
      </c>
      <c r="G35" s="881" t="s">
        <v>2225</v>
      </c>
      <c r="H35" s="881" t="s">
        <v>2216</v>
      </c>
      <c r="I35" s="384"/>
    </row>
    <row r="36" spans="1:9" x14ac:dyDescent="0.2">
      <c r="B36" s="382" t="s">
        <v>2226</v>
      </c>
      <c r="C36" s="378"/>
      <c r="D36" s="46"/>
      <c r="E36" s="47"/>
      <c r="F36" s="15"/>
      <c r="G36" s="12"/>
      <c r="H36" s="7"/>
      <c r="I36" s="385">
        <f>SUM(H37:H38)</f>
        <v>0</v>
      </c>
    </row>
    <row r="37" spans="1:9" x14ac:dyDescent="0.2">
      <c r="A37" s="1306"/>
      <c r="B37" s="1307"/>
      <c r="C37" s="1308"/>
      <c r="D37" s="46" t="str">
        <f>IF(A37&lt;&gt;0,VLOOKUP(A37,Transporte,8,FALSE),$J$1)</f>
        <v>-</v>
      </c>
      <c r="E37" s="47"/>
      <c r="F37" s="15" t="str">
        <f t="shared" ref="F37:F42" si="5">IF(A37&lt;&gt;0,VLOOKUP(A37,Transporte,2,FALSE),$J$1)</f>
        <v>-</v>
      </c>
      <c r="G37" s="12"/>
      <c r="H37" s="7" t="str">
        <f t="shared" ref="H37:H42" si="6">IF(A37&lt;&gt;0,D37/F37*G37,$J$1)</f>
        <v>-</v>
      </c>
      <c r="I37" s="345"/>
    </row>
    <row r="38" spans="1:9" x14ac:dyDescent="0.2">
      <c r="A38" s="1306"/>
      <c r="B38" s="1307"/>
      <c r="C38" s="1308"/>
      <c r="D38" s="46" t="str">
        <f>IF(A38&lt;&gt;0,VLOOKUP(A38,Transporte,8,FALSE),$J$1)</f>
        <v>-</v>
      </c>
      <c r="E38" s="47"/>
      <c r="F38" s="15" t="str">
        <f t="shared" si="5"/>
        <v>-</v>
      </c>
      <c r="G38" s="12"/>
      <c r="H38" s="7" t="str">
        <f t="shared" si="6"/>
        <v>-</v>
      </c>
      <c r="I38" s="365"/>
    </row>
    <row r="39" spans="1:9" x14ac:dyDescent="0.2">
      <c r="A39" s="890"/>
      <c r="B39" s="1105" t="s">
        <v>2227</v>
      </c>
      <c r="C39" s="1104"/>
      <c r="D39" s="46"/>
      <c r="E39" s="47"/>
      <c r="F39" s="15"/>
      <c r="G39" s="12"/>
      <c r="H39" s="7"/>
      <c r="I39" s="385">
        <f>SUM(H40:H42)</f>
        <v>0</v>
      </c>
    </row>
    <row r="40" spans="1:9" x14ac:dyDescent="0.2">
      <c r="A40" s="1215"/>
      <c r="B40" s="1216"/>
      <c r="C40" s="1217"/>
      <c r="D40" s="46" t="str">
        <f>IF(A40&lt;&gt;0,VLOOKUP(A40,Transporte,8,FALSE),$J$1)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A41" s="1215"/>
      <c r="B41" s="1216"/>
      <c r="C41" s="1217"/>
      <c r="D41" s="46" t="str">
        <f>IF(A41&lt;&gt;0,VLOOKUP(A41,Transporte,8,FALSE),$J$1)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45"/>
    </row>
    <row r="42" spans="1:9" x14ac:dyDescent="0.2">
      <c r="A42" s="1215"/>
      <c r="B42" s="1216"/>
      <c r="C42" s="1217"/>
      <c r="D42" s="61" t="str">
        <f>IF(A31&lt;&gt;0,VLOOKUP(#REF!,Transporte,8,FALSE),$J$1)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65"/>
    </row>
    <row r="43" spans="1:9" x14ac:dyDescent="0.2">
      <c r="A43" s="880" t="s">
        <v>2228</v>
      </c>
      <c r="B43" s="888"/>
      <c r="C43" s="888"/>
      <c r="D43" s="888"/>
      <c r="E43" s="888"/>
      <c r="F43" s="888"/>
      <c r="G43" s="888"/>
      <c r="H43" s="888"/>
      <c r="I43" s="964">
        <f>SUM(I36:I42)</f>
        <v>0</v>
      </c>
    </row>
    <row r="44" spans="1:9" x14ac:dyDescent="0.2">
      <c r="A44" s="1252"/>
      <c r="B44" s="1253"/>
      <c r="C44" s="1253"/>
      <c r="D44" s="1253"/>
      <c r="E44" s="1253"/>
      <c r="F44" s="1253"/>
      <c r="G44" s="1253"/>
      <c r="H44" s="1253"/>
      <c r="I44" s="1254"/>
    </row>
    <row r="45" spans="1:9" x14ac:dyDescent="0.2">
      <c r="A45" s="1200" t="s">
        <v>554</v>
      </c>
      <c r="B45" s="1201"/>
      <c r="C45" s="1201"/>
      <c r="D45" s="1201"/>
      <c r="E45" s="1201"/>
      <c r="F45" s="1201"/>
      <c r="G45" s="1201"/>
      <c r="H45" s="1201"/>
      <c r="I45" s="1202"/>
    </row>
    <row r="46" spans="1:9" s="9" customFormat="1" ht="25.5" x14ac:dyDescent="0.2">
      <c r="A46" s="1246" t="s">
        <v>2229</v>
      </c>
      <c r="B46" s="1247"/>
      <c r="C46" s="1247"/>
      <c r="D46" s="1248" t="s">
        <v>2230</v>
      </c>
      <c r="E46" s="1248"/>
      <c r="F46" s="1248" t="s">
        <v>2218</v>
      </c>
      <c r="G46" s="1248"/>
      <c r="H46" s="881" t="s">
        <v>2216</v>
      </c>
      <c r="I46" s="72"/>
    </row>
    <row r="47" spans="1:9" x14ac:dyDescent="0.2">
      <c r="A47" s="1080" t="s">
        <v>56</v>
      </c>
      <c r="B47" s="1081"/>
      <c r="C47" s="1081"/>
      <c r="D47" s="1082">
        <f>IF(A47&lt;&gt;0,VLOOKUP(A47,Cuadrillas,7,FALSE),$J$1)</f>
        <v>209369.84</v>
      </c>
      <c r="E47" s="1082"/>
      <c r="F47" s="1083">
        <v>9</v>
      </c>
      <c r="G47" s="1083"/>
      <c r="H47" s="7">
        <f>IF(A47&lt;&gt;0,ROUND(D47/F47,2),$J$1)</f>
        <v>23263.32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350" t="str">
        <f>IF(A50&lt;&gt;0,VLOOKUP(A50,Cuadrillas,7,FALSE),$J$1)</f>
        <v>-</v>
      </c>
      <c r="E50" s="1350"/>
      <c r="F50" s="1351"/>
      <c r="G50" s="1351"/>
      <c r="H50" s="171" t="str">
        <f>IF(A50&lt;&gt;0,ROUND(D50/F50,2),$J$1)</f>
        <v>-</v>
      </c>
      <c r="I50" s="297"/>
    </row>
    <row r="51" spans="1:9" x14ac:dyDescent="0.2">
      <c r="A51" s="1256"/>
      <c r="B51" s="1257"/>
      <c r="C51" s="1257"/>
      <c r="D51" s="1350" t="str">
        <f>IF(A51&lt;&gt;0,VLOOKUP(A51,Cuadrillas,7,FALSE),$J$1)</f>
        <v>-</v>
      </c>
      <c r="E51" s="1350"/>
      <c r="F51" s="1351"/>
      <c r="G51" s="1351"/>
      <c r="H51" s="171" t="str">
        <f>IF(A51&lt;&gt;0,ROUND(D51/F51,2),$J$1)</f>
        <v>-</v>
      </c>
      <c r="I51" s="304"/>
    </row>
    <row r="52" spans="1:9" x14ac:dyDescent="0.2">
      <c r="A52" s="1106" t="s">
        <v>2231</v>
      </c>
      <c r="B52" s="1203"/>
      <c r="C52" s="1203"/>
      <c r="D52" s="1203"/>
      <c r="E52" s="1203"/>
      <c r="F52" s="1203"/>
      <c r="G52" s="1203"/>
      <c r="H52" s="1203"/>
      <c r="I52" s="954">
        <f>SUM(H47:H51)</f>
        <v>23263.32</v>
      </c>
    </row>
    <row r="53" spans="1:9" x14ac:dyDescent="0.2">
      <c r="A53" s="1260"/>
      <c r="B53" s="1261"/>
      <c r="C53" s="1261"/>
      <c r="D53" s="1261"/>
      <c r="E53" s="1261"/>
      <c r="F53" s="1261"/>
      <c r="G53" s="1261"/>
      <c r="H53" s="1261"/>
      <c r="I53" s="1262"/>
    </row>
    <row r="54" spans="1:9" x14ac:dyDescent="0.2">
      <c r="A54" s="1273" t="s">
        <v>2232</v>
      </c>
      <c r="B54" s="1274"/>
      <c r="C54" s="1274"/>
      <c r="D54" s="1274"/>
      <c r="E54" s="1274"/>
      <c r="F54" s="1274"/>
      <c r="G54" s="1274"/>
      <c r="H54" s="1274"/>
      <c r="I54" s="324" t="e">
        <f>I21+I32+I43</f>
        <v>#REF!</v>
      </c>
    </row>
    <row r="55" spans="1:9" s="368" customFormat="1" ht="13.5" thickBot="1" x14ac:dyDescent="0.25">
      <c r="A55" s="1258" t="s">
        <v>2233</v>
      </c>
      <c r="B55" s="1259"/>
      <c r="C55" s="1259"/>
      <c r="D55" s="1259"/>
      <c r="E55" s="1259"/>
      <c r="F55" s="1259"/>
      <c r="G55" s="1259"/>
      <c r="H55" s="1259"/>
      <c r="I55" s="311">
        <f>I52</f>
        <v>23263.32</v>
      </c>
    </row>
    <row r="56" spans="1:9" s="9" customFormat="1" ht="25.5" customHeight="1" thickTop="1" thickBot="1" x14ac:dyDescent="0.25">
      <c r="A56" s="1195" t="s">
        <v>2234</v>
      </c>
      <c r="B56" s="1196"/>
      <c r="C56" s="1196"/>
      <c r="D56" s="1196"/>
      <c r="E56" s="1196"/>
      <c r="F56" s="1196"/>
      <c r="G56" s="1196"/>
      <c r="H56" s="258"/>
      <c r="I56" s="239" t="e">
        <f>I54+I55</f>
        <v>#REF!</v>
      </c>
    </row>
    <row r="57" spans="1:9" s="9" customFormat="1" ht="25.5" customHeight="1" thickTop="1" thickBot="1" x14ac:dyDescent="0.25">
      <c r="A57" s="1095" t="s">
        <v>10</v>
      </c>
      <c r="B57" s="1096"/>
      <c r="C57" s="1096"/>
      <c r="D57" s="1097">
        <f>+'Datos entrada'!B7</f>
        <v>0.3</v>
      </c>
      <c r="E57" s="1098"/>
      <c r="F57" s="1099" t="e">
        <f>I56*D57</f>
        <v>#REF!</v>
      </c>
      <c r="G57" s="1099"/>
      <c r="H57" s="1099"/>
      <c r="I57" s="1100"/>
    </row>
    <row r="58" spans="1:9" s="9" customFormat="1" ht="25.5" customHeight="1" thickTop="1" thickBot="1" x14ac:dyDescent="0.25">
      <c r="A58" s="1095" t="s">
        <v>2236</v>
      </c>
      <c r="B58" s="1096"/>
      <c r="C58" s="1096"/>
      <c r="D58" s="1096"/>
      <c r="E58" s="1096"/>
      <c r="F58" s="1096"/>
      <c r="G58" s="1096"/>
      <c r="H58" s="1191" t="e">
        <f>I56+F57</f>
        <v>#REF!</v>
      </c>
      <c r="I58" s="1192"/>
    </row>
    <row r="59" spans="1:9" ht="13.5" thickTop="1" x14ac:dyDescent="0.2">
      <c r="I59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5:C25"/>
    <mergeCell ref="A26:C26"/>
    <mergeCell ref="A44:I44"/>
    <mergeCell ref="A28:C28"/>
    <mergeCell ref="A29:C29"/>
    <mergeCell ref="A30:C30"/>
    <mergeCell ref="A31:C31"/>
    <mergeCell ref="A34:C34"/>
    <mergeCell ref="A37:C37"/>
    <mergeCell ref="A38:C38"/>
    <mergeCell ref="B39:C39"/>
    <mergeCell ref="A40:C40"/>
    <mergeCell ref="A41:C41"/>
    <mergeCell ref="A42:C42"/>
    <mergeCell ref="A45:I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8:G58"/>
    <mergeCell ref="H58:I58"/>
    <mergeCell ref="A52:H52"/>
    <mergeCell ref="A53:I53"/>
    <mergeCell ref="A54:H54"/>
    <mergeCell ref="A55:H55"/>
    <mergeCell ref="A56:G56"/>
    <mergeCell ref="A57:C57"/>
    <mergeCell ref="D57:E57"/>
    <mergeCell ref="F57:I57"/>
  </mergeCells>
  <dataValidations count="4">
    <dataValidation type="list" allowBlank="1" showInputMessage="1" showErrorMessage="1" sqref="A8:A20">
      <formula1>Descripción</formula1>
    </dataValidation>
    <dataValidation type="list" allowBlank="1" showInputMessage="1" showErrorMessage="1" sqref="A37:A43">
      <formula1>Descrip_transporte</formula1>
    </dataValidation>
    <dataValidation type="list" allowBlank="1" showInputMessage="1" showErrorMessage="1" sqref="A47:C51">
      <formula1>Descrip_cuadrillas</formula1>
    </dataValidation>
    <dataValidation type="list" allowBlank="1" showInputMessage="1" showErrorMessage="1" sqref="A25:A31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3">
    <tabColor indexed="31"/>
    <pageSetUpPr fitToPage="1"/>
  </sheetPr>
  <dimension ref="A1:J59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244" t="s">
        <v>417</v>
      </c>
      <c r="B8" s="1245"/>
      <c r="C8" s="1245"/>
      <c r="D8" s="844" t="e">
        <f t="shared" ref="D8:D20" si="0">IF(A8&lt;&gt;0,VLOOKUP(A8,Materiales,2,FALSE),$J$1)</f>
        <v>#REF!</v>
      </c>
      <c r="E8" s="12">
        <v>1.5</v>
      </c>
      <c r="F8" s="58" t="e">
        <f t="shared" ref="F8:F20" si="1">IF(A8&lt;&gt;0,VLOOKUP(A8,Materiales,6,FALSE),$J$1)</f>
        <v>#REF!</v>
      </c>
      <c r="G8" s="58"/>
      <c r="H8" s="7" t="e">
        <f t="shared" ref="H8:H20" si="2">IF(A8&lt;&gt;0,ROUND(E8*F8,2),$J$1)</f>
        <v>#REF!</v>
      </c>
      <c r="I8" s="69"/>
    </row>
    <row r="9" spans="1:10" x14ac:dyDescent="0.2">
      <c r="A9" s="1142" t="s">
        <v>421</v>
      </c>
      <c r="B9" s="1143"/>
      <c r="C9" s="1143"/>
      <c r="D9" s="844" t="e">
        <f t="shared" si="0"/>
        <v>#REF!</v>
      </c>
      <c r="E9" s="12">
        <v>2.5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227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226</v>
      </c>
      <c r="B11" s="1143"/>
      <c r="C11" s="1143"/>
      <c r="D11" s="844" t="e">
        <f t="shared" si="0"/>
        <v>#REF!</v>
      </c>
      <c r="E11" s="12">
        <v>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138</v>
      </c>
      <c r="B12" s="1250"/>
      <c r="C12" s="1251"/>
      <c r="D12" s="844" t="e">
        <f t="shared" si="0"/>
        <v>#REF!</v>
      </c>
      <c r="E12" s="12">
        <v>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49" t="s">
        <v>382</v>
      </c>
      <c r="B13" s="1250"/>
      <c r="C13" s="1251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142" t="s">
        <v>380</v>
      </c>
      <c r="B14" s="1143"/>
      <c r="C14" s="1143"/>
      <c r="D14" s="844" t="e">
        <f t="shared" si="0"/>
        <v>#REF!</v>
      </c>
      <c r="E14" s="12">
        <v>1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137" t="s">
        <v>296</v>
      </c>
      <c r="B15" s="1143"/>
      <c r="C15" s="1143"/>
      <c r="D15" s="844" t="e">
        <f t="shared" si="0"/>
        <v>#REF!</v>
      </c>
      <c r="E15" s="12">
        <v>1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139" t="s">
        <v>225</v>
      </c>
      <c r="B16" s="1140"/>
      <c r="C16" s="1141"/>
      <c r="D16" s="844" t="e">
        <f t="shared" si="0"/>
        <v>#REF!</v>
      </c>
      <c r="E16" s="12">
        <v>1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139" t="s">
        <v>295</v>
      </c>
      <c r="B17" s="1140"/>
      <c r="C17" s="1141"/>
      <c r="D17" s="844" t="e">
        <f t="shared" si="0"/>
        <v>#REF!</v>
      </c>
      <c r="E17" s="12">
        <v>1</v>
      </c>
      <c r="F17" s="58" t="e">
        <f t="shared" si="1"/>
        <v>#REF!</v>
      </c>
      <c r="G17" s="58"/>
      <c r="H17" s="7" t="e">
        <f t="shared" si="2"/>
        <v>#REF!</v>
      </c>
      <c r="I17" s="69"/>
    </row>
    <row r="18" spans="1:9" x14ac:dyDescent="0.2">
      <c r="A18" s="1139" t="s">
        <v>376</v>
      </c>
      <c r="B18" s="1140"/>
      <c r="C18" s="1141"/>
      <c r="D18" s="844" t="e">
        <f t="shared" si="0"/>
        <v>#REF!</v>
      </c>
      <c r="E18" s="12">
        <v>1</v>
      </c>
      <c r="F18" s="58" t="e">
        <f t="shared" si="1"/>
        <v>#REF!</v>
      </c>
      <c r="G18" s="58"/>
      <c r="H18" s="7" t="e">
        <f t="shared" si="2"/>
        <v>#REF!</v>
      </c>
      <c r="I18" s="69"/>
    </row>
    <row r="19" spans="1:9" x14ac:dyDescent="0.2">
      <c r="A19" s="1120" t="s">
        <v>355</v>
      </c>
      <c r="B19" s="1121"/>
      <c r="C19" s="1121"/>
      <c r="D19" s="844" t="e">
        <f t="shared" si="0"/>
        <v>#REF!</v>
      </c>
      <c r="E19" s="12">
        <v>0.15</v>
      </c>
      <c r="F19" s="58" t="e">
        <f t="shared" si="1"/>
        <v>#REF!</v>
      </c>
      <c r="G19" s="58"/>
      <c r="H19" s="7" t="e">
        <f t="shared" si="2"/>
        <v>#REF!</v>
      </c>
      <c r="I19" s="349"/>
    </row>
    <row r="20" spans="1:9" x14ac:dyDescent="0.2">
      <c r="A20" s="1120" t="s">
        <v>274</v>
      </c>
      <c r="B20" s="1121"/>
      <c r="C20" s="1121"/>
      <c r="D20" s="844" t="e">
        <f t="shared" si="0"/>
        <v>#REF!</v>
      </c>
      <c r="E20" s="12">
        <v>0.15</v>
      </c>
      <c r="F20" s="58" t="e">
        <f t="shared" si="1"/>
        <v>#REF!</v>
      </c>
      <c r="G20" s="58"/>
      <c r="H20" s="7" t="e">
        <f t="shared" si="2"/>
        <v>#REF!</v>
      </c>
      <c r="I20" s="304"/>
    </row>
    <row r="21" spans="1:9" s="350" customFormat="1" x14ac:dyDescent="0.2">
      <c r="A21" s="884" t="s">
        <v>2217</v>
      </c>
      <c r="B21" s="885"/>
      <c r="C21" s="885"/>
      <c r="D21" s="323"/>
      <c r="E21" s="893"/>
      <c r="F21" s="893"/>
      <c r="G21" s="893"/>
      <c r="H21" s="894"/>
      <c r="I21" s="937" t="e">
        <f>SUM(H8:H20)</f>
        <v>#REF!</v>
      </c>
    </row>
    <row r="22" spans="1:9" x14ac:dyDescent="0.2">
      <c r="A22" s="307"/>
      <c r="B22" s="308"/>
      <c r="C22" s="308"/>
      <c r="D22" s="308"/>
      <c r="E22" s="308"/>
      <c r="F22" s="308"/>
      <c r="G22" s="308"/>
      <c r="H22" s="308"/>
      <c r="I22" s="309"/>
    </row>
    <row r="23" spans="1:9" x14ac:dyDescent="0.2">
      <c r="A23" s="875" t="s">
        <v>454</v>
      </c>
      <c r="B23" s="213"/>
      <c r="C23" s="213"/>
      <c r="D23" s="213"/>
      <c r="E23" s="213"/>
      <c r="F23" s="213"/>
      <c r="G23" s="213"/>
      <c r="H23" s="213"/>
      <c r="I23" s="226"/>
    </row>
    <row r="24" spans="1:9" s="9" customFormat="1" ht="25.5" x14ac:dyDescent="0.2">
      <c r="A24" s="227" t="s">
        <v>26</v>
      </c>
      <c r="B24" s="225"/>
      <c r="C24" s="225"/>
      <c r="D24" s="225" t="s">
        <v>2218</v>
      </c>
      <c r="E24" s="225"/>
      <c r="F24" s="225" t="s">
        <v>2219</v>
      </c>
      <c r="G24" s="858" t="s">
        <v>2220</v>
      </c>
      <c r="H24" s="858" t="s">
        <v>2216</v>
      </c>
      <c r="I24" s="72"/>
    </row>
    <row r="25" spans="1:9" x14ac:dyDescent="0.2">
      <c r="A25" s="1080" t="s">
        <v>477</v>
      </c>
      <c r="B25" s="1081"/>
      <c r="C25" s="1081"/>
      <c r="D25" s="33">
        <v>1</v>
      </c>
      <c r="E25" s="33"/>
      <c r="F25" s="12">
        <f t="shared" ref="F25:F31" si="3">IF(A25&lt;&gt;0,VLOOKUP(A25,Equipos,6,FALSE),$J$1)</f>
        <v>3710</v>
      </c>
      <c r="G25" s="14">
        <v>1</v>
      </c>
      <c r="H25" s="7">
        <f t="shared" ref="H25:H30" si="4">IF(A25&lt;&gt;0,ROUND((F25/D25)*G25,2),$J$1)</f>
        <v>3710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60"/>
    </row>
    <row r="31" spans="1:9" x14ac:dyDescent="0.2">
      <c r="A31" s="1256"/>
      <c r="B31" s="1081"/>
      <c r="C31" s="1081"/>
      <c r="D31" s="33"/>
      <c r="E31" s="33"/>
      <c r="F31" s="12" t="str">
        <f t="shared" si="3"/>
        <v>-</v>
      </c>
      <c r="G31" s="14"/>
      <c r="H31" s="7"/>
      <c r="I31" s="304"/>
    </row>
    <row r="32" spans="1:9" x14ac:dyDescent="0.2">
      <c r="A32" s="887" t="s">
        <v>2221</v>
      </c>
      <c r="B32" s="888"/>
      <c r="C32" s="888"/>
      <c r="D32" s="323"/>
      <c r="E32" s="893"/>
      <c r="F32" s="893"/>
      <c r="G32" s="893"/>
      <c r="H32" s="894"/>
      <c r="I32" s="937">
        <f>SUM(H25:H31)</f>
        <v>3710</v>
      </c>
    </row>
    <row r="33" spans="1:9" x14ac:dyDescent="0.2">
      <c r="A33" s="307"/>
      <c r="B33" s="308"/>
      <c r="C33" s="308"/>
      <c r="D33" s="308"/>
      <c r="E33" s="308"/>
      <c r="F33" s="308"/>
      <c r="G33" s="308"/>
      <c r="H33" s="308"/>
      <c r="I33" s="381"/>
    </row>
    <row r="34" spans="1:9" x14ac:dyDescent="0.2">
      <c r="A34" s="1354" t="s">
        <v>2222</v>
      </c>
      <c r="B34" s="1355"/>
      <c r="C34" s="1355"/>
      <c r="D34" s="876"/>
      <c r="E34" s="876"/>
      <c r="F34" s="876"/>
      <c r="G34" s="876"/>
      <c r="H34" s="876"/>
      <c r="I34" s="877"/>
    </row>
    <row r="35" spans="1:9" s="9" customFormat="1" ht="25.5" x14ac:dyDescent="0.2">
      <c r="A35" s="1270" t="s">
        <v>26</v>
      </c>
      <c r="B35" s="1271"/>
      <c r="C35" s="1272"/>
      <c r="D35" s="235" t="s">
        <v>2223</v>
      </c>
      <c r="E35" s="235"/>
      <c r="F35" s="881" t="s">
        <v>2224</v>
      </c>
      <c r="G35" s="881" t="s">
        <v>2225</v>
      </c>
      <c r="H35" s="881" t="s">
        <v>2216</v>
      </c>
      <c r="I35" s="362"/>
    </row>
    <row r="36" spans="1:9" x14ac:dyDescent="0.2">
      <c r="A36" s="890"/>
      <c r="B36" s="1334" t="s">
        <v>2226</v>
      </c>
      <c r="C36" s="1334"/>
      <c r="D36" s="46"/>
      <c r="E36" s="47"/>
      <c r="F36" s="15"/>
      <c r="G36" s="12"/>
      <c r="H36" s="7"/>
      <c r="I36" s="946">
        <f>SUM(H37:H39)</f>
        <v>0</v>
      </c>
    </row>
    <row r="37" spans="1:9" x14ac:dyDescent="0.2">
      <c r="A37" s="1306"/>
      <c r="B37" s="1307"/>
      <c r="C37" s="1308"/>
      <c r="D37" s="46" t="str">
        <f>IF(A37&lt;&gt;0,VLOOKUP(A37,Transporte,8,FALSE),$J$1)</f>
        <v>-</v>
      </c>
      <c r="E37" s="47"/>
      <c r="F37" s="15" t="str">
        <f t="shared" ref="F37:F42" si="5">IF(A37&lt;&gt;0,VLOOKUP(A37,Transporte,2,FALSE),$J$1)</f>
        <v>-</v>
      </c>
      <c r="G37" s="12"/>
      <c r="H37" s="7" t="str">
        <f t="shared" ref="H37:H42" si="6">IF(A37&lt;&gt;0,D37/F37*G37,$J$1)</f>
        <v>-</v>
      </c>
      <c r="I37" s="955"/>
    </row>
    <row r="38" spans="1:9" x14ac:dyDescent="0.2">
      <c r="A38" s="1306"/>
      <c r="B38" s="1307"/>
      <c r="C38" s="1308"/>
      <c r="D38" s="46" t="str">
        <f>IF(A38&lt;&gt;0,VLOOKUP(A38,Transporte,8,FALSE),$J$1)</f>
        <v>-</v>
      </c>
      <c r="E38" s="47"/>
      <c r="F38" s="15" t="str">
        <f t="shared" si="5"/>
        <v>-</v>
      </c>
      <c r="G38" s="12"/>
      <c r="H38" s="7" t="str">
        <f t="shared" si="6"/>
        <v>-</v>
      </c>
      <c r="I38" s="955"/>
    </row>
    <row r="39" spans="1:9" x14ac:dyDescent="0.2">
      <c r="A39" s="1215"/>
      <c r="B39" s="1216"/>
      <c r="C39" s="1217"/>
      <c r="D39" s="46" t="str">
        <f>IF(A39&lt;&gt;0,VLOOKUP(A39,Transporte,8,FALSE),$J$1)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955"/>
    </row>
    <row r="40" spans="1:9" x14ac:dyDescent="0.2">
      <c r="A40" s="890"/>
      <c r="B40" s="1105" t="s">
        <v>2227</v>
      </c>
      <c r="C40" s="1104"/>
      <c r="D40" s="46"/>
      <c r="E40" s="47"/>
      <c r="F40" s="15"/>
      <c r="G40" s="12"/>
      <c r="H40" s="7"/>
      <c r="I40" s="946">
        <f>SUM(H41:H42)</f>
        <v>0</v>
      </c>
    </row>
    <row r="41" spans="1:9" x14ac:dyDescent="0.2">
      <c r="A41" s="1215"/>
      <c r="B41" s="1216"/>
      <c r="C41" s="1217"/>
      <c r="D41" s="46" t="str">
        <f>IF(A41&lt;&gt;0,VLOOKUP(A41,Transporte,8,FALSE),$J$1)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955"/>
    </row>
    <row r="42" spans="1:9" x14ac:dyDescent="0.2">
      <c r="A42" s="1215"/>
      <c r="B42" s="1216"/>
      <c r="C42" s="1217"/>
      <c r="D42" s="46" t="str">
        <f>IF(A42&lt;&gt;0,VLOOKUP(A42,Transporte,8,FALSE),$J$1)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955"/>
    </row>
    <row r="43" spans="1:9" x14ac:dyDescent="0.2">
      <c r="A43" s="880" t="s">
        <v>2228</v>
      </c>
      <c r="B43" s="888"/>
      <c r="C43" s="888"/>
      <c r="D43" s="888"/>
      <c r="E43" s="888"/>
      <c r="F43" s="888"/>
      <c r="G43" s="888"/>
      <c r="H43" s="888"/>
      <c r="I43" s="956">
        <f>SUM(I36:I42)</f>
        <v>0</v>
      </c>
    </row>
    <row r="44" spans="1:9" x14ac:dyDescent="0.2">
      <c r="A44" s="1252"/>
      <c r="B44" s="1253"/>
      <c r="C44" s="1253"/>
      <c r="D44" s="1253"/>
      <c r="E44" s="1253"/>
      <c r="F44" s="1253"/>
      <c r="G44" s="1253"/>
      <c r="H44" s="1253"/>
      <c r="I44" s="1254"/>
    </row>
    <row r="45" spans="1:9" x14ac:dyDescent="0.2">
      <c r="A45" s="1200" t="s">
        <v>554</v>
      </c>
      <c r="B45" s="1201"/>
      <c r="C45" s="1201"/>
      <c r="D45" s="1201"/>
      <c r="E45" s="1201"/>
      <c r="F45" s="1201"/>
      <c r="G45" s="1201"/>
      <c r="H45" s="1201"/>
      <c r="I45" s="1202"/>
    </row>
    <row r="46" spans="1:9" s="9" customFormat="1" ht="25.5" x14ac:dyDescent="0.2">
      <c r="A46" s="1246" t="s">
        <v>2229</v>
      </c>
      <c r="B46" s="1247"/>
      <c r="C46" s="1247"/>
      <c r="D46" s="1248" t="s">
        <v>2230</v>
      </c>
      <c r="E46" s="1248"/>
      <c r="F46" s="1248" t="s">
        <v>2218</v>
      </c>
      <c r="G46" s="1248"/>
      <c r="H46" s="881" t="s">
        <v>2216</v>
      </c>
      <c r="I46" s="72"/>
    </row>
    <row r="47" spans="1:9" x14ac:dyDescent="0.2">
      <c r="A47" s="1080" t="s">
        <v>56</v>
      </c>
      <c r="B47" s="1081"/>
      <c r="C47" s="1081"/>
      <c r="D47" s="1082">
        <f>IF(A47&lt;&gt;0,VLOOKUP(A47,Cuadrillas,7,FALSE),$J$1)</f>
        <v>209369.84</v>
      </c>
      <c r="E47" s="1082"/>
      <c r="F47" s="1083">
        <v>9</v>
      </c>
      <c r="G47" s="1083"/>
      <c r="H47" s="7">
        <f>IF(A47&lt;&gt;0,ROUND(D47/F47,2),$J$1)</f>
        <v>23263.32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256"/>
      <c r="B51" s="1257"/>
      <c r="C51" s="1257"/>
      <c r="D51" s="1255" t="str">
        <f>IF(A51&lt;&gt;0,VLOOKUP(A51,Cuadrillas,7,FALSE),$J$1)</f>
        <v>-</v>
      </c>
      <c r="E51" s="1255"/>
      <c r="F51" s="1265"/>
      <c r="G51" s="1265"/>
      <c r="H51" s="293" t="str">
        <f>IF(A51&lt;&gt;0,ROUND(D51/F51,2),$J$1)</f>
        <v>-</v>
      </c>
      <c r="I51" s="304"/>
    </row>
    <row r="52" spans="1:9" x14ac:dyDescent="0.2">
      <c r="A52" s="1106" t="s">
        <v>2231</v>
      </c>
      <c r="B52" s="1203"/>
      <c r="C52" s="1203"/>
      <c r="D52" s="1203"/>
      <c r="E52" s="1203"/>
      <c r="F52" s="1203"/>
      <c r="G52" s="1203"/>
      <c r="H52" s="1203"/>
      <c r="I52" s="957">
        <f>SUM(H47:H51)</f>
        <v>23263.32</v>
      </c>
    </row>
    <row r="53" spans="1:9" x14ac:dyDescent="0.2">
      <c r="A53" s="1260"/>
      <c r="B53" s="1261"/>
      <c r="C53" s="1261"/>
      <c r="D53" s="1261"/>
      <c r="E53" s="1261"/>
      <c r="F53" s="1261"/>
      <c r="G53" s="1261"/>
      <c r="H53" s="1261"/>
      <c r="I53" s="1262"/>
    </row>
    <row r="54" spans="1:9" x14ac:dyDescent="0.2">
      <c r="A54" s="1273" t="s">
        <v>2232</v>
      </c>
      <c r="B54" s="1274"/>
      <c r="C54" s="1274"/>
      <c r="D54" s="1274"/>
      <c r="E54" s="1274"/>
      <c r="F54" s="1274"/>
      <c r="G54" s="1274"/>
      <c r="H54" s="1274"/>
      <c r="I54" s="324" t="e">
        <f>I21+I32+I43</f>
        <v>#REF!</v>
      </c>
    </row>
    <row r="55" spans="1:9" s="368" customFormat="1" ht="13.5" thickBot="1" x14ac:dyDescent="0.25">
      <c r="A55" s="1258" t="s">
        <v>2233</v>
      </c>
      <c r="B55" s="1259"/>
      <c r="C55" s="1259"/>
      <c r="D55" s="1259"/>
      <c r="E55" s="1259"/>
      <c r="F55" s="1259"/>
      <c r="G55" s="1259"/>
      <c r="H55" s="1259"/>
      <c r="I55" s="311">
        <f>I52</f>
        <v>23263.32</v>
      </c>
    </row>
    <row r="56" spans="1:9" s="9" customFormat="1" ht="25.5" customHeight="1" thickTop="1" thickBot="1" x14ac:dyDescent="0.25">
      <c r="A56" s="1195" t="s">
        <v>2234</v>
      </c>
      <c r="B56" s="1196"/>
      <c r="C56" s="1196"/>
      <c r="D56" s="1196"/>
      <c r="E56" s="1196"/>
      <c r="F56" s="1196"/>
      <c r="G56" s="1196"/>
      <c r="H56" s="258"/>
      <c r="I56" s="239" t="e">
        <f>I54+I55</f>
        <v>#REF!</v>
      </c>
    </row>
    <row r="57" spans="1:9" s="9" customFormat="1" ht="25.5" customHeight="1" thickTop="1" thickBot="1" x14ac:dyDescent="0.25">
      <c r="A57" s="1095" t="s">
        <v>10</v>
      </c>
      <c r="B57" s="1096"/>
      <c r="C57" s="1096"/>
      <c r="D57" s="1097">
        <f>+'Datos entrada'!B7</f>
        <v>0.3</v>
      </c>
      <c r="E57" s="1098"/>
      <c r="F57" s="1099" t="e">
        <f>I56*D57</f>
        <v>#REF!</v>
      </c>
      <c r="G57" s="1099"/>
      <c r="H57" s="1099"/>
      <c r="I57" s="1100"/>
    </row>
    <row r="58" spans="1:9" s="9" customFormat="1" ht="25.5" customHeight="1" thickTop="1" thickBot="1" x14ac:dyDescent="0.25">
      <c r="A58" s="1095" t="s">
        <v>2236</v>
      </c>
      <c r="B58" s="1096"/>
      <c r="C58" s="1096"/>
      <c r="D58" s="1096"/>
      <c r="E58" s="1096"/>
      <c r="F58" s="1096"/>
      <c r="G58" s="1096"/>
      <c r="H58" s="1191" t="e">
        <f>I56+F57</f>
        <v>#REF!</v>
      </c>
      <c r="I58" s="1192"/>
    </row>
    <row r="59" spans="1:9" ht="13.5" thickTop="1" x14ac:dyDescent="0.2">
      <c r="I59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58:G58"/>
    <mergeCell ref="H58:I58"/>
    <mergeCell ref="A51:C51"/>
    <mergeCell ref="D51:E51"/>
    <mergeCell ref="F51:G51"/>
    <mergeCell ref="A52:H52"/>
    <mergeCell ref="A53:I53"/>
    <mergeCell ref="A54:H54"/>
    <mergeCell ref="A55:H55"/>
    <mergeCell ref="A56:G56"/>
    <mergeCell ref="A57:C57"/>
    <mergeCell ref="D57:E57"/>
    <mergeCell ref="F57:I57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2:C42"/>
    <mergeCell ref="A44:I44"/>
    <mergeCell ref="A45:I45"/>
    <mergeCell ref="A46:C46"/>
    <mergeCell ref="D46:E46"/>
    <mergeCell ref="F46:G46"/>
    <mergeCell ref="A41:C41"/>
    <mergeCell ref="A28:C28"/>
    <mergeCell ref="A29:C29"/>
    <mergeCell ref="A30:C30"/>
    <mergeCell ref="A31:C31"/>
    <mergeCell ref="A34:C34"/>
    <mergeCell ref="A35:C35"/>
    <mergeCell ref="B36:C36"/>
    <mergeCell ref="A37:C37"/>
    <mergeCell ref="A38:C38"/>
    <mergeCell ref="A39:C39"/>
    <mergeCell ref="B40:C4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4">
    <dataValidation type="list" allowBlank="1" showInputMessage="1" showErrorMessage="1" sqref="A8:A20">
      <formula1>Descripción</formula1>
    </dataValidation>
    <dataValidation type="list" allowBlank="1" showInputMessage="1" showErrorMessage="1" sqref="A36:A43">
      <formula1>Descrip_transporte</formula1>
    </dataValidation>
    <dataValidation type="list" allowBlank="1" showInputMessage="1" showErrorMessage="1" sqref="A47:C51">
      <formula1>Descrip_cuadrillas</formula1>
    </dataValidation>
    <dataValidation type="list" allowBlank="1" showInputMessage="1" showErrorMessage="1" sqref="A25:A31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77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244" t="s">
        <v>221</v>
      </c>
      <c r="B8" s="1245"/>
      <c r="C8" s="1245"/>
      <c r="D8" s="844" t="e">
        <f t="shared" ref="D8:D19" si="0">IF(A8&lt;&gt;0,VLOOKUP(A8,Materiales,2,FALSE),$J$1)</f>
        <v>#REF!</v>
      </c>
      <c r="E8" s="12">
        <v>2.13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0.04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274</v>
      </c>
      <c r="B10" s="1143"/>
      <c r="C10" s="1143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179</v>
      </c>
      <c r="B11" s="1143"/>
      <c r="C11" s="1143"/>
      <c r="D11" s="844" t="e">
        <f t="shared" si="0"/>
        <v>#REF!</v>
      </c>
      <c r="E11" s="12">
        <v>0.17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178</v>
      </c>
      <c r="B12" s="1250"/>
      <c r="C12" s="1251"/>
      <c r="D12" s="844" t="e">
        <f t="shared" si="0"/>
        <v>#REF!</v>
      </c>
      <c r="E12" s="12">
        <v>0.13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49" t="s">
        <v>177</v>
      </c>
      <c r="B13" s="1250"/>
      <c r="C13" s="1251"/>
      <c r="D13" s="844" t="e">
        <f t="shared" si="0"/>
        <v>#REF!</v>
      </c>
      <c r="E13" s="12">
        <v>0.13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142" t="s">
        <v>421</v>
      </c>
      <c r="B14" s="1143"/>
      <c r="C14" s="1143"/>
      <c r="D14" s="844" t="e">
        <f t="shared" si="0"/>
        <v>#REF!</v>
      </c>
      <c r="E14" s="12">
        <v>0.27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137" t="s">
        <v>380</v>
      </c>
      <c r="B15" s="1143"/>
      <c r="C15" s="1143"/>
      <c r="D15" s="844" t="e">
        <f t="shared" si="0"/>
        <v>#REF!</v>
      </c>
      <c r="E15" s="12">
        <v>0.6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139" t="s">
        <v>381</v>
      </c>
      <c r="B16" s="1140"/>
      <c r="C16" s="1141"/>
      <c r="D16" s="844" t="e">
        <f t="shared" si="0"/>
        <v>#REF!</v>
      </c>
      <c r="E16" s="12">
        <v>0.2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139" t="s">
        <v>379</v>
      </c>
      <c r="B17" s="1140"/>
      <c r="C17" s="1141"/>
      <c r="D17" s="844" t="e">
        <f t="shared" si="0"/>
        <v>#REF!</v>
      </c>
      <c r="E17" s="12">
        <v>0.2</v>
      </c>
      <c r="F17" s="58" t="e">
        <f t="shared" si="1"/>
        <v>#REF!</v>
      </c>
      <c r="G17" s="58"/>
      <c r="H17" s="7" t="e">
        <f t="shared" si="2"/>
        <v>#REF!</v>
      </c>
      <c r="I17" s="69"/>
    </row>
    <row r="18" spans="1:9" x14ac:dyDescent="0.2">
      <c r="A18" s="1080" t="s">
        <v>378</v>
      </c>
      <c r="B18" s="1081"/>
      <c r="C18" s="1081"/>
      <c r="D18" s="844" t="e">
        <f t="shared" si="0"/>
        <v>#REF!</v>
      </c>
      <c r="E18" s="12">
        <v>0.2</v>
      </c>
      <c r="F18" s="58" t="e">
        <f t="shared" si="1"/>
        <v>#REF!</v>
      </c>
      <c r="G18" s="58"/>
      <c r="H18" s="7" t="e">
        <f t="shared" si="2"/>
        <v>#REF!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50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74.2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74.2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70" t="s">
        <v>26</v>
      </c>
      <c r="B34" s="1271"/>
      <c r="C34" s="1272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46" t="s">
        <v>2226</v>
      </c>
      <c r="C35" s="1346"/>
      <c r="D35" s="364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9</v>
      </c>
      <c r="G46" s="1083"/>
      <c r="H46" s="7">
        <f>IF(A46&lt;&gt;0,ROUND(D46/F46,2),$J$1)</f>
        <v>23263.32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23263.32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23263.32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7:G57"/>
    <mergeCell ref="D50:E50"/>
    <mergeCell ref="A54:H54"/>
    <mergeCell ref="H57:I57"/>
    <mergeCell ref="A48:C48"/>
    <mergeCell ref="A49:C49"/>
    <mergeCell ref="D48:E48"/>
    <mergeCell ref="F48:G48"/>
    <mergeCell ref="A50:C50"/>
    <mergeCell ref="D49:E49"/>
    <mergeCell ref="A53:H53"/>
    <mergeCell ref="F56:I56"/>
    <mergeCell ref="A56:C56"/>
    <mergeCell ref="D56:E56"/>
    <mergeCell ref="A52:I52"/>
    <mergeCell ref="A51:H51"/>
    <mergeCell ref="A25:C25"/>
    <mergeCell ref="A26:C26"/>
    <mergeCell ref="A27:C27"/>
    <mergeCell ref="A19:C19"/>
    <mergeCell ref="F49:G49"/>
    <mergeCell ref="F47:G47"/>
    <mergeCell ref="A47:C47"/>
    <mergeCell ref="D47:E47"/>
    <mergeCell ref="A29:C29"/>
    <mergeCell ref="A30:C30"/>
    <mergeCell ref="B38:C38"/>
    <mergeCell ref="B35:C35"/>
    <mergeCell ref="A34:C34"/>
    <mergeCell ref="A36:C36"/>
    <mergeCell ref="A37:C37"/>
    <mergeCell ref="D46:E46"/>
    <mergeCell ref="A46:C46"/>
    <mergeCell ref="D45:E45"/>
    <mergeCell ref="A28:C28"/>
    <mergeCell ref="A39:C39"/>
    <mergeCell ref="A40:C40"/>
    <mergeCell ref="A41:C41"/>
    <mergeCell ref="A43:I43"/>
    <mergeCell ref="F45:G45"/>
    <mergeCell ref="F46:G46"/>
    <mergeCell ref="A44:I44"/>
    <mergeCell ref="A45:C45"/>
    <mergeCell ref="A55:G55"/>
    <mergeCell ref="F50:G50"/>
    <mergeCell ref="H1:I1"/>
    <mergeCell ref="A12:C12"/>
    <mergeCell ref="A13:C13"/>
    <mergeCell ref="A24:C24"/>
    <mergeCell ref="A8:C8"/>
    <mergeCell ref="A9:C9"/>
    <mergeCell ref="A10:C10"/>
    <mergeCell ref="A11:C11"/>
    <mergeCell ref="A1:C1"/>
    <mergeCell ref="A14:C14"/>
    <mergeCell ref="A15:C15"/>
    <mergeCell ref="A18:C18"/>
    <mergeCell ref="A16:C16"/>
    <mergeCell ref="A17:C17"/>
  </mergeCells>
  <phoneticPr fontId="0" type="noConversion"/>
  <dataValidations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2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276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385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/>
      <c r="B10" s="1143"/>
      <c r="C10" s="1143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154.58000000000001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154.58000000000001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127" t="s">
        <v>2226</v>
      </c>
      <c r="C35" s="1127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50</v>
      </c>
      <c r="G46" s="1083"/>
      <c r="H46" s="7">
        <f>IF(A46&lt;&gt;0,ROUND(D46/F46,2),$J$1)</f>
        <v>4187.3999999999996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4187.3999999999996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4187.3999999999996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disablePrompts="1"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3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215</v>
      </c>
      <c r="B8" s="1331"/>
      <c r="C8" s="133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7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142" t="s">
        <v>374</v>
      </c>
      <c r="B9" s="1143"/>
      <c r="C9" s="1143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/>
      <c r="B10" s="1143"/>
      <c r="C10" s="1143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249"/>
      <c r="B11" s="1250"/>
      <c r="C11" s="125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142"/>
      <c r="B13" s="1143"/>
      <c r="C13" s="1143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37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9"/>
      <c r="B15" s="1140"/>
      <c r="C15" s="114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256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348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s="350" customFormat="1" x14ac:dyDescent="0.2">
      <c r="A20" s="307"/>
      <c r="B20" s="308"/>
      <c r="C20" s="308"/>
      <c r="D20" s="308"/>
      <c r="E20" s="308"/>
      <c r="F20" s="308"/>
      <c r="G20" s="308"/>
      <c r="H20" s="308"/>
      <c r="I20" s="309"/>
    </row>
    <row r="21" spans="1:9" x14ac:dyDescent="0.2">
      <c r="A21" s="353" t="s">
        <v>454</v>
      </c>
      <c r="B21" s="354"/>
      <c r="C21" s="354"/>
      <c r="D21" s="354"/>
      <c r="E21" s="354"/>
      <c r="F21" s="354"/>
      <c r="G21" s="354"/>
      <c r="H21" s="354"/>
      <c r="I21" s="355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148.4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256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359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148.4</v>
      </c>
    </row>
    <row r="31" spans="1:9" x14ac:dyDescent="0.2">
      <c r="A31" s="307"/>
      <c r="B31" s="308"/>
      <c r="C31" s="308"/>
      <c r="D31" s="308"/>
      <c r="E31" s="308"/>
      <c r="F31" s="308"/>
      <c r="G31" s="308"/>
      <c r="H31" s="308"/>
      <c r="I31" s="309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361"/>
    </row>
    <row r="33" spans="1:9" s="9" customFormat="1" ht="25.5" x14ac:dyDescent="0.2">
      <c r="A33" s="1229" t="s">
        <v>26</v>
      </c>
      <c r="B33" s="1230"/>
      <c r="C33" s="1231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362"/>
    </row>
    <row r="34" spans="1:9" x14ac:dyDescent="0.2">
      <c r="B34" s="1334" t="s">
        <v>2226</v>
      </c>
      <c r="C34" s="1334"/>
      <c r="D34" s="363"/>
      <c r="E34" s="47"/>
      <c r="F34" s="15"/>
      <c r="G34" s="12"/>
      <c r="H34" s="7"/>
      <c r="I34" s="343">
        <f>SUM(H35:H36)</f>
        <v>0</v>
      </c>
    </row>
    <row r="35" spans="1:9" x14ac:dyDescent="0.2">
      <c r="A35" s="1306"/>
      <c r="B35" s="1307"/>
      <c r="C35" s="1308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306"/>
      <c r="B36" s="1307"/>
      <c r="C36" s="1308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5"/>
    </row>
    <row r="37" spans="1:9" x14ac:dyDescent="0.2">
      <c r="A37" s="871"/>
      <c r="B37" s="1105" t="s">
        <v>2227</v>
      </c>
      <c r="C37" s="1104"/>
      <c r="D37" s="46"/>
      <c r="E37" s="47"/>
      <c r="F37" s="15" t="str">
        <f t="shared" si="5"/>
        <v>-</v>
      </c>
      <c r="G37" s="12"/>
      <c r="H37" s="7" t="str">
        <f t="shared" si="6"/>
        <v>-</v>
      </c>
      <c r="I37" s="343">
        <f>SUM(H38:H40)</f>
        <v>0</v>
      </c>
    </row>
    <row r="38" spans="1:9" x14ac:dyDescent="0.2">
      <c r="A38" s="1215"/>
      <c r="B38" s="1216"/>
      <c r="C38" s="1217"/>
      <c r="D38" s="61" t="str">
        <f>IF(A27&lt;&gt;0,VLOOKUP(A38,Transporte,8,FALSE),$J$1)</f>
        <v>-</v>
      </c>
      <c r="E38" s="61"/>
      <c r="F38" s="15" t="str">
        <f t="shared" si="5"/>
        <v>-</v>
      </c>
      <c r="G38" s="12"/>
      <c r="H38" s="7" t="str">
        <f t="shared" si="6"/>
        <v>-</v>
      </c>
      <c r="I38" s="344"/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IF(A29&lt;&gt;0,VLOOKUP(A41,Transporte,8,FALSE),$J$1)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65"/>
    </row>
    <row r="41" spans="1:9" x14ac:dyDescent="0.2">
      <c r="A41" s="880" t="s">
        <v>2228</v>
      </c>
      <c r="B41" s="854"/>
      <c r="C41" s="854"/>
      <c r="D41" s="854"/>
      <c r="E41" s="854"/>
      <c r="F41" s="854"/>
      <c r="G41" s="854"/>
      <c r="H41" s="854"/>
      <c r="I41" s="347">
        <f>SUM(I34:I40)</f>
        <v>0</v>
      </c>
    </row>
    <row r="42" spans="1:9" x14ac:dyDescent="0.2">
      <c r="A42" s="1252"/>
      <c r="B42" s="1253"/>
      <c r="C42" s="1253"/>
      <c r="D42" s="1253"/>
      <c r="E42" s="1253"/>
      <c r="F42" s="1253"/>
      <c r="G42" s="1253"/>
      <c r="H42" s="1253"/>
      <c r="I42" s="1254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500</v>
      </c>
      <c r="G45" s="1083"/>
      <c r="H45" s="7">
        <f>IF(A45&lt;&gt;0,ROUND(D45/F45,2),$J$1)</f>
        <v>418.74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256"/>
      <c r="B49" s="1257"/>
      <c r="C49" s="1257"/>
      <c r="D49" s="1255" t="str">
        <f>IF(A49&lt;&gt;0,VLOOKUP(A49,Cuadrillas,7,FALSE),$J$1)</f>
        <v>-</v>
      </c>
      <c r="E49" s="1255"/>
      <c r="F49" s="1265"/>
      <c r="G49" s="1265"/>
      <c r="H49" s="293" t="str">
        <f>IF(A49&lt;&gt;0,ROUND(D49/F49,2),$J$1)</f>
        <v>-</v>
      </c>
      <c r="I49" s="297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418.74</v>
      </c>
    </row>
    <row r="51" spans="1:9" x14ac:dyDescent="0.2">
      <c r="A51" s="1260"/>
      <c r="B51" s="1261"/>
      <c r="C51" s="1261"/>
      <c r="D51" s="1261"/>
      <c r="E51" s="1261"/>
      <c r="F51" s="1261"/>
      <c r="G51" s="1261"/>
      <c r="H51" s="1261"/>
      <c r="I51" s="1326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258" t="s">
        <v>2233</v>
      </c>
      <c r="B53" s="1259"/>
      <c r="C53" s="1259"/>
      <c r="D53" s="1259"/>
      <c r="E53" s="1259"/>
      <c r="F53" s="1259"/>
      <c r="G53" s="1259"/>
      <c r="H53" s="1259"/>
      <c r="I53" s="311">
        <f>I50</f>
        <v>418.74</v>
      </c>
    </row>
    <row r="54" spans="1:9" s="367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:C1"/>
    <mergeCell ref="H1:I1"/>
    <mergeCell ref="A8:C8"/>
    <mergeCell ref="A9:C9"/>
    <mergeCell ref="A10:C10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42:I42"/>
    <mergeCell ref="A27:C27"/>
    <mergeCell ref="A28:C28"/>
    <mergeCell ref="A29:C29"/>
    <mergeCell ref="A33:C33"/>
    <mergeCell ref="B34:C34"/>
    <mergeCell ref="A35:C35"/>
    <mergeCell ref="A36:C36"/>
    <mergeCell ref="B37:C37"/>
    <mergeCell ref="A38:C38"/>
    <mergeCell ref="A39:C39"/>
    <mergeCell ref="A40:C40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disablePrompts="1" count="4"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5:A41">
      <formula1>Descrip_transporte</formula1>
    </dataValidation>
    <dataValidation type="list" allowBlank="1" showInputMessage="1" showErrorMessage="1" sqref="A8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4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215</v>
      </c>
      <c r="B8" s="1331"/>
      <c r="C8" s="133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7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142" t="s">
        <v>376</v>
      </c>
      <c r="B9" s="1143"/>
      <c r="C9" s="1143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/>
      <c r="B10" s="1143"/>
      <c r="C10" s="1143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249"/>
      <c r="B11" s="1250"/>
      <c r="C11" s="125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142"/>
      <c r="B13" s="1143"/>
      <c r="C13" s="1143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37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9"/>
      <c r="B15" s="1140"/>
      <c r="C15" s="114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256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348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s="350" customFormat="1" x14ac:dyDescent="0.2">
      <c r="A20" s="307"/>
      <c r="B20" s="308"/>
      <c r="C20" s="308"/>
      <c r="D20" s="308"/>
      <c r="E20" s="308"/>
      <c r="F20" s="308"/>
      <c r="G20" s="308"/>
      <c r="H20" s="308"/>
      <c r="I20" s="309"/>
    </row>
    <row r="21" spans="1:9" x14ac:dyDescent="0.2">
      <c r="A21" s="353" t="s">
        <v>454</v>
      </c>
      <c r="B21" s="354"/>
      <c r="C21" s="354"/>
      <c r="D21" s="354"/>
      <c r="E21" s="354"/>
      <c r="F21" s="354"/>
      <c r="G21" s="354"/>
      <c r="H21" s="354"/>
      <c r="I21" s="355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148.4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256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359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148.4</v>
      </c>
    </row>
    <row r="31" spans="1:9" x14ac:dyDescent="0.2">
      <c r="A31" s="307"/>
      <c r="B31" s="308"/>
      <c r="C31" s="308"/>
      <c r="D31" s="308"/>
      <c r="E31" s="308"/>
      <c r="F31" s="308"/>
      <c r="G31" s="308"/>
      <c r="H31" s="308"/>
      <c r="I31" s="309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361"/>
    </row>
    <row r="33" spans="1:9" s="9" customFormat="1" ht="25.5" x14ac:dyDescent="0.2">
      <c r="A33" s="1229" t="s">
        <v>26</v>
      </c>
      <c r="B33" s="1230"/>
      <c r="C33" s="1231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362"/>
    </row>
    <row r="34" spans="1:9" x14ac:dyDescent="0.2">
      <c r="B34" s="1334" t="s">
        <v>2226</v>
      </c>
      <c r="C34" s="1334"/>
      <c r="D34" s="363"/>
      <c r="E34" s="47"/>
      <c r="F34" s="15"/>
      <c r="G34" s="12"/>
      <c r="H34" s="7"/>
      <c r="I34" s="343">
        <f>SUM(H35:H36)</f>
        <v>0</v>
      </c>
    </row>
    <row r="35" spans="1:9" x14ac:dyDescent="0.2">
      <c r="A35" s="1306"/>
      <c r="B35" s="1307"/>
      <c r="C35" s="1308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306"/>
      <c r="B36" s="1307"/>
      <c r="C36" s="1308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5"/>
    </row>
    <row r="37" spans="1:9" x14ac:dyDescent="0.2">
      <c r="A37" s="871"/>
      <c r="B37" s="1105" t="s">
        <v>2227</v>
      </c>
      <c r="C37" s="1104"/>
      <c r="D37" s="46"/>
      <c r="E37" s="47"/>
      <c r="F37" s="15" t="str">
        <f t="shared" si="5"/>
        <v>-</v>
      </c>
      <c r="G37" s="12"/>
      <c r="H37" s="7" t="str">
        <f t="shared" si="6"/>
        <v>-</v>
      </c>
      <c r="I37" s="343">
        <f>SUM(H38:H40)</f>
        <v>0</v>
      </c>
    </row>
    <row r="38" spans="1:9" x14ac:dyDescent="0.2">
      <c r="A38" s="1215"/>
      <c r="B38" s="1216"/>
      <c r="C38" s="1217"/>
      <c r="D38" s="61" t="str">
        <f>IF(A27&lt;&gt;0,VLOOKUP(A38,Transporte,8,FALSE),$J$1)</f>
        <v>-</v>
      </c>
      <c r="E38" s="61"/>
      <c r="F38" s="15" t="str">
        <f t="shared" si="5"/>
        <v>-</v>
      </c>
      <c r="G38" s="12"/>
      <c r="H38" s="7" t="str">
        <f t="shared" si="6"/>
        <v>-</v>
      </c>
      <c r="I38" s="344"/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IF(A29&lt;&gt;0,VLOOKUP(A41,Transporte,8,FALSE),$J$1)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65"/>
    </row>
    <row r="41" spans="1:9" x14ac:dyDescent="0.2">
      <c r="A41" s="880" t="s">
        <v>2228</v>
      </c>
      <c r="B41" s="854"/>
      <c r="C41" s="854"/>
      <c r="D41" s="854"/>
      <c r="E41" s="854"/>
      <c r="F41" s="854"/>
      <c r="G41" s="854"/>
      <c r="H41" s="854"/>
      <c r="I41" s="347">
        <f>SUM(I34:I40)</f>
        <v>0</v>
      </c>
    </row>
    <row r="42" spans="1:9" x14ac:dyDescent="0.2">
      <c r="A42" s="1252"/>
      <c r="B42" s="1253"/>
      <c r="C42" s="1253"/>
      <c r="D42" s="1253"/>
      <c r="E42" s="1253"/>
      <c r="F42" s="1253"/>
      <c r="G42" s="1253"/>
      <c r="H42" s="1253"/>
      <c r="I42" s="1254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500</v>
      </c>
      <c r="G45" s="1083"/>
      <c r="H45" s="7">
        <f>IF(A45&lt;&gt;0,ROUND(D45/F45,2),$J$1)</f>
        <v>418.74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256"/>
      <c r="B49" s="1257"/>
      <c r="C49" s="1257"/>
      <c r="D49" s="1255" t="str">
        <f>IF(A49&lt;&gt;0,VLOOKUP(A49,Cuadrillas,7,FALSE),$J$1)</f>
        <v>-</v>
      </c>
      <c r="E49" s="1255"/>
      <c r="F49" s="1265"/>
      <c r="G49" s="1265"/>
      <c r="H49" s="293" t="str">
        <f>IF(A49&lt;&gt;0,ROUND(D49/F49,2),$J$1)</f>
        <v>-</v>
      </c>
      <c r="I49" s="297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418.74</v>
      </c>
    </row>
    <row r="51" spans="1:9" x14ac:dyDescent="0.2">
      <c r="A51" s="1260"/>
      <c r="B51" s="1261"/>
      <c r="C51" s="1261"/>
      <c r="D51" s="1261"/>
      <c r="E51" s="1261"/>
      <c r="F51" s="1261"/>
      <c r="G51" s="1261"/>
      <c r="H51" s="1261"/>
      <c r="I51" s="1326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258" t="s">
        <v>2233</v>
      </c>
      <c r="B53" s="1259"/>
      <c r="C53" s="1259"/>
      <c r="D53" s="1259"/>
      <c r="E53" s="1259"/>
      <c r="F53" s="1259"/>
      <c r="G53" s="1259"/>
      <c r="H53" s="1259"/>
      <c r="I53" s="311">
        <f>I50</f>
        <v>418.74</v>
      </c>
    </row>
    <row r="54" spans="1:9" s="367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A33:C33"/>
    <mergeCell ref="B34:C34"/>
    <mergeCell ref="A35:C35"/>
    <mergeCell ref="A36:C36"/>
    <mergeCell ref="B37:C37"/>
    <mergeCell ref="A38:C38"/>
    <mergeCell ref="A39:C39"/>
    <mergeCell ref="A40:C40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4">
    <dataValidation type="list" allowBlank="1" showInputMessage="1" showErrorMessage="1" sqref="A8:A18">
      <formula1>Descripción</formula1>
    </dataValidation>
    <dataValidation type="list" allowBlank="1" showInputMessage="1" showErrorMessage="1" sqref="A35:A41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5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215</v>
      </c>
      <c r="B8" s="1331"/>
      <c r="C8" s="133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7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142" t="s">
        <v>374</v>
      </c>
      <c r="B9" s="1143"/>
      <c r="C9" s="1143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296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249" t="s">
        <v>116</v>
      </c>
      <c r="B11" s="1250"/>
      <c r="C11" s="1251"/>
      <c r="D11" s="844" t="e">
        <f t="shared" si="0"/>
        <v>#REF!</v>
      </c>
      <c r="E11" s="12">
        <v>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142"/>
      <c r="B13" s="1143"/>
      <c r="C13" s="1143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37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9"/>
      <c r="B15" s="1140"/>
      <c r="C15" s="114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256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348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s="350" customFormat="1" x14ac:dyDescent="0.2">
      <c r="A20" s="307"/>
      <c r="B20" s="308"/>
      <c r="C20" s="308"/>
      <c r="D20" s="308"/>
      <c r="E20" s="308"/>
      <c r="F20" s="308"/>
      <c r="G20" s="308"/>
      <c r="H20" s="308"/>
      <c r="I20" s="309"/>
    </row>
    <row r="21" spans="1:9" x14ac:dyDescent="0.2">
      <c r="A21" s="353" t="s">
        <v>454</v>
      </c>
      <c r="B21" s="354"/>
      <c r="C21" s="354"/>
      <c r="D21" s="354"/>
      <c r="E21" s="354"/>
      <c r="F21" s="354"/>
      <c r="G21" s="354"/>
      <c r="H21" s="354"/>
      <c r="I21" s="355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148.4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256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359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148.4</v>
      </c>
    </row>
    <row r="31" spans="1:9" x14ac:dyDescent="0.2">
      <c r="A31" s="307"/>
      <c r="B31" s="308"/>
      <c r="C31" s="308"/>
      <c r="D31" s="308"/>
      <c r="E31" s="308"/>
      <c r="F31" s="308"/>
      <c r="G31" s="308"/>
      <c r="H31" s="308"/>
      <c r="I31" s="309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361"/>
    </row>
    <row r="33" spans="1:9" s="9" customFormat="1" ht="25.5" x14ac:dyDescent="0.2">
      <c r="A33" s="1229" t="s">
        <v>26</v>
      </c>
      <c r="B33" s="1230"/>
      <c r="C33" s="1231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362"/>
    </row>
    <row r="34" spans="1:9" x14ac:dyDescent="0.2">
      <c r="B34" s="1334" t="s">
        <v>2226</v>
      </c>
      <c r="C34" s="1334"/>
      <c r="D34" s="363"/>
      <c r="E34" s="47"/>
      <c r="F34" s="15"/>
      <c r="G34" s="12"/>
      <c r="H34" s="7"/>
      <c r="I34" s="343">
        <f>SUM(H35:H36)</f>
        <v>0</v>
      </c>
    </row>
    <row r="35" spans="1:9" x14ac:dyDescent="0.2">
      <c r="A35" s="1306"/>
      <c r="B35" s="1307"/>
      <c r="C35" s="1308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306"/>
      <c r="B36" s="1307"/>
      <c r="C36" s="1308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5"/>
    </row>
    <row r="37" spans="1:9" x14ac:dyDescent="0.2">
      <c r="A37" s="871"/>
      <c r="B37" s="1105" t="s">
        <v>2227</v>
      </c>
      <c r="C37" s="1104"/>
      <c r="D37" s="46"/>
      <c r="E37" s="47"/>
      <c r="F37" s="15" t="str">
        <f t="shared" si="5"/>
        <v>-</v>
      </c>
      <c r="G37" s="12"/>
      <c r="H37" s="7" t="str">
        <f t="shared" si="6"/>
        <v>-</v>
      </c>
      <c r="I37" s="343">
        <f>SUM(H38:H40)</f>
        <v>0</v>
      </c>
    </row>
    <row r="38" spans="1:9" x14ac:dyDescent="0.2">
      <c r="A38" s="1215"/>
      <c r="B38" s="1216"/>
      <c r="C38" s="1217"/>
      <c r="D38" s="61" t="str">
        <f>IF(A27&lt;&gt;0,VLOOKUP(A38,Transporte,8,FALSE),$J$1)</f>
        <v>-</v>
      </c>
      <c r="E38" s="61"/>
      <c r="F38" s="15" t="str">
        <f t="shared" si="5"/>
        <v>-</v>
      </c>
      <c r="G38" s="12"/>
      <c r="H38" s="7" t="str">
        <f t="shared" si="6"/>
        <v>-</v>
      </c>
      <c r="I38" s="344"/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IF(A29&lt;&gt;0,VLOOKUP(A41,Transporte,8,FALSE),$J$1)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65"/>
    </row>
    <row r="41" spans="1:9" x14ac:dyDescent="0.2">
      <c r="A41" s="880" t="s">
        <v>2228</v>
      </c>
      <c r="B41" s="854"/>
      <c r="C41" s="854"/>
      <c r="D41" s="854"/>
      <c r="E41" s="854"/>
      <c r="F41" s="854"/>
      <c r="G41" s="854"/>
      <c r="H41" s="854"/>
      <c r="I41" s="347">
        <f>SUM(I34:I40)</f>
        <v>0</v>
      </c>
    </row>
    <row r="42" spans="1:9" x14ac:dyDescent="0.2">
      <c r="A42" s="1252"/>
      <c r="B42" s="1253"/>
      <c r="C42" s="1253"/>
      <c r="D42" s="1253"/>
      <c r="E42" s="1253"/>
      <c r="F42" s="1253"/>
      <c r="G42" s="1253"/>
      <c r="H42" s="1253"/>
      <c r="I42" s="1254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25</v>
      </c>
      <c r="G45" s="1083"/>
      <c r="H45" s="7">
        <f>IF(A45&lt;&gt;0,ROUND(D45/F45,2),$J$1)</f>
        <v>8374.7900000000009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256"/>
      <c r="B49" s="1257"/>
      <c r="C49" s="1257"/>
      <c r="D49" s="1255" t="str">
        <f>IF(A49&lt;&gt;0,VLOOKUP(A49,Cuadrillas,7,FALSE),$J$1)</f>
        <v>-</v>
      </c>
      <c r="E49" s="1255"/>
      <c r="F49" s="1265"/>
      <c r="G49" s="1265"/>
      <c r="H49" s="293" t="str">
        <f>IF(A49&lt;&gt;0,ROUND(D49/F49,2),$J$1)</f>
        <v>-</v>
      </c>
      <c r="I49" s="297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8374.7900000000009</v>
      </c>
    </row>
    <row r="51" spans="1:9" x14ac:dyDescent="0.2">
      <c r="A51" s="1260"/>
      <c r="B51" s="1261"/>
      <c r="C51" s="1261"/>
      <c r="D51" s="1261"/>
      <c r="E51" s="1261"/>
      <c r="F51" s="1261"/>
      <c r="G51" s="1261"/>
      <c r="H51" s="1261"/>
      <c r="I51" s="1326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258" t="s">
        <v>2233</v>
      </c>
      <c r="B53" s="1259"/>
      <c r="C53" s="1259"/>
      <c r="D53" s="1259"/>
      <c r="E53" s="1259"/>
      <c r="F53" s="1259"/>
      <c r="G53" s="1259"/>
      <c r="H53" s="1259"/>
      <c r="I53" s="311">
        <f>I50</f>
        <v>8374.7900000000009</v>
      </c>
    </row>
    <row r="54" spans="1:9" s="367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A33:C33"/>
    <mergeCell ref="B34:C34"/>
    <mergeCell ref="A35:C35"/>
    <mergeCell ref="A36:C36"/>
    <mergeCell ref="B37:C37"/>
    <mergeCell ref="A38:C38"/>
    <mergeCell ref="A39:C39"/>
    <mergeCell ref="A40:C40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4">
    <dataValidation type="list" allowBlank="1" showInputMessage="1" showErrorMessage="1" sqref="A8:A18">
      <formula1>Descripción</formula1>
    </dataValidation>
    <dataValidation type="list" allowBlank="1" showInputMessage="1" showErrorMessage="1" sqref="A35:A41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6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215</v>
      </c>
      <c r="B8" s="1331"/>
      <c r="C8" s="133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7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142" t="s">
        <v>376</v>
      </c>
      <c r="B9" s="1143"/>
      <c r="C9" s="1143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421</v>
      </c>
      <c r="B10" s="1143"/>
      <c r="C10" s="1143"/>
      <c r="D10" s="844" t="e">
        <f t="shared" si="0"/>
        <v>#REF!</v>
      </c>
      <c r="E10" s="12">
        <v>0.5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249" t="s">
        <v>274</v>
      </c>
      <c r="B11" s="1250"/>
      <c r="C11" s="1251"/>
      <c r="D11" s="844" t="e">
        <f t="shared" si="0"/>
        <v>#REF!</v>
      </c>
      <c r="E11" s="12">
        <v>0.02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355</v>
      </c>
      <c r="B12" s="1250"/>
      <c r="C12" s="1251"/>
      <c r="D12" s="844" t="e">
        <f t="shared" si="0"/>
        <v>#REF!</v>
      </c>
      <c r="E12" s="12">
        <v>0.02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142"/>
      <c r="B13" s="1143"/>
      <c r="C13" s="1143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37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9"/>
      <c r="B15" s="1140"/>
      <c r="C15" s="114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256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348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s="350" customFormat="1" x14ac:dyDescent="0.2">
      <c r="A20" s="307"/>
      <c r="B20" s="308"/>
      <c r="C20" s="308"/>
      <c r="D20" s="308"/>
      <c r="E20" s="308"/>
      <c r="F20" s="308"/>
      <c r="G20" s="308"/>
      <c r="H20" s="308"/>
      <c r="I20" s="309"/>
    </row>
    <row r="21" spans="1:9" x14ac:dyDescent="0.2">
      <c r="A21" s="353" t="s">
        <v>454</v>
      </c>
      <c r="B21" s="354"/>
      <c r="C21" s="354"/>
      <c r="D21" s="354"/>
      <c r="E21" s="354"/>
      <c r="F21" s="354"/>
      <c r="G21" s="354"/>
      <c r="H21" s="354"/>
      <c r="I21" s="355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148.4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256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359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148.4</v>
      </c>
    </row>
    <row r="31" spans="1:9" x14ac:dyDescent="0.2">
      <c r="A31" s="307"/>
      <c r="B31" s="308"/>
      <c r="C31" s="308"/>
      <c r="D31" s="308"/>
      <c r="E31" s="308"/>
      <c r="F31" s="308"/>
      <c r="G31" s="308"/>
      <c r="H31" s="308"/>
      <c r="I31" s="309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361"/>
    </row>
    <row r="33" spans="1:9" s="9" customFormat="1" ht="25.5" x14ac:dyDescent="0.2">
      <c r="A33" s="1229" t="s">
        <v>26</v>
      </c>
      <c r="B33" s="1230"/>
      <c r="C33" s="1231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362"/>
    </row>
    <row r="34" spans="1:9" x14ac:dyDescent="0.2">
      <c r="B34" s="1334" t="s">
        <v>2226</v>
      </c>
      <c r="C34" s="1334"/>
      <c r="D34" s="363"/>
      <c r="E34" s="47"/>
      <c r="F34" s="15"/>
      <c r="G34" s="12"/>
      <c r="H34" s="7"/>
      <c r="I34" s="343">
        <f>SUM(H35:H36)</f>
        <v>0</v>
      </c>
    </row>
    <row r="35" spans="1:9" x14ac:dyDescent="0.2">
      <c r="A35" s="1306"/>
      <c r="B35" s="1307"/>
      <c r="C35" s="1308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306"/>
      <c r="B36" s="1307"/>
      <c r="C36" s="1308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5"/>
    </row>
    <row r="37" spans="1:9" x14ac:dyDescent="0.2">
      <c r="A37" s="871"/>
      <c r="B37" s="1105" t="s">
        <v>2227</v>
      </c>
      <c r="C37" s="1104"/>
      <c r="D37" s="46"/>
      <c r="E37" s="47"/>
      <c r="F37" s="15" t="str">
        <f t="shared" si="5"/>
        <v>-</v>
      </c>
      <c r="G37" s="12"/>
      <c r="H37" s="7" t="str">
        <f t="shared" si="6"/>
        <v>-</v>
      </c>
      <c r="I37" s="343">
        <f>SUM(H38:H40)</f>
        <v>0</v>
      </c>
    </row>
    <row r="38" spans="1:9" x14ac:dyDescent="0.2">
      <c r="A38" s="1215"/>
      <c r="B38" s="1216"/>
      <c r="C38" s="1217"/>
      <c r="D38" s="61" t="str">
        <f>IF(A27&lt;&gt;0,VLOOKUP(A38,Transporte,8,FALSE),$J$1)</f>
        <v>-</v>
      </c>
      <c r="E38" s="61"/>
      <c r="F38" s="15" t="str">
        <f t="shared" si="5"/>
        <v>-</v>
      </c>
      <c r="G38" s="12"/>
      <c r="H38" s="7" t="str">
        <f t="shared" si="6"/>
        <v>-</v>
      </c>
      <c r="I38" s="344"/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IF(A29&lt;&gt;0,VLOOKUP(A41,Transporte,8,FALSE),$J$1)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65"/>
    </row>
    <row r="41" spans="1:9" x14ac:dyDescent="0.2">
      <c r="A41" s="880" t="s">
        <v>2228</v>
      </c>
      <c r="B41" s="854"/>
      <c r="C41" s="854"/>
      <c r="D41" s="854"/>
      <c r="E41" s="854"/>
      <c r="F41" s="854"/>
      <c r="G41" s="854"/>
      <c r="H41" s="854"/>
      <c r="I41" s="347">
        <f>SUM(I34:I40)</f>
        <v>0</v>
      </c>
    </row>
    <row r="42" spans="1:9" x14ac:dyDescent="0.2">
      <c r="A42" s="1252"/>
      <c r="B42" s="1253"/>
      <c r="C42" s="1253"/>
      <c r="D42" s="1253"/>
      <c r="E42" s="1253"/>
      <c r="F42" s="1253"/>
      <c r="G42" s="1253"/>
      <c r="H42" s="1253"/>
      <c r="I42" s="1254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25</v>
      </c>
      <c r="G45" s="1083"/>
      <c r="H45" s="7">
        <f>IF(A45&lt;&gt;0,ROUND(D45/F45,2),$J$1)</f>
        <v>8374.7900000000009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256"/>
      <c r="B49" s="1257"/>
      <c r="C49" s="1257"/>
      <c r="D49" s="1255" t="str">
        <f>IF(A49&lt;&gt;0,VLOOKUP(A49,Cuadrillas,7,FALSE),$J$1)</f>
        <v>-</v>
      </c>
      <c r="E49" s="1255"/>
      <c r="F49" s="1265"/>
      <c r="G49" s="1265"/>
      <c r="H49" s="293" t="str">
        <f>IF(A49&lt;&gt;0,ROUND(D49/F49,2),$J$1)</f>
        <v>-</v>
      </c>
      <c r="I49" s="297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8374.7900000000009</v>
      </c>
    </row>
    <row r="51" spans="1:9" x14ac:dyDescent="0.2">
      <c r="A51" s="1260"/>
      <c r="B51" s="1261"/>
      <c r="C51" s="1261"/>
      <c r="D51" s="1261"/>
      <c r="E51" s="1261"/>
      <c r="F51" s="1261"/>
      <c r="G51" s="1261"/>
      <c r="H51" s="1261"/>
      <c r="I51" s="1326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258" t="s">
        <v>2233</v>
      </c>
      <c r="B53" s="1259"/>
      <c r="C53" s="1259"/>
      <c r="D53" s="1259"/>
      <c r="E53" s="1259"/>
      <c r="F53" s="1259"/>
      <c r="G53" s="1259"/>
      <c r="H53" s="1259"/>
      <c r="I53" s="311">
        <f>I50</f>
        <v>8374.7900000000009</v>
      </c>
    </row>
    <row r="54" spans="1:9" s="367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A33:C33"/>
    <mergeCell ref="B34:C34"/>
    <mergeCell ref="A35:C35"/>
    <mergeCell ref="A36:C36"/>
    <mergeCell ref="B37:C37"/>
    <mergeCell ref="A38:C38"/>
    <mergeCell ref="A39:C39"/>
    <mergeCell ref="A40:C40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disablePrompts="1" count="4"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5:A41">
      <formula1>Descrip_transporte</formula1>
    </dataValidation>
    <dataValidation type="list" allowBlank="1" showInputMessage="1" showErrorMessage="1" sqref="A8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7">
    <tabColor indexed="26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2305</v>
      </c>
      <c r="G7" s="225"/>
      <c r="H7" s="858" t="s">
        <v>2216</v>
      </c>
      <c r="I7" s="72"/>
    </row>
    <row r="8" spans="1:10" x14ac:dyDescent="0.2">
      <c r="A8" s="1142" t="s">
        <v>427</v>
      </c>
      <c r="B8" s="1143"/>
      <c r="C8" s="1143"/>
      <c r="D8" s="844" t="e">
        <f t="shared" ref="D8:D19" si="0">IF(A8&lt;&gt;0,VLOOKUP(A8,Materiales,2,FALSE),$J$1)</f>
        <v>#REF!</v>
      </c>
      <c r="E8" s="12">
        <v>1.5</v>
      </c>
      <c r="F8" s="58" t="e">
        <f t="shared" ref="F8:F14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ht="12.75" customHeight="1" x14ac:dyDescent="0.2">
      <c r="A9" s="1330" t="s">
        <v>348</v>
      </c>
      <c r="B9" s="1331"/>
      <c r="C9" s="1331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218</v>
      </c>
      <c r="B10" s="1143"/>
      <c r="C10" s="1143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375</v>
      </c>
      <c r="B11" s="1143"/>
      <c r="C11" s="1143"/>
      <c r="D11" s="844" t="e">
        <f t="shared" si="0"/>
        <v>#REF!</v>
      </c>
      <c r="E11" s="12">
        <v>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15" t="s">
        <v>355</v>
      </c>
      <c r="B12" s="1216"/>
      <c r="C12" s="1217"/>
      <c r="D12" s="844" t="e">
        <f t="shared" si="0"/>
        <v>#REF!</v>
      </c>
      <c r="E12" s="12">
        <v>0.03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15" t="s">
        <v>274</v>
      </c>
      <c r="B13" s="1216"/>
      <c r="C13" s="1217"/>
      <c r="D13" s="844" t="e">
        <f t="shared" si="0"/>
        <v>#REF!</v>
      </c>
      <c r="E13" s="12">
        <v>0.03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988" t="str">
        <f t="shared" si="1"/>
        <v>-</v>
      </c>
      <c r="G14" s="990"/>
      <c r="H14" s="7" t="str">
        <f t="shared" si="2"/>
        <v>-</v>
      </c>
      <c r="I14" s="69"/>
    </row>
    <row r="15" spans="1:10" x14ac:dyDescent="0.2">
      <c r="A15" s="1120"/>
      <c r="B15" s="1081"/>
      <c r="C15" s="1081"/>
      <c r="D15" s="844" t="str">
        <f t="shared" si="0"/>
        <v>-</v>
      </c>
      <c r="E15" s="12"/>
      <c r="F15" s="988" t="str">
        <f>IF(A15&lt;&gt;0,VLOOKUP(A15,Materiales,6,FALSE),$J$1)</f>
        <v>-</v>
      </c>
      <c r="G15" s="990"/>
      <c r="H15" s="7" t="str">
        <f>IF(A15&lt;&gt;0,ROUND(E15*G15,2),$J$1)</f>
        <v>-</v>
      </c>
      <c r="I15" s="69"/>
    </row>
    <row r="16" spans="1:10" x14ac:dyDescent="0.2">
      <c r="A16" s="1120"/>
      <c r="B16" s="1081"/>
      <c r="C16" s="1081"/>
      <c r="D16" s="844"/>
      <c r="E16" s="12"/>
      <c r="F16" s="988" t="str">
        <f>IF(A16&lt;&gt;0,VLOOKUP(A16,Materiales,6,FALSE),$J$1)</f>
        <v>-</v>
      </c>
      <c r="G16" s="990"/>
      <c r="H16" s="7"/>
      <c r="I16" s="69"/>
    </row>
    <row r="17" spans="1:9" x14ac:dyDescent="0.2">
      <c r="A17" s="1120"/>
      <c r="B17" s="1081"/>
      <c r="C17" s="1081"/>
      <c r="D17" s="844"/>
      <c r="E17" s="12"/>
      <c r="F17" s="988" t="str">
        <f>IF(A17&lt;&gt;0,VLOOKUP(A17,Materiales,6,FALSE),$J$1)</f>
        <v>-</v>
      </c>
      <c r="G17" s="990"/>
      <c r="H17" s="7"/>
      <c r="I17" s="69"/>
    </row>
    <row r="18" spans="1:9" x14ac:dyDescent="0.2">
      <c r="A18" s="1256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297"/>
    </row>
    <row r="19" spans="1:9" x14ac:dyDescent="0.2">
      <c r="A19" s="1080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04"/>
    </row>
    <row r="20" spans="1:9" x14ac:dyDescent="0.2">
      <c r="A20" s="884" t="s">
        <v>2217</v>
      </c>
      <c r="B20" s="960"/>
      <c r="C20" s="960"/>
      <c r="D20" s="961"/>
      <c r="E20" s="962"/>
      <c r="F20" s="962"/>
      <c r="G20" s="962"/>
      <c r="H20" s="963"/>
      <c r="I20" s="937" t="e">
        <f>SUM(H8:H19)</f>
        <v>#REF!</v>
      </c>
    </row>
    <row r="21" spans="1:9" x14ac:dyDescent="0.2">
      <c r="A21" s="319"/>
      <c r="B21" s="320"/>
      <c r="C21" s="320"/>
      <c r="D21" s="320"/>
      <c r="E21" s="320"/>
      <c r="F21" s="320"/>
      <c r="G21" s="320"/>
      <c r="H21" s="320"/>
      <c r="I21" s="64"/>
    </row>
    <row r="22" spans="1:9" x14ac:dyDescent="0.2">
      <c r="A22" s="875" t="s">
        <v>454</v>
      </c>
      <c r="B22" s="876"/>
      <c r="C22" s="876"/>
      <c r="D22" s="876"/>
      <c r="E22" s="876"/>
      <c r="F22" s="876"/>
      <c r="G22" s="876"/>
      <c r="H22" s="876"/>
      <c r="I22" s="286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298"/>
    </row>
    <row r="24" spans="1:9" x14ac:dyDescent="0.2">
      <c r="A24" s="1080" t="s">
        <v>477</v>
      </c>
      <c r="B24" s="1081"/>
      <c r="C24" s="1081"/>
      <c r="D24" s="33">
        <v>1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3710</v>
      </c>
      <c r="I24" s="69"/>
    </row>
    <row r="25" spans="1:9" x14ac:dyDescent="0.2">
      <c r="A25" s="1370"/>
      <c r="B25" s="1371"/>
      <c r="C25" s="1371"/>
      <c r="D25" s="386"/>
      <c r="E25" s="386"/>
      <c r="F25" s="370" t="str">
        <f t="shared" si="3"/>
        <v>-</v>
      </c>
      <c r="G25" s="387"/>
      <c r="H25" s="372" t="str">
        <f t="shared" si="4"/>
        <v>-</v>
      </c>
      <c r="I25" s="297"/>
    </row>
    <row r="26" spans="1:9" x14ac:dyDescent="0.2">
      <c r="A26" s="1285"/>
      <c r="B26" s="1286"/>
      <c r="C26" s="1286"/>
      <c r="D26" s="335"/>
      <c r="E26" s="335"/>
      <c r="F26" s="327" t="str">
        <f t="shared" si="3"/>
        <v>-</v>
      </c>
      <c r="G26" s="336"/>
      <c r="H26" s="329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256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297"/>
    </row>
    <row r="30" spans="1:9" x14ac:dyDescent="0.2">
      <c r="A30" s="1080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04"/>
    </row>
    <row r="31" spans="1:9" x14ac:dyDescent="0.2">
      <c r="A31" s="887" t="s">
        <v>2221</v>
      </c>
      <c r="B31" s="888"/>
      <c r="C31" s="888"/>
      <c r="D31" s="323"/>
      <c r="E31" s="893"/>
      <c r="F31" s="893"/>
      <c r="G31" s="893"/>
      <c r="H31" s="894"/>
      <c r="I31" s="937">
        <f>SUM(H24:H30)</f>
        <v>3710</v>
      </c>
    </row>
    <row r="32" spans="1:9" x14ac:dyDescent="0.2">
      <c r="A32" s="390"/>
      <c r="B32" s="391"/>
      <c r="C32" s="391"/>
      <c r="D32" s="391"/>
      <c r="E32" s="391"/>
      <c r="F32" s="391"/>
      <c r="G32" s="391"/>
      <c r="H32" s="391"/>
      <c r="I32" s="300"/>
    </row>
    <row r="33" spans="1:9" x14ac:dyDescent="0.2">
      <c r="A33" s="388" t="s">
        <v>2222</v>
      </c>
      <c r="B33" s="392"/>
      <c r="C33" s="392"/>
      <c r="D33" s="876"/>
      <c r="E33" s="876"/>
      <c r="F33" s="876"/>
      <c r="G33" s="876"/>
      <c r="H33" s="876"/>
      <c r="I33" s="877"/>
    </row>
    <row r="34" spans="1:9" s="9" customFormat="1" ht="25.5" x14ac:dyDescent="0.2">
      <c r="A34" s="223" t="s">
        <v>26</v>
      </c>
      <c r="B34" s="224"/>
      <c r="C34" s="224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89"/>
    </row>
    <row r="35" spans="1:9" x14ac:dyDescent="0.2">
      <c r="A35" s="890"/>
      <c r="B35" s="1105" t="s">
        <v>2226</v>
      </c>
      <c r="C35" s="1367"/>
      <c r="D35" s="46"/>
      <c r="E35" s="47"/>
      <c r="F35" s="15"/>
      <c r="G35" s="12"/>
      <c r="H35" s="7"/>
      <c r="I35" s="343">
        <f>SUM(H36:H38)</f>
        <v>0</v>
      </c>
    </row>
    <row r="36" spans="1:9" x14ac:dyDescent="0.2">
      <c r="A36" s="1368"/>
      <c r="B36" s="1352"/>
      <c r="C36" s="1353"/>
      <c r="D36" s="965" t="str">
        <f>IF(A36&lt;&gt;0,VLOOKUP(A36,Transporte,8,FALSE),$J$1)</f>
        <v>-</v>
      </c>
      <c r="E36" s="966"/>
      <c r="F36" s="967" t="str">
        <f t="shared" ref="F36:F41" si="5">IF(A36&lt;&gt;0,VLOOKUP(A36,Transporte,2,FALSE),$J$1)</f>
        <v>-</v>
      </c>
      <c r="G36" s="940"/>
      <c r="H36" s="942" t="str">
        <f t="shared" ref="H36:H41" si="6">IF(A36&lt;&gt;0,D36/F36*G36,$J$1)</f>
        <v>-</v>
      </c>
      <c r="I36" s="379"/>
    </row>
    <row r="37" spans="1:9" x14ac:dyDescent="0.2">
      <c r="A37" s="1368"/>
      <c r="B37" s="1352"/>
      <c r="C37" s="1353"/>
      <c r="D37" s="965" t="str">
        <f>IF(A37&lt;&gt;0,VLOOKUP(A37,Transporte,8,FALSE),$J$1)</f>
        <v>-</v>
      </c>
      <c r="E37" s="966"/>
      <c r="F37" s="967" t="str">
        <f t="shared" si="5"/>
        <v>-</v>
      </c>
      <c r="G37" s="940"/>
      <c r="H37" s="942" t="str">
        <f t="shared" si="6"/>
        <v>-</v>
      </c>
      <c r="I37" s="345"/>
    </row>
    <row r="38" spans="1:9" x14ac:dyDescent="0.2">
      <c r="A38" s="1368"/>
      <c r="B38" s="1352"/>
      <c r="C38" s="1353"/>
      <c r="D38" s="965" t="str">
        <f>IF(A38&lt;&gt;0,VLOOKUP(A38,Transporte,8,FALSE),$J$1)</f>
        <v>-</v>
      </c>
      <c r="E38" s="966"/>
      <c r="F38" s="967" t="str">
        <f t="shared" si="5"/>
        <v>-</v>
      </c>
      <c r="G38" s="940"/>
      <c r="H38" s="942" t="str">
        <f t="shared" si="6"/>
        <v>-</v>
      </c>
      <c r="I38" s="345"/>
    </row>
    <row r="39" spans="1:9" x14ac:dyDescent="0.2">
      <c r="A39" s="890"/>
      <c r="B39" s="1105" t="s">
        <v>2227</v>
      </c>
      <c r="C39" s="1104"/>
      <c r="D39" s="968"/>
      <c r="E39" s="969"/>
      <c r="F39" s="970"/>
      <c r="G39" s="52"/>
      <c r="H39" s="171"/>
      <c r="I39" s="343">
        <f>SUM(H40:H41)</f>
        <v>0</v>
      </c>
    </row>
    <row r="40" spans="1:9" x14ac:dyDescent="0.2">
      <c r="A40" s="1215"/>
      <c r="B40" s="1216"/>
      <c r="C40" s="1217"/>
      <c r="D40" s="971" t="str">
        <f>IF(A29&lt;&gt;0,VLOOKUP(A42,Transporte,8,FALSE),$J$1)</f>
        <v>-</v>
      </c>
      <c r="E40" s="971"/>
      <c r="F40" s="970" t="str">
        <f t="shared" si="5"/>
        <v>-</v>
      </c>
      <c r="G40" s="52"/>
      <c r="H40" s="171" t="str">
        <f t="shared" si="6"/>
        <v>-</v>
      </c>
      <c r="I40" s="345"/>
    </row>
    <row r="41" spans="1:9" x14ac:dyDescent="0.2">
      <c r="A41" s="1215"/>
      <c r="B41" s="1216"/>
      <c r="C41" s="1217"/>
      <c r="D41" s="971" t="str">
        <f>IF(A30&lt;&gt;0,VLOOKUP(A41,Transporte,8,FALSE),$J$1)</f>
        <v>-</v>
      </c>
      <c r="E41" s="971"/>
      <c r="F41" s="970" t="str">
        <f t="shared" si="5"/>
        <v>-</v>
      </c>
      <c r="G41" s="52"/>
      <c r="H41" s="171" t="str">
        <f t="shared" si="6"/>
        <v>-</v>
      </c>
      <c r="I41" s="344"/>
    </row>
    <row r="42" spans="1:9" x14ac:dyDescent="0.2">
      <c r="A42" s="880" t="s">
        <v>2228</v>
      </c>
      <c r="D42" s="972"/>
      <c r="E42" s="972"/>
      <c r="F42" s="972"/>
      <c r="G42" s="972"/>
      <c r="H42" s="972"/>
      <c r="I42" s="973">
        <f>SUM(I35:I41)</f>
        <v>0</v>
      </c>
    </row>
    <row r="43" spans="1:9" x14ac:dyDescent="0.2">
      <c r="A43" s="1287"/>
      <c r="B43" s="1288"/>
      <c r="C43" s="1288"/>
      <c r="D43" s="1288"/>
      <c r="E43" s="1288"/>
      <c r="F43" s="1288"/>
      <c r="G43" s="1288"/>
      <c r="H43" s="1288"/>
      <c r="I43" s="1369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366"/>
    </row>
    <row r="45" spans="1:9" s="9" customFormat="1" ht="25.5" customHeight="1" x14ac:dyDescent="0.2">
      <c r="A45" s="223" t="s">
        <v>26</v>
      </c>
      <c r="B45" s="224"/>
      <c r="C45" s="224"/>
      <c r="D45" s="235" t="s">
        <v>2223</v>
      </c>
      <c r="E45" s="235"/>
      <c r="F45" s="881" t="s">
        <v>2224</v>
      </c>
      <c r="G45" s="881" t="s">
        <v>2225</v>
      </c>
      <c r="H45" s="881" t="s">
        <v>2216</v>
      </c>
      <c r="I45" s="366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10</v>
      </c>
      <c r="G46" s="1083"/>
      <c r="H46" s="7">
        <f>IF(A46&lt;&gt;0,ROUND(D46/F46,2),$J$1)</f>
        <v>20936.98</v>
      </c>
      <c r="I46" s="69"/>
    </row>
    <row r="47" spans="1:9" x14ac:dyDescent="0.2">
      <c r="A47" s="1293"/>
      <c r="B47" s="1294"/>
      <c r="C47" s="1294"/>
      <c r="D47" s="1364" t="str">
        <f>IF(A47&lt;&gt;0,VLOOKUP(A47,Cuadrillas,7,FALSE),$J$1)</f>
        <v>-</v>
      </c>
      <c r="E47" s="1364"/>
      <c r="F47" s="1365"/>
      <c r="G47" s="1365"/>
      <c r="H47" s="942" t="str">
        <f>IF(A47&lt;&gt;0,ROUND(D47/F47,2),$J$1)</f>
        <v>-</v>
      </c>
      <c r="I47" s="325"/>
    </row>
    <row r="48" spans="1:9" x14ac:dyDescent="0.2">
      <c r="A48" s="1285"/>
      <c r="B48" s="1286"/>
      <c r="C48" s="1286"/>
      <c r="D48" s="1364" t="str">
        <f>IF(A48&lt;&gt;0,VLOOKUP(A48,Cuadrillas,7,FALSE),$J$1)</f>
        <v>-</v>
      </c>
      <c r="E48" s="1364"/>
      <c r="F48" s="1365"/>
      <c r="G48" s="1365"/>
      <c r="H48" s="942" t="str">
        <f>IF(A48&lt;&gt;0,ROUND(D48/F48,2),$J$1)</f>
        <v>-</v>
      </c>
      <c r="I48" s="69"/>
    </row>
    <row r="49" spans="1:9" x14ac:dyDescent="0.2">
      <c r="A49" s="1120"/>
      <c r="B49" s="1121"/>
      <c r="C49" s="1121"/>
      <c r="D49" s="1350" t="str">
        <f>IF(A49&lt;&gt;0,VLOOKUP(A49,Cuadrillas,7,FALSE),$J$1)</f>
        <v>-</v>
      </c>
      <c r="E49" s="1350"/>
      <c r="F49" s="1351"/>
      <c r="G49" s="1351"/>
      <c r="H49" s="171" t="str">
        <f>IF(A49&lt;&gt;0,ROUND(D49/F49,2),$J$1)</f>
        <v>-</v>
      </c>
      <c r="I49" s="297"/>
    </row>
    <row r="50" spans="1:9" x14ac:dyDescent="0.2">
      <c r="A50" s="1120"/>
      <c r="B50" s="1121"/>
      <c r="C50" s="1121"/>
      <c r="D50" s="1350" t="str">
        <f>IF(A50&lt;&gt;0,VLOOKUP(A50,Cuadrillas,7,FALSE),$J$1)</f>
        <v>-</v>
      </c>
      <c r="E50" s="1350"/>
      <c r="F50" s="1351"/>
      <c r="G50" s="1351"/>
      <c r="H50" s="171" t="str">
        <f>IF(A50&lt;&gt;0,ROUND(D50/F50,2),$J$1)</f>
        <v>-</v>
      </c>
      <c r="I50" s="69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938">
        <f>SUM(H46:H50)</f>
        <v>20936.98</v>
      </c>
    </row>
    <row r="52" spans="1:9" x14ac:dyDescent="0.2">
      <c r="A52" s="1347"/>
      <c r="B52" s="1348"/>
      <c r="C52" s="1348"/>
      <c r="D52" s="1348"/>
      <c r="E52" s="1348"/>
      <c r="F52" s="1348"/>
      <c r="G52" s="1348"/>
      <c r="H52" s="1348"/>
      <c r="I52" s="1262"/>
    </row>
    <row r="53" spans="1:9" x14ac:dyDescent="0.2">
      <c r="A53" s="1273" t="s">
        <v>2232</v>
      </c>
      <c r="B53" s="1274"/>
      <c r="C53" s="1274"/>
      <c r="D53" s="1274"/>
      <c r="E53" s="1274"/>
      <c r="F53" s="1274"/>
      <c r="G53" s="1274"/>
      <c r="H53" s="1274"/>
      <c r="I53" s="324" t="e">
        <f>I20+I31+I42</f>
        <v>#REF!</v>
      </c>
    </row>
    <row r="54" spans="1:9" ht="13.5" thickBot="1" x14ac:dyDescent="0.25">
      <c r="A54" s="1193" t="s">
        <v>2233</v>
      </c>
      <c r="B54" s="1194"/>
      <c r="C54" s="1194"/>
      <c r="D54" s="1194"/>
      <c r="E54" s="1194"/>
      <c r="F54" s="1194"/>
      <c r="G54" s="1194"/>
      <c r="H54" s="1194"/>
      <c r="I54" s="238">
        <f>I51</f>
        <v>20936.98</v>
      </c>
    </row>
    <row r="55" spans="1:9" s="9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356" t="s">
        <v>10</v>
      </c>
      <c r="B56" s="1357"/>
      <c r="C56" s="1357"/>
      <c r="D56" s="1360">
        <f>+'Datos entrada'!B7</f>
        <v>0.3</v>
      </c>
      <c r="E56" s="1361"/>
      <c r="F56" s="1362" t="e">
        <f>I55*D56</f>
        <v>#REF!</v>
      </c>
      <c r="G56" s="1362"/>
      <c r="H56" s="1362"/>
      <c r="I56" s="1363"/>
    </row>
    <row r="57" spans="1:9" s="9" customFormat="1" ht="25.5" customHeight="1" thickTop="1" thickBot="1" x14ac:dyDescent="0.25">
      <c r="A57" s="1356" t="s">
        <v>2236</v>
      </c>
      <c r="B57" s="1357"/>
      <c r="C57" s="1357"/>
      <c r="D57" s="1357"/>
      <c r="E57" s="1357"/>
      <c r="F57" s="1357"/>
      <c r="G57" s="1357"/>
      <c r="H57" s="1358" t="e">
        <f>I55+F56</f>
        <v>#REF!</v>
      </c>
      <c r="I57" s="1359"/>
    </row>
    <row r="58" spans="1:9" ht="13.5" thickTop="1" x14ac:dyDescent="0.2">
      <c r="A58" s="368"/>
      <c r="B58" s="368"/>
      <c r="C58" s="368"/>
      <c r="D58" s="368"/>
      <c r="E58" s="368"/>
      <c r="F58" s="368"/>
      <c r="G58" s="368"/>
      <c r="H58" s="368"/>
      <c r="I58" s="36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F14:G14"/>
    <mergeCell ref="F15:G15"/>
    <mergeCell ref="F16:G16"/>
    <mergeCell ref="F17:G17"/>
    <mergeCell ref="A1:C1"/>
    <mergeCell ref="A17:C17"/>
    <mergeCell ref="H1:I1"/>
    <mergeCell ref="A8:C8"/>
    <mergeCell ref="A9:C9"/>
    <mergeCell ref="A10:C10"/>
    <mergeCell ref="A27:C27"/>
    <mergeCell ref="A11:C11"/>
    <mergeCell ref="A12:C12"/>
    <mergeCell ref="A13:C13"/>
    <mergeCell ref="A14:C14"/>
    <mergeCell ref="A15:C15"/>
    <mergeCell ref="A18:C18"/>
    <mergeCell ref="A19:C19"/>
    <mergeCell ref="A24:C24"/>
    <mergeCell ref="A25:C25"/>
    <mergeCell ref="A26:C26"/>
    <mergeCell ref="A16:C16"/>
    <mergeCell ref="A44:I44"/>
    <mergeCell ref="A28:C28"/>
    <mergeCell ref="A29:C29"/>
    <mergeCell ref="A30:C30"/>
    <mergeCell ref="B35:C35"/>
    <mergeCell ref="A36:C36"/>
    <mergeCell ref="A37:C37"/>
    <mergeCell ref="A38:C38"/>
    <mergeCell ref="B39:C39"/>
    <mergeCell ref="A40:C40"/>
    <mergeCell ref="A41:C41"/>
    <mergeCell ref="A43:I43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7:G57"/>
    <mergeCell ref="H57:I57"/>
    <mergeCell ref="A50:C50"/>
    <mergeCell ref="D50:E50"/>
    <mergeCell ref="F50:G50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disablePrompts="1" count="5"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  <dataValidation type="list" allowBlank="1" showInputMessage="1" showErrorMessage="1" sqref="A35:A42">
      <formula1>Descrip_transporte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4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428</v>
      </c>
      <c r="B8" s="1081"/>
      <c r="C8" s="1081"/>
      <c r="D8" s="844" t="e">
        <f t="shared" ref="D8:D18" si="0">IF(A8&lt;&gt;0,VLOOKUP(A8,Materiales,2,FALSE),$J$1)</f>
        <v>#REF!</v>
      </c>
      <c r="E8" s="12">
        <v>3.5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440</v>
      </c>
      <c r="B9" s="1284"/>
      <c r="C9" s="1284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274</v>
      </c>
      <c r="B10" s="1081"/>
      <c r="C10" s="1081"/>
      <c r="D10" s="844" t="e">
        <f t="shared" si="0"/>
        <v>#REF!</v>
      </c>
      <c r="E10" s="12">
        <v>0.02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355</v>
      </c>
      <c r="B11" s="1081"/>
      <c r="C11" s="1081"/>
      <c r="D11" s="844" t="e">
        <f t="shared" si="0"/>
        <v>#REF!</v>
      </c>
      <c r="E11" s="12">
        <v>0.02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0.27</v>
      </c>
      <c r="H23" s="7">
        <f t="shared" ref="H23:H29" si="4">IF(A23&lt;&gt;0,ROUND((F23/D23)*G23,2),$J$1)</f>
        <v>1001.7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1001.7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7</v>
      </c>
      <c r="G45" s="1083"/>
      <c r="H45" s="7">
        <f>IF(A45&lt;&gt;0,ROUND(D45/F45,2),$J$1)</f>
        <v>29909.98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29909.98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29909.98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FF00"/>
    <pageSetUpPr fitToPage="1"/>
  </sheetPr>
  <dimension ref="A1:K62"/>
  <sheetViews>
    <sheetView view="pageBreakPreview" topLeftCell="A52" zoomScaleNormal="100" zoomScaleSheetLayoutView="100" workbookViewId="0">
      <selection activeCell="A37" sqref="A37:C37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20.25" thickTop="1" x14ac:dyDescent="0.2">
      <c r="A1" s="1131"/>
      <c r="B1" s="1220"/>
      <c r="C1" s="1220"/>
      <c r="D1" s="93"/>
      <c r="E1" s="93"/>
      <c r="F1" s="93"/>
      <c r="G1" s="93"/>
      <c r="H1" s="1129"/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31.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47" t="s">
        <v>2297</v>
      </c>
      <c r="C5" s="1227" t="s">
        <v>2301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155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2302</v>
      </c>
      <c r="G7" s="254"/>
      <c r="H7" s="879" t="s">
        <v>2216</v>
      </c>
      <c r="I7" s="72"/>
    </row>
    <row r="8" spans="1:10" x14ac:dyDescent="0.2">
      <c r="A8" s="1215" t="s">
        <v>210</v>
      </c>
      <c r="B8" s="1216"/>
      <c r="C8" s="1217"/>
      <c r="D8" s="851" t="e">
        <f t="shared" ref="D8:D18" si="0">IF(A8&lt;&gt;0,VLOOKUP(A8,Materiales,2,FALSE),$J$1)</f>
        <v>#REF!</v>
      </c>
      <c r="E8" s="12">
        <v>362.5</v>
      </c>
      <c r="F8" s="21" t="e">
        <f t="shared" ref="F8:F18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154</v>
      </c>
      <c r="B9" s="1216"/>
      <c r="C9" s="1217"/>
      <c r="D9" s="851" t="e">
        <f t="shared" si="0"/>
        <v>#REF!</v>
      </c>
      <c r="E9" s="12">
        <v>1.1599999999999999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139</v>
      </c>
      <c r="B10" s="1216"/>
      <c r="C10" s="1217"/>
      <c r="D10" s="851" t="e">
        <f t="shared" si="0"/>
        <v>#REF!</v>
      </c>
      <c r="E10" s="12">
        <v>250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349</v>
      </c>
      <c r="B11" s="1216"/>
      <c r="C11" s="1217"/>
      <c r="D11" s="851" t="e">
        <f t="shared" si="0"/>
        <v>#REF!</v>
      </c>
      <c r="E11" s="12">
        <v>12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si="1"/>
        <v>-</v>
      </c>
      <c r="G12" s="22"/>
      <c r="H12" s="8" t="str">
        <f t="shared" si="2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1"/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1"/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</v>
      </c>
      <c r="E23" s="28"/>
      <c r="F23" s="12">
        <f t="shared" ref="F23:F29" si="3">IF(A23&lt;&gt;0,VLOOKUP(A23,Equipos,6,FALSE),$J$1)</f>
        <v>3710</v>
      </c>
      <c r="G23" s="14">
        <v>0.75</v>
      </c>
      <c r="H23" s="8">
        <f t="shared" ref="H23:H29" si="4">IF(A23&lt;&gt;0,ROUND((F23/D23)*G23,2),$J$1)</f>
        <v>2782.5</v>
      </c>
      <c r="I23" s="69"/>
    </row>
    <row r="24" spans="1:9" x14ac:dyDescent="0.2">
      <c r="A24" s="1215" t="s">
        <v>478</v>
      </c>
      <c r="B24" s="1216"/>
      <c r="C24" s="1217"/>
      <c r="D24" s="26">
        <v>0.3</v>
      </c>
      <c r="E24" s="28"/>
      <c r="F24" s="12">
        <f t="shared" si="3"/>
        <v>63600</v>
      </c>
      <c r="G24" s="14">
        <v>0.05</v>
      </c>
      <c r="H24" s="8">
        <f t="shared" si="4"/>
        <v>10600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13382.5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51"/>
      <c r="G34" s="12"/>
      <c r="H34" s="8"/>
      <c r="I34" s="312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69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69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12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69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122" t="s">
        <v>2303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48</v>
      </c>
      <c r="B45" s="1216"/>
      <c r="C45" s="1217"/>
      <c r="D45" s="1225">
        <f>IF(A45&lt;&gt;0,VLOOKUP(A45,Cuadrillas,7,FALSE),$J$1)</f>
        <v>329249.03000000003</v>
      </c>
      <c r="E45" s="1226"/>
      <c r="F45" s="1221">
        <v>5</v>
      </c>
      <c r="G45" s="1222"/>
      <c r="H45" s="8">
        <f>IF(A45&lt;&gt;0,ROUND(D45/F45,2),$J$1)</f>
        <v>65849.81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65849.81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65849.81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05" t="e">
        <f>I54+F55</f>
        <v>#REF!</v>
      </c>
      <c r="I56" s="106"/>
    </row>
    <row r="57" spans="1:11" ht="14.25" thickTop="1" thickBot="1" x14ac:dyDescent="0.25"/>
    <row r="58" spans="1:11" ht="13.5" thickTop="1" x14ac:dyDescent="0.2">
      <c r="A58" s="983" t="str">
        <f>+'Datos entrada'!$B$5</f>
        <v>INGENIERO CIVIL HEBER EDUARDO YEPES VILLOTA</v>
      </c>
      <c r="B58" s="983"/>
      <c r="C58" s="983"/>
      <c r="D58" s="983"/>
      <c r="E58" s="983"/>
      <c r="F58" s="983"/>
      <c r="G58" s="983"/>
      <c r="H58" s="983"/>
      <c r="I58" s="983"/>
    </row>
    <row r="59" spans="1:11" x14ac:dyDescent="0.2">
      <c r="A59" s="984"/>
      <c r="B59" s="984"/>
      <c r="C59" s="984"/>
      <c r="D59" s="984"/>
      <c r="E59" s="984"/>
      <c r="F59" s="984"/>
      <c r="G59" s="984"/>
      <c r="H59" s="984"/>
      <c r="I59" s="984"/>
    </row>
    <row r="60" spans="1:11" x14ac:dyDescent="0.2">
      <c r="A60" s="984"/>
      <c r="B60" s="984"/>
      <c r="C60" s="984"/>
      <c r="D60" s="984"/>
      <c r="E60" s="984"/>
      <c r="F60" s="984"/>
      <c r="G60" s="984"/>
      <c r="H60" s="984"/>
      <c r="I60" s="984"/>
    </row>
    <row r="61" spans="1:11" ht="12.75" customHeight="1" x14ac:dyDescent="0.2">
      <c r="A61" s="984"/>
      <c r="B61" s="984"/>
      <c r="C61" s="984"/>
      <c r="D61" s="984"/>
      <c r="E61" s="984"/>
      <c r="F61" s="984"/>
      <c r="G61" s="984"/>
      <c r="H61" s="984"/>
      <c r="I61" s="984"/>
    </row>
    <row r="62" spans="1:11" x14ac:dyDescent="0.2">
      <c r="A62" s="1234"/>
      <c r="B62" s="1234"/>
      <c r="C62" s="1234"/>
      <c r="D62" s="1234"/>
    </row>
  </sheetData>
  <customSheetViews>
    <customSheetView guid="{93F324B6-F965-4669-93FF-DBB148734A46}" fitToPage="1">
      <selection activeCell="L4" sqref="L4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3">
    <mergeCell ref="A53:H53"/>
    <mergeCell ref="A52:H52"/>
    <mergeCell ref="A51:I51"/>
    <mergeCell ref="A55:C55"/>
    <mergeCell ref="D55:E55"/>
    <mergeCell ref="C5:I5"/>
    <mergeCell ref="A24:C24"/>
    <mergeCell ref="A9:C9"/>
    <mergeCell ref="A10:C10"/>
    <mergeCell ref="F45:G45"/>
    <mergeCell ref="A43:I43"/>
    <mergeCell ref="H1:I1"/>
    <mergeCell ref="A11:C11"/>
    <mergeCell ref="A23:C23"/>
    <mergeCell ref="A49:C49"/>
    <mergeCell ref="D49:E49"/>
    <mergeCell ref="A48:C48"/>
    <mergeCell ref="F49:G49"/>
    <mergeCell ref="D48:E48"/>
    <mergeCell ref="F48:G48"/>
    <mergeCell ref="A1:C1"/>
    <mergeCell ref="B34:C34"/>
    <mergeCell ref="B38:C38"/>
    <mergeCell ref="A8:C8"/>
    <mergeCell ref="A44:C44"/>
    <mergeCell ref="A41:H41"/>
    <mergeCell ref="A42:I42"/>
    <mergeCell ref="A62:D62"/>
    <mergeCell ref="A46:C46"/>
    <mergeCell ref="F47:G47"/>
    <mergeCell ref="D44:E44"/>
    <mergeCell ref="D45:E45"/>
    <mergeCell ref="F46:G46"/>
    <mergeCell ref="D47:E47"/>
    <mergeCell ref="D46:E46"/>
    <mergeCell ref="A45:C45"/>
    <mergeCell ref="F44:G44"/>
    <mergeCell ref="A47:C47"/>
    <mergeCell ref="A56:G56"/>
    <mergeCell ref="A54:G54"/>
    <mergeCell ref="F55:I55"/>
    <mergeCell ref="A50:H50"/>
    <mergeCell ref="A58:I61"/>
  </mergeCells>
  <phoneticPr fontId="0" type="noConversion"/>
  <dataValidations disablePrompts="1" count="5">
    <dataValidation type="list" allowBlank="1" showInputMessage="1" showErrorMessage="1" sqref="A12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:A11">
      <formula1>Descripción</formula1>
    </dataValidation>
    <dataValidation type="list" allowBlank="1" showInputMessage="1" showErrorMessage="1" sqref="B25:C29 A23:A29 B35:B40 C35:C37 C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3" orientation="portrait" blackAndWhite="1" errors="blank" r:id="rId2"/>
  <headerFooter alignWithMargins="0">
    <oddFooter xml:space="preserve">&amp;C  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9">
    <tabColor indexed="26"/>
    <pageSetUpPr fitToPage="1"/>
  </sheetPr>
  <dimension ref="A1:K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428</v>
      </c>
      <c r="B8" s="1081"/>
      <c r="C8" s="1081"/>
      <c r="D8" s="844" t="e">
        <f t="shared" ref="D8:D18" si="0">IF(A8&lt;&gt;0,VLOOKUP(A8,Materiales,2,FALSE),$J$1)</f>
        <v>#REF!</v>
      </c>
      <c r="E8" s="12">
        <v>3.5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440</v>
      </c>
      <c r="B9" s="1284"/>
      <c r="C9" s="1284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274</v>
      </c>
      <c r="B10" s="1081"/>
      <c r="C10" s="1081"/>
      <c r="D10" s="844" t="e">
        <f t="shared" si="0"/>
        <v>#REF!</v>
      </c>
      <c r="E10" s="12">
        <v>0.02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355</v>
      </c>
      <c r="B11" s="1081"/>
      <c r="C11" s="1081"/>
      <c r="D11" s="844" t="e">
        <f t="shared" si="0"/>
        <v>#REF!</v>
      </c>
      <c r="E11" s="12">
        <v>0.02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0.25</v>
      </c>
      <c r="H23" s="7">
        <f t="shared" ref="H23:H29" si="4">IF(A23&lt;&gt;0,ROUND((F23/D23)*G23,2),$J$1)</f>
        <v>927.5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927.5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8</v>
      </c>
      <c r="G45" s="1083"/>
      <c r="H45" s="7">
        <f>IF(A45&lt;&gt;0,ROUND(D45/F45,2),$J$1)</f>
        <v>26171.23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26171.23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26171.23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0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429</v>
      </c>
      <c r="B8" s="1081"/>
      <c r="C8" s="1081"/>
      <c r="D8" s="844" t="e">
        <f t="shared" ref="D8:D18" si="0">IF(A8&lt;&gt;0,VLOOKUP(A8,Materiales,2,FALSE),$J$1)</f>
        <v>#REF!</v>
      </c>
      <c r="E8" s="12">
        <v>1.01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439</v>
      </c>
      <c r="B9" s="1284"/>
      <c r="C9" s="1284"/>
      <c r="D9" s="844" t="e">
        <f t="shared" si="0"/>
        <v>#REF!</v>
      </c>
      <c r="E9" s="12">
        <v>0.2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274</v>
      </c>
      <c r="B10" s="1081"/>
      <c r="C10" s="1081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355</v>
      </c>
      <c r="B11" s="1081"/>
      <c r="C11" s="1081"/>
      <c r="D11" s="844" t="e">
        <f t="shared" si="0"/>
        <v>#REF!</v>
      </c>
      <c r="E11" s="12">
        <v>0.01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195.26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50</v>
      </c>
      <c r="G45" s="1083"/>
      <c r="H45" s="7">
        <f>IF(A45&lt;&gt;0,ROUND(D45/F45,2),$J$1)</f>
        <v>4187.3999999999996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4187.3999999999996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4187.3999999999996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disablePrompts="1"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163</v>
      </c>
      <c r="B8" s="1081"/>
      <c r="C8" s="1081"/>
      <c r="D8" s="844" t="e">
        <f t="shared" ref="D8:D18" si="0">IF(A8&lt;&gt;0,VLOOKUP(A8,Materiales,2,FALSE),$J$1)</f>
        <v>#REF!</v>
      </c>
      <c r="E8" s="12">
        <v>1.05</v>
      </c>
      <c r="F8" s="58" t="e">
        <f t="shared" ref="F8:F17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356</v>
      </c>
      <c r="B9" s="1284"/>
      <c r="C9" s="1284"/>
      <c r="D9" s="844" t="e">
        <f t="shared" si="0"/>
        <v>#REF!</v>
      </c>
      <c r="E9" s="12">
        <v>0.4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395</v>
      </c>
      <c r="B10" s="1081"/>
      <c r="C10" s="1081"/>
      <c r="D10" s="844" t="e">
        <f t="shared" si="0"/>
        <v>#REF!</v>
      </c>
      <c r="E10" s="12">
        <v>0.14000000000000001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222</v>
      </c>
      <c r="B11" s="1081"/>
      <c r="C11" s="1081"/>
      <c r="D11" s="844" t="e">
        <f t="shared" si="0"/>
        <v>#REF!</v>
      </c>
      <c r="E11" s="12">
        <v>0.28000000000000003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131</v>
      </c>
      <c r="B12" s="1081"/>
      <c r="C12" s="1081"/>
      <c r="D12" s="844" t="e">
        <f t="shared" si="0"/>
        <v>#REF!</v>
      </c>
      <c r="E12" s="12">
        <v>7.0000000000000007E-2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132</v>
      </c>
      <c r="B13" s="1081"/>
      <c r="C13" s="1081"/>
      <c r="D13" s="844" t="e">
        <f t="shared" si="0"/>
        <v>#REF!</v>
      </c>
      <c r="E13" s="12">
        <v>7.0000000000000007E-2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430</v>
      </c>
      <c r="B14" s="1081"/>
      <c r="C14" s="1081"/>
      <c r="D14" s="844" t="e">
        <f t="shared" si="0"/>
        <v>#REF!</v>
      </c>
      <c r="E14" s="12">
        <v>0.14000000000000001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422</v>
      </c>
      <c r="B15" s="1081"/>
      <c r="C15" s="1081"/>
      <c r="D15" s="844" t="e">
        <f t="shared" si="0"/>
        <v>#REF!</v>
      </c>
      <c r="E15" s="12">
        <v>0.24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 t="s">
        <v>212</v>
      </c>
      <c r="B16" s="1081"/>
      <c r="C16" s="1081"/>
      <c r="D16" s="844" t="e">
        <f t="shared" si="0"/>
        <v>#REF!</v>
      </c>
      <c r="E16" s="12">
        <v>0.28000000000000003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0.15</v>
      </c>
      <c r="H23" s="7">
        <f t="shared" ref="H23:H29" si="4">IF(A23&lt;&gt;0,ROUND((F23/D23)*G23,2),$J$1)</f>
        <v>556.5</v>
      </c>
      <c r="I23" s="69"/>
    </row>
    <row r="24" spans="1:9" x14ac:dyDescent="0.2">
      <c r="A24" s="1080" t="s">
        <v>476</v>
      </c>
      <c r="B24" s="1081"/>
      <c r="C24" s="1081"/>
      <c r="D24" s="33">
        <v>1</v>
      </c>
      <c r="E24" s="33"/>
      <c r="F24" s="12">
        <f t="shared" si="3"/>
        <v>5807.74</v>
      </c>
      <c r="G24" s="14">
        <v>0.05</v>
      </c>
      <c r="H24" s="7">
        <f t="shared" si="4"/>
        <v>290.39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846.89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28</v>
      </c>
      <c r="G45" s="1083"/>
      <c r="H45" s="7">
        <f>IF(A45&lt;&gt;0,ROUND(D45/F45,2),$J$1)</f>
        <v>11758.89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11758.89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11758.89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9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117</v>
      </c>
      <c r="B8" s="1081"/>
      <c r="C8" s="108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21</v>
      </c>
      <c r="E23" s="33"/>
      <c r="F23" s="12">
        <f t="shared" ref="F23:F29" si="3">IF(A23&lt;&gt;0,VLOOKUP(A23,Equipos,6,FALSE),$J$1)</f>
        <v>3710</v>
      </c>
      <c r="G23" s="14">
        <v>0.25</v>
      </c>
      <c r="H23" s="7">
        <f t="shared" ref="H23:H29" si="4">IF(A23&lt;&gt;0,ROUND((F23/D23)*G23,2),$J$1)</f>
        <v>44.17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44.17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100</v>
      </c>
      <c r="G45" s="1083"/>
      <c r="H45" s="7">
        <f>IF(A45&lt;&gt;0,ROUND(D45/F45,2),$J$1)</f>
        <v>3292.49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3292.49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3292.49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1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212</v>
      </c>
      <c r="B8" s="1331"/>
      <c r="C8" s="1331"/>
      <c r="D8" s="844" t="e">
        <f t="shared" ref="D8:D19" si="0">IF(A8&lt;&gt;0,VLOOKUP(A8,Materiales,2,FALSE),$J$1)</f>
        <v>#REF!</v>
      </c>
      <c r="E8" s="12">
        <v>6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393</v>
      </c>
      <c r="B9" s="1143"/>
      <c r="C9" s="1143"/>
      <c r="D9" s="844" t="e">
        <f t="shared" si="0"/>
        <v>#REF!</v>
      </c>
      <c r="E9" s="12">
        <v>6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176</v>
      </c>
      <c r="B10" s="1143"/>
      <c r="C10" s="1143"/>
      <c r="D10" s="844" t="e">
        <f t="shared" si="0"/>
        <v>#REF!</v>
      </c>
      <c r="E10" s="12">
        <v>0.1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154.58000000000001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154.58000000000001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127" t="s">
        <v>2226</v>
      </c>
      <c r="C35" s="1127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8</v>
      </c>
      <c r="G46" s="1083"/>
      <c r="H46" s="7">
        <f>IF(A46&lt;&gt;0,ROUND(D46/F46,2),$J$1)</f>
        <v>26171.23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26171.23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26171.23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2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290</v>
      </c>
      <c r="B8" s="1331"/>
      <c r="C8" s="1331"/>
      <c r="D8" s="844" t="e">
        <f t="shared" ref="D8:D19" si="0">IF(A8&lt;&gt;0,VLOOKUP(A8,Materiales,2,FALSE),$J$1)</f>
        <v>#REF!</v>
      </c>
      <c r="E8" s="12">
        <v>0.01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209</v>
      </c>
      <c r="B9" s="1143"/>
      <c r="C9" s="1143"/>
      <c r="D9" s="844" t="e">
        <f t="shared" si="0"/>
        <v>#REF!</v>
      </c>
      <c r="E9" s="12">
        <v>0.4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215</v>
      </c>
      <c r="B10" s="1143"/>
      <c r="C10" s="1143"/>
      <c r="D10" s="844" t="e">
        <f t="shared" si="0"/>
        <v>#REF!</v>
      </c>
      <c r="E10" s="12">
        <v>0.1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154.58000000000001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154.58000000000001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127" t="s">
        <v>2226</v>
      </c>
      <c r="C35" s="1127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6</v>
      </c>
      <c r="G46" s="1083"/>
      <c r="H46" s="7">
        <f>IF(A46&lt;&gt;0,ROUND(D46/F46,2),$J$1)</f>
        <v>34894.97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34894.97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34894.97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4:I44"/>
    <mergeCell ref="A45:C45"/>
    <mergeCell ref="D45:E45"/>
    <mergeCell ref="F45:G45"/>
    <mergeCell ref="A46:C46"/>
    <mergeCell ref="D46:E46"/>
    <mergeCell ref="F46:G4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disablePrompts="1"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3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276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385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/>
      <c r="B10" s="1143"/>
      <c r="C10" s="1143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154.58000000000001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154.58000000000001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127" t="s">
        <v>2226</v>
      </c>
      <c r="C35" s="1127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50</v>
      </c>
      <c r="G46" s="1083"/>
      <c r="H46" s="7">
        <f>IF(A46&lt;&gt;0,ROUND(D46/F46,2),$J$1)</f>
        <v>4187.3999999999996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4187.3999999999996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4187.3999999999996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4:I44"/>
    <mergeCell ref="A45:C45"/>
    <mergeCell ref="D45:E45"/>
    <mergeCell ref="F45:G45"/>
    <mergeCell ref="A46:C46"/>
    <mergeCell ref="D46:E46"/>
    <mergeCell ref="F46:G4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disablePrompts="1"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4">
    <tabColor indexed="31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127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385</v>
      </c>
      <c r="B9" s="1143"/>
      <c r="C9" s="1143"/>
      <c r="D9" s="844" t="e">
        <f t="shared" si="0"/>
        <v>#REF!</v>
      </c>
      <c r="E9" s="12">
        <v>1.2500000000000001E-2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/>
      <c r="B10" s="1143"/>
      <c r="C10" s="1143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24</v>
      </c>
      <c r="E24" s="33"/>
      <c r="F24" s="12">
        <f t="shared" ref="F24:F30" si="3">IF(A24&lt;&gt;0,VLOOKUP(A24,Equipos,6,FALSE),$J$1)</f>
        <v>3710</v>
      </c>
      <c r="G24" s="14">
        <v>0.5</v>
      </c>
      <c r="H24" s="7">
        <f t="shared" ref="H24:H30" si="4">IF(A24&lt;&gt;0,ROUND((F24/D24)*G24,2),$J$1)</f>
        <v>77.290000000000006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77.290000000000006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127" t="s">
        <v>2226</v>
      </c>
      <c r="C35" s="1127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55</v>
      </c>
      <c r="G46" s="1083"/>
      <c r="H46" s="7">
        <f>IF(A46&lt;&gt;0,ROUND(D46/F46,2),$J$1)</f>
        <v>3806.72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3806.72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3806.72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count="4">
    <dataValidation type="list" allowBlank="1" showInputMessage="1" showErrorMessage="1" sqref="A8:A19">
      <formula1>Descripción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24:A30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8">
    <tabColor indexed="26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411</v>
      </c>
      <c r="B8" s="1081"/>
      <c r="C8" s="1081"/>
      <c r="D8" s="844" t="e">
        <f t="shared" ref="D8:D18" si="0">IF(A8&lt;&gt;0,VLOOKUP(A8,Materiales,2,FALSE),$J$1)</f>
        <v>#REF!</v>
      </c>
      <c r="E8" s="12">
        <v>2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24.75" customHeight="1" x14ac:dyDescent="0.2">
      <c r="A9" s="1283" t="s">
        <v>444</v>
      </c>
      <c r="B9" s="1284"/>
      <c r="C9" s="1284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403</v>
      </c>
      <c r="B10" s="1081"/>
      <c r="C10" s="1081"/>
      <c r="D10" s="844" t="e">
        <f t="shared" si="0"/>
        <v>#REF!</v>
      </c>
      <c r="E10" s="12">
        <v>1.05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133</v>
      </c>
      <c r="B11" s="1081"/>
      <c r="C11" s="1081"/>
      <c r="D11" s="844" t="e">
        <f t="shared" si="0"/>
        <v>#REF!</v>
      </c>
      <c r="E11" s="12">
        <v>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134</v>
      </c>
      <c r="B12" s="1081"/>
      <c r="C12" s="1081"/>
      <c r="D12" s="844" t="e">
        <f t="shared" si="0"/>
        <v>#REF!</v>
      </c>
      <c r="E12" s="12">
        <v>2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352</v>
      </c>
      <c r="B13" s="1081"/>
      <c r="C13" s="1081"/>
      <c r="D13" s="844" t="e">
        <f t="shared" si="0"/>
        <v>#REF!</v>
      </c>
      <c r="E13" s="12">
        <v>0.05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0.35</v>
      </c>
      <c r="H23" s="7">
        <f t="shared" ref="H23:H29" si="4">IF(A23&lt;&gt;0,ROUND((F23/D23)*G23,2),$J$1)</f>
        <v>1298.5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1298.5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65</v>
      </c>
      <c r="B45" s="1081"/>
      <c r="C45" s="1081"/>
      <c r="D45" s="1082">
        <f>IF(A45&lt;&gt;0,VLOOKUP(A45,Cuadrillas,7,FALSE),$J$1)</f>
        <v>369508.07</v>
      </c>
      <c r="E45" s="1082"/>
      <c r="F45" s="1083">
        <v>4</v>
      </c>
      <c r="G45" s="1083"/>
      <c r="H45" s="7">
        <f>IF(A45&lt;&gt;0,ROUND(D45/F45,2),$J$1)</f>
        <v>92377.02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92377.02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92377.02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4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:E4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9">
    <tabColor indexed="26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134</v>
      </c>
      <c r="B8" s="1081"/>
      <c r="C8" s="1081"/>
      <c r="D8" s="844" t="e">
        <f t="shared" ref="D8:D18" si="0">IF(A8&lt;&gt;0,VLOOKUP(A8,Materiales,2,FALSE),$J$1)</f>
        <v>#REF!</v>
      </c>
      <c r="E8" s="12">
        <v>2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24.75" customHeight="1" x14ac:dyDescent="0.2">
      <c r="A9" s="1283" t="s">
        <v>444</v>
      </c>
      <c r="B9" s="1284"/>
      <c r="C9" s="1284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403</v>
      </c>
      <c r="B10" s="1081"/>
      <c r="C10" s="1081"/>
      <c r="D10" s="844" t="e">
        <f t="shared" si="0"/>
        <v>#REF!</v>
      </c>
      <c r="E10" s="12">
        <v>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133</v>
      </c>
      <c r="B11" s="1081"/>
      <c r="C11" s="1081"/>
      <c r="D11" s="844" t="e">
        <f t="shared" si="0"/>
        <v>#REF!</v>
      </c>
      <c r="E11" s="12">
        <v>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352</v>
      </c>
      <c r="B12" s="1081"/>
      <c r="C12" s="1081"/>
      <c r="D12" s="844" t="e">
        <f t="shared" si="0"/>
        <v>#REF!</v>
      </c>
      <c r="E12" s="12">
        <v>0.04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0.25</v>
      </c>
      <c r="H23" s="7">
        <f t="shared" ref="H23:H29" si="4">IF(A23&lt;&gt;0,ROUND((F23/D23)*G23,2),$J$1)</f>
        <v>927.5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927.5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65</v>
      </c>
      <c r="B45" s="1081"/>
      <c r="C45" s="1081"/>
      <c r="D45" s="1082">
        <f>IF(A45&lt;&gt;0,VLOOKUP(A45,Cuadrillas,7,FALSE),$J$1)</f>
        <v>369508.07</v>
      </c>
      <c r="E45" s="1082"/>
      <c r="F45" s="1083">
        <v>6</v>
      </c>
      <c r="G45" s="1083"/>
      <c r="H45" s="7">
        <f>IF(A45&lt;&gt;0,ROUND(D45/F45,2),$J$1)</f>
        <v>61584.68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61584.68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61584.68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4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:E4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FFFF00"/>
    <pageSetUpPr fitToPage="1"/>
  </sheetPr>
  <dimension ref="A1:K62"/>
  <sheetViews>
    <sheetView view="pageBreakPreview" topLeftCell="A37" zoomScale="85" zoomScaleNormal="100" zoomScaleSheetLayoutView="85" workbookViewId="0">
      <selection activeCell="A37" sqref="A37:C37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20.25" thickTop="1" x14ac:dyDescent="0.2">
      <c r="A1" s="1131"/>
      <c r="B1" s="1220"/>
      <c r="C1" s="1220"/>
      <c r="D1" s="93"/>
      <c r="E1" s="93"/>
      <c r="F1" s="93"/>
      <c r="G1" s="93"/>
      <c r="H1" s="1129"/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29.2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47" t="s">
        <v>2297</v>
      </c>
      <c r="C5" s="1227" t="s">
        <v>2304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155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2305</v>
      </c>
      <c r="G7" s="254"/>
      <c r="H7" s="879" t="s">
        <v>2216</v>
      </c>
      <c r="I7" s="72"/>
    </row>
    <row r="8" spans="1:10" x14ac:dyDescent="0.2">
      <c r="A8" s="1215" t="s">
        <v>210</v>
      </c>
      <c r="B8" s="1216"/>
      <c r="C8" s="1217"/>
      <c r="D8" s="851" t="e">
        <f t="shared" ref="D8:D18" si="0">IF(A8&lt;&gt;0,VLOOKUP(A8,Materiales,2,FALSE),$J$1)</f>
        <v>#REF!</v>
      </c>
      <c r="E8" s="12">
        <v>300</v>
      </c>
      <c r="F8" s="21" t="e">
        <f t="shared" ref="F8:F18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154</v>
      </c>
      <c r="B9" s="1216"/>
      <c r="C9" s="1217"/>
      <c r="D9" s="851" t="e">
        <f t="shared" si="0"/>
        <v>#REF!</v>
      </c>
      <c r="E9" s="52">
        <v>1.2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139</v>
      </c>
      <c r="B10" s="1216"/>
      <c r="C10" s="1217"/>
      <c r="D10" s="851" t="e">
        <f t="shared" si="0"/>
        <v>#REF!</v>
      </c>
      <c r="E10" s="12">
        <v>237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 t="shared" si="1"/>
        <v>-</v>
      </c>
      <c r="G11" s="22"/>
      <c r="H11" s="8" t="str">
        <f t="shared" si="2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si="1"/>
        <v>-</v>
      </c>
      <c r="G12" s="22"/>
      <c r="H12" s="8" t="str">
        <f t="shared" si="2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1"/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1"/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</v>
      </c>
      <c r="E23" s="28"/>
      <c r="F23" s="12">
        <f t="shared" ref="F23:F29" si="3">IF(A23&lt;&gt;0,VLOOKUP(A23,Equipos,6,FALSE),$J$1)</f>
        <v>3710</v>
      </c>
      <c r="G23" s="14">
        <v>0.75</v>
      </c>
      <c r="H23" s="8">
        <f t="shared" ref="H23:H29" si="4">IF(A23&lt;&gt;0,ROUND((F23/D23)*G23,2),$J$1)</f>
        <v>2782.5</v>
      </c>
      <c r="I23" s="69"/>
    </row>
    <row r="24" spans="1:9" x14ac:dyDescent="0.2">
      <c r="A24" s="1215" t="s">
        <v>478</v>
      </c>
      <c r="B24" s="1216"/>
      <c r="C24" s="1217"/>
      <c r="D24" s="26">
        <v>0.3</v>
      </c>
      <c r="E24" s="28"/>
      <c r="F24" s="12">
        <f t="shared" si="3"/>
        <v>63600</v>
      </c>
      <c r="G24" s="14">
        <v>0.05</v>
      </c>
      <c r="H24" s="8">
        <f t="shared" si="4"/>
        <v>10600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13382.5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51"/>
      <c r="G34" s="12"/>
      <c r="H34" s="8"/>
      <c r="I34" s="312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69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69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12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69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48</v>
      </c>
      <c r="B45" s="1216"/>
      <c r="C45" s="1217"/>
      <c r="D45" s="1225">
        <f>IF(A45&lt;&gt;0,VLOOKUP(A45,Cuadrillas,7,FALSE),$J$1)</f>
        <v>329249.03000000003</v>
      </c>
      <c r="E45" s="1226"/>
      <c r="F45" s="1221">
        <v>5</v>
      </c>
      <c r="G45" s="1222"/>
      <c r="H45" s="8">
        <f>IF(A45&lt;&gt;0,ROUND(D45/F45,2),$J$1)</f>
        <v>65849.81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65849.81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65849.81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05" t="e">
        <f>I54+F55</f>
        <v>#REF!</v>
      </c>
      <c r="I56" s="106"/>
    </row>
    <row r="57" spans="1:11" ht="14.25" thickTop="1" thickBot="1" x14ac:dyDescent="0.25"/>
    <row r="58" spans="1:11" ht="13.5" thickTop="1" x14ac:dyDescent="0.2">
      <c r="A58" s="983" t="str">
        <f>+'Datos entrada'!$B$5</f>
        <v>INGENIERO CIVIL HEBER EDUARDO YEPES VILLOTA</v>
      </c>
      <c r="B58" s="983"/>
      <c r="C58" s="983"/>
      <c r="D58" s="983"/>
      <c r="E58" s="983"/>
      <c r="F58" s="983"/>
      <c r="G58" s="983"/>
      <c r="H58" s="983"/>
      <c r="I58" s="983"/>
    </row>
    <row r="59" spans="1:11" x14ac:dyDescent="0.2">
      <c r="A59" s="984"/>
      <c r="B59" s="984"/>
      <c r="C59" s="984"/>
      <c r="D59" s="984"/>
      <c r="E59" s="984"/>
      <c r="F59" s="984"/>
      <c r="G59" s="984"/>
      <c r="H59" s="984"/>
      <c r="I59" s="984"/>
    </row>
    <row r="60" spans="1:11" x14ac:dyDescent="0.2">
      <c r="A60" s="984"/>
      <c r="B60" s="984"/>
      <c r="C60" s="984"/>
      <c r="D60" s="984"/>
      <c r="E60" s="984"/>
      <c r="F60" s="984"/>
      <c r="G60" s="984"/>
      <c r="H60" s="984"/>
      <c r="I60" s="984"/>
    </row>
    <row r="61" spans="1:11" x14ac:dyDescent="0.2">
      <c r="A61" s="984"/>
      <c r="B61" s="984"/>
      <c r="C61" s="984"/>
      <c r="D61" s="984"/>
      <c r="E61" s="984"/>
      <c r="F61" s="984"/>
      <c r="G61" s="984"/>
      <c r="H61" s="984"/>
      <c r="I61" s="984"/>
    </row>
    <row r="62" spans="1:11" x14ac:dyDescent="0.2">
      <c r="A62" s="1234"/>
      <c r="B62" s="1234"/>
      <c r="C62" s="1234"/>
      <c r="D62" s="1234"/>
    </row>
  </sheetData>
  <customSheetViews>
    <customSheetView guid="{93F324B6-F965-4669-93FF-DBB148734A46}" fitToPage="1">
      <selection activeCell="L4" sqref="L4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4">
    <mergeCell ref="A58:I61"/>
    <mergeCell ref="A1:C1"/>
    <mergeCell ref="B34:C34"/>
    <mergeCell ref="B38:C38"/>
    <mergeCell ref="A23:C23"/>
    <mergeCell ref="C5:I5"/>
    <mergeCell ref="A9:C9"/>
    <mergeCell ref="A10:C10"/>
    <mergeCell ref="A11:C11"/>
    <mergeCell ref="A8:C8"/>
    <mergeCell ref="H1:I1"/>
    <mergeCell ref="A24:C24"/>
    <mergeCell ref="A4:E4"/>
    <mergeCell ref="A56:G56"/>
    <mergeCell ref="A54:G54"/>
    <mergeCell ref="D55:E55"/>
    <mergeCell ref="A51:I51"/>
    <mergeCell ref="A50:H50"/>
    <mergeCell ref="F46:G46"/>
    <mergeCell ref="F47:G47"/>
    <mergeCell ref="F48:G48"/>
    <mergeCell ref="D46:E46"/>
    <mergeCell ref="A47:C47"/>
    <mergeCell ref="A48:C48"/>
    <mergeCell ref="A49:C49"/>
    <mergeCell ref="D47:E47"/>
    <mergeCell ref="D48:E48"/>
    <mergeCell ref="D49:E49"/>
    <mergeCell ref="A62:D62"/>
    <mergeCell ref="F55:I55"/>
    <mergeCell ref="A53:H53"/>
    <mergeCell ref="A41:H41"/>
    <mergeCell ref="F49:G49"/>
    <mergeCell ref="A42:I42"/>
    <mergeCell ref="F44:G44"/>
    <mergeCell ref="F45:G45"/>
    <mergeCell ref="A52:H52"/>
    <mergeCell ref="A43:I43"/>
    <mergeCell ref="D44:E44"/>
    <mergeCell ref="D45:E45"/>
    <mergeCell ref="A55:C55"/>
    <mergeCell ref="A44:C44"/>
    <mergeCell ref="A45:C45"/>
    <mergeCell ref="A46:C46"/>
  </mergeCells>
  <phoneticPr fontId="0" type="noConversion"/>
  <dataValidations count="5">
    <dataValidation type="list" allowBlank="1" showInputMessage="1" showErrorMessage="1" sqref="A12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:A11">
      <formula1>Descripción</formula1>
    </dataValidation>
    <dataValidation type="list" allowBlank="1" showInputMessage="1" showErrorMessage="1" sqref="B25:C29 A23:A29 C35:C37 B34:B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3" orientation="portrait" blackAndWhite="1" errors="blank" r:id="rId2"/>
  <headerFooter alignWithMargins="0">
    <oddFooter xml:space="preserve">&amp;C  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6">
    <tabColor indexed="26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411</v>
      </c>
      <c r="B8" s="1081"/>
      <c r="C8" s="1081"/>
      <c r="D8" s="844" t="e">
        <f t="shared" ref="D8:D18" si="0">IF(A8&lt;&gt;0,VLOOKUP(A8,Materiales,2,FALSE),$J$1)</f>
        <v>#REF!</v>
      </c>
      <c r="E8" s="12">
        <v>1.05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283" t="s">
        <v>352</v>
      </c>
      <c r="B9" s="1284"/>
      <c r="C9" s="1284"/>
      <c r="D9" s="844" t="e">
        <f t="shared" si="0"/>
        <v>#REF!</v>
      </c>
      <c r="E9" s="12">
        <v>0.05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0.35</v>
      </c>
      <c r="H23" s="7">
        <f t="shared" ref="H23:H29" si="4">IF(A23&lt;&gt;0,ROUND((F23/D23)*G23,2),$J$1)</f>
        <v>1298.5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1298.5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65</v>
      </c>
      <c r="B45" s="1081"/>
      <c r="C45" s="1081"/>
      <c r="D45" s="1082">
        <f>IF(A45&lt;&gt;0,VLOOKUP(A45,Cuadrillas,7,FALSE),$J$1)</f>
        <v>369508.07</v>
      </c>
      <c r="E45" s="1082"/>
      <c r="F45" s="1083">
        <v>60</v>
      </c>
      <c r="G45" s="1083"/>
      <c r="H45" s="7">
        <f>IF(A45&lt;&gt;0,ROUND(D45/F45,2),$J$1)</f>
        <v>6158.47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6158.47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6158.47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4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:E4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7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412</v>
      </c>
      <c r="B8" s="1081"/>
      <c r="C8" s="1081"/>
      <c r="D8" s="844" t="e">
        <f t="shared" ref="D8:D18" si="0">IF(A8&lt;&gt;0,VLOOKUP(A8,Materiales,2,FALSE),$J$1)</f>
        <v>#REF!</v>
      </c>
      <c r="E8" s="12">
        <v>1.05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283" t="s">
        <v>352</v>
      </c>
      <c r="B9" s="1284"/>
      <c r="C9" s="1284"/>
      <c r="D9" s="844" t="e">
        <f t="shared" si="0"/>
        <v>#REF!</v>
      </c>
      <c r="E9" s="12">
        <v>0.05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0.35</v>
      </c>
      <c r="H23" s="7">
        <f t="shared" ref="H23:H29" si="4">IF(A23&lt;&gt;0,ROUND((F23/D23)*G23,2),$J$1)</f>
        <v>1298.5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1298.5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65</v>
      </c>
      <c r="B45" s="1081"/>
      <c r="C45" s="1081"/>
      <c r="D45" s="1082">
        <f>IF(A45&lt;&gt;0,VLOOKUP(A45,Cuadrillas,7,FALSE),$J$1)</f>
        <v>369508.07</v>
      </c>
      <c r="E45" s="1082"/>
      <c r="F45" s="1083">
        <v>60</v>
      </c>
      <c r="G45" s="1083"/>
      <c r="H45" s="7">
        <f>IF(A45&lt;&gt;0,ROUND(D45/F45,2),$J$1)</f>
        <v>6158.47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6158.47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6158.47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8">
    <tabColor indexed="26"/>
    <pageSetUpPr fitToPage="1"/>
  </sheetPr>
  <dimension ref="A1:J56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30" customHeight="1" x14ac:dyDescent="0.2">
      <c r="A8" s="1241" t="s">
        <v>443</v>
      </c>
      <c r="B8" s="1242"/>
      <c r="C8" s="1243"/>
      <c r="D8" s="55" t="e">
        <f t="shared" ref="D8:D17" si="0">IF(A8&lt;&gt;0,VLOOKUP(A8,Materiales,2,FALSE),$J$1)</f>
        <v>#REF!</v>
      </c>
      <c r="E8" s="510">
        <v>1</v>
      </c>
      <c r="F8" s="531" t="e">
        <f t="shared" ref="F8:F15" si="1">IF(A8&lt;&gt;0,VLOOKUP(A8,Materiales,6,FALSE),$J$1)</f>
        <v>#REF!</v>
      </c>
      <c r="G8" s="531"/>
      <c r="H8" s="512" t="e">
        <f t="shared" ref="H8:H17" si="2">IF(A8&lt;&gt;0,ROUND(E8*F8,2),$J$1)</f>
        <v>#REF!</v>
      </c>
      <c r="I8" s="69"/>
    </row>
    <row r="9" spans="1:10" ht="16.5" customHeight="1" x14ac:dyDescent="0.2">
      <c r="A9" s="891" t="s">
        <v>352</v>
      </c>
      <c r="B9" s="892"/>
      <c r="C9" s="892"/>
      <c r="D9" s="55" t="e">
        <f t="shared" si="0"/>
        <v>#REF!</v>
      </c>
      <c r="E9" s="510">
        <v>0.05</v>
      </c>
      <c r="F9" s="531" t="e">
        <f t="shared" si="1"/>
        <v>#REF!</v>
      </c>
      <c r="G9" s="531"/>
      <c r="H9" s="512" t="e">
        <f t="shared" si="2"/>
        <v>#REF!</v>
      </c>
      <c r="I9" s="69"/>
    </row>
    <row r="10" spans="1:10" x14ac:dyDescent="0.2">
      <c r="A10" s="1315" t="s">
        <v>347</v>
      </c>
      <c r="B10" s="1316"/>
      <c r="C10" s="1316"/>
      <c r="D10" s="55" t="e">
        <f t="shared" si="0"/>
        <v>#REF!</v>
      </c>
      <c r="E10" s="510">
        <v>2</v>
      </c>
      <c r="F10" s="531" t="e">
        <f t="shared" si="1"/>
        <v>#REF!</v>
      </c>
      <c r="G10" s="531"/>
      <c r="H10" s="512" t="e">
        <f t="shared" si="2"/>
        <v>#REF!</v>
      </c>
      <c r="I10" s="69"/>
    </row>
    <row r="11" spans="1:10" x14ac:dyDescent="0.2">
      <c r="A11" s="1315"/>
      <c r="B11" s="1316"/>
      <c r="C11" s="1316"/>
      <c r="D11" s="55" t="str">
        <f t="shared" si="0"/>
        <v>-</v>
      </c>
      <c r="E11" s="510"/>
      <c r="F11" s="511" t="str">
        <f t="shared" si="1"/>
        <v>-</v>
      </c>
      <c r="G11" s="511"/>
      <c r="H11" s="512" t="str">
        <f t="shared" si="2"/>
        <v>-</v>
      </c>
      <c r="I11" s="69"/>
    </row>
    <row r="12" spans="1:10" x14ac:dyDescent="0.2">
      <c r="A12" s="1315"/>
      <c r="B12" s="1316"/>
      <c r="C12" s="1316"/>
      <c r="D12" s="55" t="str">
        <f t="shared" si="0"/>
        <v>-</v>
      </c>
      <c r="E12" s="510"/>
      <c r="F12" s="511" t="str">
        <f t="shared" si="1"/>
        <v>-</v>
      </c>
      <c r="G12" s="511"/>
      <c r="H12" s="512" t="str">
        <f t="shared" si="2"/>
        <v>-</v>
      </c>
      <c r="I12" s="69"/>
    </row>
    <row r="13" spans="1:10" x14ac:dyDescent="0.2">
      <c r="A13" s="1315"/>
      <c r="B13" s="1316"/>
      <c r="C13" s="1316"/>
      <c r="D13" s="55" t="str">
        <f t="shared" si="0"/>
        <v>-</v>
      </c>
      <c r="E13" s="510"/>
      <c r="F13" s="511" t="str">
        <f t="shared" si="1"/>
        <v>-</v>
      </c>
      <c r="G13" s="511"/>
      <c r="H13" s="512" t="str">
        <f t="shared" si="2"/>
        <v>-</v>
      </c>
      <c r="I13" s="69"/>
    </row>
    <row r="14" spans="1:10" x14ac:dyDescent="0.2">
      <c r="A14" s="1315"/>
      <c r="B14" s="1316"/>
      <c r="C14" s="1316"/>
      <c r="D14" s="55" t="str">
        <f t="shared" si="0"/>
        <v>-</v>
      </c>
      <c r="E14" s="510"/>
      <c r="F14" s="511" t="str">
        <f t="shared" si="1"/>
        <v>-</v>
      </c>
      <c r="G14" s="511"/>
      <c r="H14" s="512" t="str">
        <f t="shared" si="2"/>
        <v>-</v>
      </c>
      <c r="I14" s="69"/>
    </row>
    <row r="15" spans="1:10" x14ac:dyDescent="0.2">
      <c r="A15" s="1315"/>
      <c r="B15" s="1316"/>
      <c r="C15" s="1316"/>
      <c r="D15" s="55" t="str">
        <f t="shared" si="0"/>
        <v>-</v>
      </c>
      <c r="E15" s="510"/>
      <c r="F15" s="511" t="str">
        <f t="shared" si="1"/>
        <v>-</v>
      </c>
      <c r="G15" s="511"/>
      <c r="H15" s="512" t="str">
        <f t="shared" si="2"/>
        <v>-</v>
      </c>
      <c r="I15" s="69"/>
    </row>
    <row r="16" spans="1:10" x14ac:dyDescent="0.2">
      <c r="A16" s="1315"/>
      <c r="B16" s="1316"/>
      <c r="C16" s="1316"/>
      <c r="D16" s="55" t="str">
        <f t="shared" si="0"/>
        <v>-</v>
      </c>
      <c r="E16" s="510"/>
      <c r="F16" s="511" t="str">
        <f>IF(A16&lt;&gt;0,VLOOKUP(A16,Materiales,5,FALSE),$J$1)</f>
        <v>-</v>
      </c>
      <c r="G16" s="511"/>
      <c r="H16" s="512" t="str">
        <f t="shared" si="2"/>
        <v>-</v>
      </c>
      <c r="I16" s="69"/>
    </row>
    <row r="17" spans="1:9" x14ac:dyDescent="0.2">
      <c r="A17" s="1315"/>
      <c r="B17" s="1316"/>
      <c r="C17" s="1316"/>
      <c r="D17" s="55" t="str">
        <f t="shared" si="0"/>
        <v>-</v>
      </c>
      <c r="E17" s="510"/>
      <c r="F17" s="511" t="str">
        <f>IF(A17&lt;&gt;0,VLOOKUP(A17,Materiales,5,FALSE),$J$1)</f>
        <v>-</v>
      </c>
      <c r="G17" s="511"/>
      <c r="H17" s="512" t="str">
        <f t="shared" si="2"/>
        <v>-</v>
      </c>
      <c r="I17" s="69"/>
    </row>
    <row r="18" spans="1:9" x14ac:dyDescent="0.2">
      <c r="A18" s="880" t="s">
        <v>2217</v>
      </c>
      <c r="B18" s="849"/>
      <c r="C18" s="849"/>
      <c r="D18" s="3"/>
      <c r="E18" s="872"/>
      <c r="F18" s="872"/>
      <c r="G18" s="872"/>
      <c r="H18" s="873"/>
      <c r="I18" s="241" t="e">
        <f>SUM(H8:H17)</f>
        <v>#REF!</v>
      </c>
    </row>
    <row r="19" spans="1:9" x14ac:dyDescent="0.2">
      <c r="A19" s="76"/>
      <c r="B19" s="27"/>
      <c r="C19" s="27"/>
      <c r="D19" s="27"/>
      <c r="E19" s="27"/>
      <c r="F19" s="27"/>
      <c r="G19" s="27"/>
      <c r="H19" s="27"/>
      <c r="I19" s="64"/>
    </row>
    <row r="20" spans="1:9" x14ac:dyDescent="0.2">
      <c r="A20" s="875" t="s">
        <v>454</v>
      </c>
      <c r="B20" s="876"/>
      <c r="C20" s="876"/>
      <c r="D20" s="876"/>
      <c r="E20" s="876"/>
      <c r="F20" s="876"/>
      <c r="G20" s="876"/>
      <c r="H20" s="876"/>
      <c r="I20" s="286"/>
    </row>
    <row r="21" spans="1:9" s="9" customFormat="1" ht="25.5" x14ac:dyDescent="0.2">
      <c r="A21" s="227" t="s">
        <v>26</v>
      </c>
      <c r="B21" s="225"/>
      <c r="C21" s="225"/>
      <c r="D21" s="225" t="s">
        <v>2218</v>
      </c>
      <c r="E21" s="225"/>
      <c r="F21" s="225" t="s">
        <v>2219</v>
      </c>
      <c r="G21" s="858" t="s">
        <v>2220</v>
      </c>
      <c r="H21" s="858" t="s">
        <v>2216</v>
      </c>
      <c r="I21" s="72"/>
    </row>
    <row r="22" spans="1:9" x14ac:dyDescent="0.2">
      <c r="A22" s="1080" t="s">
        <v>477</v>
      </c>
      <c r="B22" s="1081"/>
      <c r="C22" s="1081"/>
      <c r="D22" s="33">
        <v>1</v>
      </c>
      <c r="E22" s="33"/>
      <c r="F22" s="12">
        <f t="shared" ref="F22:F28" si="3">IF(A22&lt;&gt;0,VLOOKUP(A22,Equipos,6,FALSE),$J$1)</f>
        <v>3710</v>
      </c>
      <c r="G22" s="14">
        <v>0.35</v>
      </c>
      <c r="H22" s="7">
        <f t="shared" ref="H22:H28" si="4">IF(A22&lt;&gt;0,ROUND((F22/D22)*G22,2),$J$1)</f>
        <v>1298.5</v>
      </c>
      <c r="I22" s="69"/>
    </row>
    <row r="23" spans="1:9" x14ac:dyDescent="0.2">
      <c r="A23" s="1080"/>
      <c r="B23" s="1081"/>
      <c r="C23" s="1081"/>
      <c r="D23" s="33"/>
      <c r="E23" s="33"/>
      <c r="F23" s="12" t="str">
        <f t="shared" si="3"/>
        <v>-</v>
      </c>
      <c r="G23" s="14"/>
      <c r="H23" s="7" t="str">
        <f t="shared" si="4"/>
        <v>-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73"/>
    </row>
    <row r="29" spans="1:9" x14ac:dyDescent="0.2">
      <c r="A29" s="853" t="s">
        <v>2221</v>
      </c>
      <c r="B29" s="854"/>
      <c r="C29" s="854"/>
      <c r="D29" s="3"/>
      <c r="E29" s="872"/>
      <c r="F29" s="872"/>
      <c r="G29" s="872"/>
      <c r="H29" s="873"/>
      <c r="I29" s="241">
        <f>SUM(H22:H28)</f>
        <v>1298.5</v>
      </c>
    </row>
    <row r="30" spans="1:9" x14ac:dyDescent="0.2">
      <c r="A30" s="76"/>
      <c r="B30" s="27"/>
      <c r="C30" s="27"/>
      <c r="D30" s="27"/>
      <c r="E30" s="27"/>
      <c r="F30" s="27"/>
      <c r="G30" s="27"/>
      <c r="H30" s="27"/>
      <c r="I30" s="64"/>
    </row>
    <row r="31" spans="1:9" x14ac:dyDescent="0.2">
      <c r="A31" s="855" t="s">
        <v>2222</v>
      </c>
      <c r="B31" s="856"/>
      <c r="C31" s="228"/>
      <c r="D31" s="876"/>
      <c r="E31" s="876"/>
      <c r="F31" s="876"/>
      <c r="G31" s="876"/>
      <c r="H31" s="876"/>
      <c r="I31" s="877"/>
    </row>
    <row r="32" spans="1:9" s="9" customFormat="1" ht="25.5" x14ac:dyDescent="0.2">
      <c r="A32" s="233" t="s">
        <v>26</v>
      </c>
      <c r="B32" s="234"/>
      <c r="C32" s="234"/>
      <c r="D32" s="235" t="s">
        <v>2223</v>
      </c>
      <c r="E32" s="235"/>
      <c r="F32" s="881" t="s">
        <v>2224</v>
      </c>
      <c r="G32" s="881" t="s">
        <v>2225</v>
      </c>
      <c r="H32" s="881" t="s">
        <v>2216</v>
      </c>
      <c r="I32" s="72"/>
    </row>
    <row r="33" spans="1:9" x14ac:dyDescent="0.2">
      <c r="A33" s="890"/>
      <c r="B33" s="1105" t="s">
        <v>2226</v>
      </c>
      <c r="C33" s="1104"/>
      <c r="D33" s="46"/>
      <c r="E33" s="47"/>
      <c r="F33" s="15"/>
      <c r="G33" s="12"/>
      <c r="H33" s="7"/>
      <c r="I33" s="343">
        <f>SUM(H34:H36)</f>
        <v>0</v>
      </c>
    </row>
    <row r="34" spans="1:9" x14ac:dyDescent="0.2">
      <c r="A34" s="871"/>
      <c r="B34" s="872"/>
      <c r="C34" s="873"/>
      <c r="D34" s="46" t="str">
        <f>IF(A34&lt;&gt;0,VLOOKUP(A34,Transporte,8,FALSE),$J$1)</f>
        <v>-</v>
      </c>
      <c r="E34" s="47"/>
      <c r="F34" s="15" t="str">
        <f t="shared" ref="F34:F39" si="5">IF(A34&lt;&gt;0,VLOOKUP(A34,Transporte,2,FALSE),$J$1)</f>
        <v>-</v>
      </c>
      <c r="G34" s="12"/>
      <c r="H34" s="7" t="str">
        <f t="shared" ref="H34:H39" si="6">IF(A34&lt;&gt;0,D34/F34*G34,$J$1)</f>
        <v>-</v>
      </c>
      <c r="I34" s="344"/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si="5"/>
        <v>-</v>
      </c>
      <c r="G35" s="12"/>
      <c r="H35" s="7" t="str">
        <f t="shared" si="6"/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5"/>
    </row>
    <row r="37" spans="1:9" x14ac:dyDescent="0.2">
      <c r="A37" s="871"/>
      <c r="B37" s="1105" t="s">
        <v>2227</v>
      </c>
      <c r="C37" s="1104"/>
      <c r="D37" s="46"/>
      <c r="E37" s="47"/>
      <c r="F37" s="15"/>
      <c r="G37" s="12"/>
      <c r="H37" s="7"/>
      <c r="I37" s="343">
        <f>SUM(H38:H39)</f>
        <v>0</v>
      </c>
    </row>
    <row r="38" spans="1:9" x14ac:dyDescent="0.2">
      <c r="A38" s="871"/>
      <c r="B38" s="872"/>
      <c r="C38" s="873"/>
      <c r="D38" s="61" t="str">
        <f>IF(A27&lt;&gt;0,VLOOKUP(A38,Transporte,8,FALSE),$J$1)</f>
        <v>-</v>
      </c>
      <c r="E38" s="61"/>
      <c r="F38" s="15" t="str">
        <f t="shared" si="5"/>
        <v>-</v>
      </c>
      <c r="G38" s="12"/>
      <c r="H38" s="7" t="str">
        <f t="shared" si="6"/>
        <v>-</v>
      </c>
      <c r="I38" s="344"/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6"/>
    </row>
    <row r="40" spans="1:9" x14ac:dyDescent="0.2">
      <c r="A40" s="1106" t="s">
        <v>2228</v>
      </c>
      <c r="B40" s="1107"/>
      <c r="C40" s="1107"/>
      <c r="D40" s="1107"/>
      <c r="E40" s="1107"/>
      <c r="F40" s="1107"/>
      <c r="G40" s="1107"/>
      <c r="H40" s="1107"/>
      <c r="I40" s="347">
        <f>SUM(I33:I39)</f>
        <v>0</v>
      </c>
    </row>
    <row r="41" spans="1:9" x14ac:dyDescent="0.2">
      <c r="A41" s="1086"/>
      <c r="B41" s="1087"/>
      <c r="C41" s="1087"/>
      <c r="D41" s="1087"/>
      <c r="E41" s="1087"/>
      <c r="F41" s="1087"/>
      <c r="G41" s="1087"/>
      <c r="H41" s="1087"/>
      <c r="I41" s="1088"/>
    </row>
    <row r="42" spans="1:9" x14ac:dyDescent="0.2">
      <c r="A42" s="1200" t="s">
        <v>554</v>
      </c>
      <c r="B42" s="1201"/>
      <c r="C42" s="1201"/>
      <c r="D42" s="1201"/>
      <c r="E42" s="1201"/>
      <c r="F42" s="1201"/>
      <c r="G42" s="1201"/>
      <c r="H42" s="1201"/>
      <c r="I42" s="1202"/>
    </row>
    <row r="43" spans="1:9" s="9" customFormat="1" ht="25.5" x14ac:dyDescent="0.2">
      <c r="A43" s="1246" t="s">
        <v>2229</v>
      </c>
      <c r="B43" s="1247"/>
      <c r="C43" s="1247"/>
      <c r="D43" s="1248" t="s">
        <v>2230</v>
      </c>
      <c r="E43" s="1248"/>
      <c r="F43" s="1248" t="s">
        <v>2218</v>
      </c>
      <c r="G43" s="1248"/>
      <c r="H43" s="881" t="s">
        <v>2216</v>
      </c>
      <c r="I43" s="72"/>
    </row>
    <row r="44" spans="1:9" x14ac:dyDescent="0.2">
      <c r="A44" s="1080" t="s">
        <v>65</v>
      </c>
      <c r="B44" s="1081"/>
      <c r="C44" s="1081"/>
      <c r="D44" s="1082">
        <f>IF(A44&lt;&gt;0,VLOOKUP(A44,Cuadrillas,7,FALSE),$J$1)</f>
        <v>369508.07</v>
      </c>
      <c r="E44" s="1082"/>
      <c r="F44" s="1083">
        <v>40</v>
      </c>
      <c r="G44" s="1083"/>
      <c r="H44" s="7">
        <f>IF(A44&lt;&gt;0,ROUND(D44/F44,2),$J$1)</f>
        <v>9237.7000000000007</v>
      </c>
      <c r="I44" s="69"/>
    </row>
    <row r="45" spans="1:9" x14ac:dyDescent="0.2">
      <c r="A45" s="1080"/>
      <c r="B45" s="1081"/>
      <c r="C45" s="1081"/>
      <c r="D45" s="1082" t="str">
        <f>IF(A45&lt;&gt;0,VLOOKUP(A45,Cuadrillas,7,FALSE),$J$1)</f>
        <v>-</v>
      </c>
      <c r="E45" s="1082"/>
      <c r="F45" s="1083"/>
      <c r="G45" s="1083"/>
      <c r="H45" s="7" t="str">
        <f>IF(A45&lt;&gt;0,ROUND(D45/F45,2),$J$1)</f>
        <v>-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106" t="s">
        <v>2231</v>
      </c>
      <c r="B49" s="1203"/>
      <c r="C49" s="1203"/>
      <c r="D49" s="1203"/>
      <c r="E49" s="1203"/>
      <c r="F49" s="1203"/>
      <c r="G49" s="1203"/>
      <c r="H49" s="1203"/>
      <c r="I49" s="242">
        <f>SUM(H44:H48)</f>
        <v>9237.7000000000007</v>
      </c>
    </row>
    <row r="50" spans="1:9" x14ac:dyDescent="0.2">
      <c r="A50" s="1086"/>
      <c r="B50" s="1087"/>
      <c r="C50" s="1087"/>
      <c r="D50" s="1087"/>
      <c r="E50" s="1087"/>
      <c r="F50" s="1087"/>
      <c r="G50" s="1087"/>
      <c r="H50" s="1087"/>
      <c r="I50" s="1088"/>
    </row>
    <row r="51" spans="1:9" x14ac:dyDescent="0.2">
      <c r="A51" s="1089" t="s">
        <v>2232</v>
      </c>
      <c r="B51" s="1090"/>
      <c r="C51" s="1090"/>
      <c r="D51" s="1090"/>
      <c r="E51" s="1090"/>
      <c r="F51" s="1090"/>
      <c r="G51" s="1090"/>
      <c r="H51" s="1090"/>
      <c r="I51" s="237" t="e">
        <f>I18+I29+I40</f>
        <v>#REF!</v>
      </c>
    </row>
    <row r="52" spans="1:9" ht="13.5" thickBot="1" x14ac:dyDescent="0.25">
      <c r="A52" s="1193" t="s">
        <v>2233</v>
      </c>
      <c r="B52" s="1194"/>
      <c r="C52" s="1194"/>
      <c r="D52" s="1194"/>
      <c r="E52" s="1194"/>
      <c r="F52" s="1194"/>
      <c r="G52" s="1194"/>
      <c r="H52" s="1194"/>
      <c r="I52" s="238">
        <f>I49</f>
        <v>9237.7000000000007</v>
      </c>
    </row>
    <row r="53" spans="1:9" s="9" customFormat="1" ht="25.5" customHeight="1" thickTop="1" thickBot="1" x14ac:dyDescent="0.25">
      <c r="A53" s="1195" t="s">
        <v>2234</v>
      </c>
      <c r="B53" s="1196"/>
      <c r="C53" s="1196"/>
      <c r="D53" s="1196"/>
      <c r="E53" s="1196"/>
      <c r="F53" s="1196"/>
      <c r="G53" s="1196"/>
      <c r="H53" s="258"/>
      <c r="I53" s="239" t="e">
        <f>I51+I52</f>
        <v>#REF!</v>
      </c>
    </row>
    <row r="54" spans="1:9" s="9" customFormat="1" ht="25.5" customHeight="1" thickTop="1" thickBot="1" x14ac:dyDescent="0.25">
      <c r="A54" s="1095" t="s">
        <v>10</v>
      </c>
      <c r="B54" s="1096"/>
      <c r="C54" s="1096"/>
      <c r="D54" s="1097">
        <f>+'Datos entrada'!B7</f>
        <v>0.3</v>
      </c>
      <c r="E54" s="1098"/>
      <c r="F54" s="1099" t="e">
        <f>I53*D54</f>
        <v>#REF!</v>
      </c>
      <c r="G54" s="1099"/>
      <c r="H54" s="1099"/>
      <c r="I54" s="1100"/>
    </row>
    <row r="55" spans="1:9" s="9" customFormat="1" ht="25.5" customHeight="1" thickTop="1" thickBot="1" x14ac:dyDescent="0.25">
      <c r="A55" s="1095" t="s">
        <v>2236</v>
      </c>
      <c r="B55" s="1096"/>
      <c r="C55" s="1096"/>
      <c r="D55" s="1096"/>
      <c r="E55" s="1096"/>
      <c r="F55" s="1096"/>
      <c r="G55" s="1096"/>
      <c r="H55" s="1191" t="e">
        <f>I53+F54</f>
        <v>#REF!</v>
      </c>
      <c r="I55" s="1192"/>
    </row>
    <row r="56" spans="1:9" ht="13.5" thickTop="1" x14ac:dyDescent="0.2">
      <c r="I56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1">
    <mergeCell ref="A55:G55"/>
    <mergeCell ref="H55:I55"/>
    <mergeCell ref="A49:H49"/>
    <mergeCell ref="A50:I50"/>
    <mergeCell ref="A51:H51"/>
    <mergeCell ref="A52:H52"/>
    <mergeCell ref="A53:G53"/>
    <mergeCell ref="A54:C54"/>
    <mergeCell ref="D54:E54"/>
    <mergeCell ref="F54:I54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2:I42"/>
    <mergeCell ref="A43:C43"/>
    <mergeCell ref="D43:E43"/>
    <mergeCell ref="F43:G43"/>
    <mergeCell ref="A44:C44"/>
    <mergeCell ref="D44:E44"/>
    <mergeCell ref="F44:G44"/>
    <mergeCell ref="A41:I41"/>
    <mergeCell ref="A22:C22"/>
    <mergeCell ref="A23:C23"/>
    <mergeCell ref="A24:C24"/>
    <mergeCell ref="A25:C25"/>
    <mergeCell ref="A26:C26"/>
    <mergeCell ref="A27:C27"/>
    <mergeCell ref="A28:C28"/>
    <mergeCell ref="B33:C33"/>
    <mergeCell ref="B37:C37"/>
    <mergeCell ref="A40:H40"/>
    <mergeCell ref="A17:C17"/>
    <mergeCell ref="A1:C1"/>
    <mergeCell ref="H1:I1"/>
    <mergeCell ref="A8:C8"/>
    <mergeCell ref="A10:C10"/>
    <mergeCell ref="A11:C11"/>
    <mergeCell ref="A12:C12"/>
    <mergeCell ref="A13:C13"/>
    <mergeCell ref="A14:C14"/>
    <mergeCell ref="A15:C15"/>
    <mergeCell ref="A16:C16"/>
  </mergeCells>
  <dataValidations count="5">
    <dataValidation type="list" allowBlank="1" showInputMessage="1" showErrorMessage="1" sqref="A33:A39">
      <formula1>Descrip_transporte</formula1>
    </dataValidation>
    <dataValidation type="list" allowBlank="1" showInputMessage="1" showErrorMessage="1" sqref="A44:C48">
      <formula1>Descrip_cuadrillas</formula1>
    </dataValidation>
    <dataValidation type="list" allowBlank="1" showInputMessage="1" showErrorMessage="1" sqref="A22:A28 B34:C36 B38:C3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7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7">
    <tabColor indexed="31"/>
    <pageSetUpPr fitToPage="1"/>
  </sheetPr>
  <dimension ref="A1:J58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330" t="s">
        <v>343</v>
      </c>
      <c r="B8" s="1331"/>
      <c r="C8" s="1331"/>
      <c r="D8" s="844" t="e">
        <f t="shared" ref="D8:D19" si="0">IF(A8&lt;&gt;0,VLOOKUP(A8,Materiales,2,FALSE),$J$1)</f>
        <v>#REF!</v>
      </c>
      <c r="E8" s="12">
        <v>1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350</v>
      </c>
      <c r="B9" s="1143"/>
      <c r="C9" s="1143"/>
      <c r="D9" s="844" t="e">
        <f t="shared" si="0"/>
        <v>#REF!</v>
      </c>
      <c r="E9" s="12">
        <v>0.1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/>
      <c r="B10" s="1143"/>
      <c r="C10" s="1143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142"/>
      <c r="B11" s="1143"/>
      <c r="C11" s="1143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7"/>
      <c r="B15" s="1143"/>
      <c r="C15" s="1143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48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s="350" customFormat="1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353" t="s">
        <v>454</v>
      </c>
      <c r="B22" s="354"/>
      <c r="C22" s="354"/>
      <c r="D22" s="354"/>
      <c r="E22" s="354"/>
      <c r="F22" s="354"/>
      <c r="G22" s="354"/>
      <c r="H22" s="354"/>
      <c r="I22" s="355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25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148.4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59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148.4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361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62"/>
    </row>
    <row r="35" spans="1:9" x14ac:dyDescent="0.2">
      <c r="B35" s="1334" t="s">
        <v>2226</v>
      </c>
      <c r="C35" s="1334"/>
      <c r="D35" s="363"/>
      <c r="E35" s="47"/>
      <c r="F35" s="15"/>
      <c r="G35" s="12"/>
      <c r="H35" s="7"/>
      <c r="I35" s="343">
        <f>SUM(H36:H37)</f>
        <v>0</v>
      </c>
    </row>
    <row r="36" spans="1:9" x14ac:dyDescent="0.2">
      <c r="A36" s="1306"/>
      <c r="B36" s="1307"/>
      <c r="C36" s="1308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306"/>
      <c r="B37" s="1307"/>
      <c r="C37" s="1308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 t="str">
        <f t="shared" si="5"/>
        <v>-</v>
      </c>
      <c r="G38" s="12"/>
      <c r="H38" s="7" t="str">
        <f t="shared" si="6"/>
        <v>-</v>
      </c>
      <c r="I38" s="343">
        <f>SUM(H39:H41)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IF(A30&lt;&gt;0,VLOOKUP(A42,Transporte,8,FALSE),$J$1)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65"/>
    </row>
    <row r="42" spans="1:9" x14ac:dyDescent="0.2">
      <c r="A42" s="880" t="s">
        <v>2228</v>
      </c>
      <c r="B42" s="854"/>
      <c r="C42" s="854"/>
      <c r="D42" s="854"/>
      <c r="E42" s="854"/>
      <c r="F42" s="854"/>
      <c r="G42" s="854"/>
      <c r="H42" s="854"/>
      <c r="I42" s="347">
        <f>SUM(I35:I41)</f>
        <v>0</v>
      </c>
    </row>
    <row r="43" spans="1:9" x14ac:dyDescent="0.2">
      <c r="A43" s="1252"/>
      <c r="B43" s="1253"/>
      <c r="C43" s="1253"/>
      <c r="D43" s="1253"/>
      <c r="E43" s="1253"/>
      <c r="F43" s="1253"/>
      <c r="G43" s="1253"/>
      <c r="H43" s="1253"/>
      <c r="I43" s="1254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56</v>
      </c>
      <c r="B46" s="1081"/>
      <c r="C46" s="1081"/>
      <c r="D46" s="1082">
        <f>IF(A46&lt;&gt;0,VLOOKUP(A46,Cuadrillas,7,FALSE),$J$1)</f>
        <v>209369.84</v>
      </c>
      <c r="E46" s="1082"/>
      <c r="F46" s="1083">
        <v>25</v>
      </c>
      <c r="G46" s="1083"/>
      <c r="H46" s="7">
        <f>IF(A46&lt;&gt;0,ROUND(D46/F46,2),$J$1)</f>
        <v>8374.7900000000009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8374.7900000000009</v>
      </c>
    </row>
    <row r="52" spans="1:9" x14ac:dyDescent="0.2">
      <c r="A52" s="1260"/>
      <c r="B52" s="1261"/>
      <c r="C52" s="1261"/>
      <c r="D52" s="1261"/>
      <c r="E52" s="1261"/>
      <c r="F52" s="1261"/>
      <c r="G52" s="1261"/>
      <c r="H52" s="1261"/>
      <c r="I52" s="1326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258" t="s">
        <v>2233</v>
      </c>
      <c r="B54" s="1259"/>
      <c r="C54" s="1259"/>
      <c r="D54" s="1259"/>
      <c r="E54" s="1259"/>
      <c r="F54" s="1259"/>
      <c r="G54" s="1259"/>
      <c r="H54" s="1259"/>
      <c r="I54" s="311">
        <f>I51</f>
        <v>8374.7900000000009</v>
      </c>
    </row>
    <row r="55" spans="1:9" s="367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4:I44"/>
    <mergeCell ref="A45:C45"/>
    <mergeCell ref="D45:E45"/>
    <mergeCell ref="F45:G45"/>
    <mergeCell ref="A46:C46"/>
    <mergeCell ref="D46:E46"/>
    <mergeCell ref="F46:G46"/>
    <mergeCell ref="A43:I43"/>
    <mergeCell ref="A28:C28"/>
    <mergeCell ref="A29:C29"/>
    <mergeCell ref="A30:C30"/>
    <mergeCell ref="A34:C34"/>
    <mergeCell ref="B35:C35"/>
    <mergeCell ref="A36:C36"/>
    <mergeCell ref="A37:C37"/>
    <mergeCell ref="B38:C38"/>
    <mergeCell ref="A39:C39"/>
    <mergeCell ref="A40:C40"/>
    <mergeCell ref="A41:C41"/>
    <mergeCell ref="A27:C27"/>
    <mergeCell ref="A12:C12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4"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6:A42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3EDA00"/>
    <pageSetUpPr fitToPage="1"/>
  </sheetPr>
  <dimension ref="A1:K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ht="37.5" customHeight="1" x14ac:dyDescent="0.2">
      <c r="A5" s="265" t="s">
        <v>2213</v>
      </c>
      <c r="B5" s="533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407</v>
      </c>
      <c r="B8" s="1081"/>
      <c r="C8" s="1081"/>
      <c r="D8" s="844" t="e">
        <f t="shared" ref="D8:D21" si="0">IF(A8&lt;&gt;0,VLOOKUP(A8,Materiales,2,FALSE),$J$1)</f>
        <v>#REF!</v>
      </c>
      <c r="E8" s="12">
        <v>8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 t="s">
        <v>175</v>
      </c>
      <c r="B9" s="1081"/>
      <c r="C9" s="1081"/>
      <c r="D9" s="844" t="e">
        <f t="shared" si="0"/>
        <v>#REF!</v>
      </c>
      <c r="E9" s="12">
        <v>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198</v>
      </c>
      <c r="B10" s="1081"/>
      <c r="C10" s="1081"/>
      <c r="D10" s="844" t="e">
        <f t="shared" si="0"/>
        <v>#REF!</v>
      </c>
      <c r="E10" s="12">
        <v>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194</v>
      </c>
      <c r="B11" s="1081"/>
      <c r="C11" s="1081"/>
      <c r="D11" s="844" t="e">
        <f t="shared" si="0"/>
        <v>#REF!</v>
      </c>
      <c r="E11" s="12">
        <v>0.25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9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9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9" x14ac:dyDescent="0.2">
      <c r="A22" s="884" t="s">
        <v>2217</v>
      </c>
      <c r="B22" s="885"/>
      <c r="C22" s="885"/>
      <c r="D22" s="374"/>
      <c r="E22" s="375"/>
      <c r="F22" s="375"/>
      <c r="G22" s="375"/>
      <c r="H22" s="376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452">
        <v>8.9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416.85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9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9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4" t="s">
        <v>2221</v>
      </c>
      <c r="B33" s="885"/>
      <c r="C33" s="885"/>
      <c r="D33" s="374"/>
      <c r="E33" s="375"/>
      <c r="F33" s="375"/>
      <c r="G33" s="375"/>
      <c r="H33" s="376"/>
      <c r="I33" s="395">
        <f>SUM(H26:H32)</f>
        <v>416.85</v>
      </c>
    </row>
    <row r="34" spans="1:9" x14ac:dyDescent="0.2">
      <c r="A34" s="400"/>
      <c r="B34" s="350"/>
      <c r="C34" s="350"/>
      <c r="D34" s="399"/>
      <c r="E34" s="399"/>
      <c r="F34" s="399"/>
      <c r="G34" s="399"/>
      <c r="H34" s="399"/>
      <c r="I34" s="394"/>
    </row>
    <row r="35" spans="1:9" x14ac:dyDescent="0.2">
      <c r="A35" s="855" t="s">
        <v>2222</v>
      </c>
      <c r="B35" s="206"/>
      <c r="C35" s="207"/>
      <c r="D35" s="902"/>
      <c r="E35" s="902"/>
      <c r="F35" s="902"/>
      <c r="G35" s="902"/>
      <c r="H35" s="902"/>
      <c r="I35" s="226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72"/>
    </row>
    <row r="37" spans="1:9" x14ac:dyDescent="0.2">
      <c r="A37" s="890"/>
      <c r="B37" s="1105" t="s">
        <v>2226</v>
      </c>
      <c r="C37" s="1105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IF(A39&lt;&gt;0,VLOOKUP(A39,Transporte,8,FALSE),$J$1)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IF(A40&lt;&gt;0,VLOOKUP(A40,Transporte,8,FALSE),$J$1)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IF(A42&lt;&gt;0,VLOOKUP(A42,Transporte,8,FALSE),$J$1)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4"/>
    </row>
    <row r="43" spans="1:9" x14ac:dyDescent="0.2">
      <c r="A43" s="1086"/>
      <c r="B43" s="1087"/>
      <c r="C43" s="1119"/>
      <c r="D43" s="397" t="str">
        <f>IF(A43&lt;&gt;0,VLOOKUP(A43,Transporte,8,FALSE),$J$1)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12.31</v>
      </c>
      <c r="G48" s="1083"/>
      <c r="H48" s="7">
        <f>IF(A48&lt;&gt;0,ROUND(D48/F48,2),$J$1)</f>
        <v>19400.330000000002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11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11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11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19400.330000000002</v>
      </c>
    </row>
    <row r="54" spans="1:11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11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  <c r="K55" s="1" t="s">
        <v>2235</v>
      </c>
    </row>
    <row r="56" spans="1:11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19400.330000000002</v>
      </c>
    </row>
    <row r="57" spans="1:11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11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11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11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2">
    <mergeCell ref="A4:E4"/>
    <mergeCell ref="A1:C1"/>
    <mergeCell ref="B37:C37"/>
    <mergeCell ref="B41:C41"/>
    <mergeCell ref="A59:G59"/>
    <mergeCell ref="A14:C14"/>
    <mergeCell ref="A45:I45"/>
    <mergeCell ref="F47:G47"/>
    <mergeCell ref="F48:G48"/>
    <mergeCell ref="F51:G51"/>
    <mergeCell ref="A46:I46"/>
    <mergeCell ref="D52:E52"/>
    <mergeCell ref="F49:G49"/>
    <mergeCell ref="A49:C49"/>
    <mergeCell ref="D49:E49"/>
    <mergeCell ref="D48:E48"/>
    <mergeCell ref="H59:I59"/>
    <mergeCell ref="A50:C50"/>
    <mergeCell ref="A51:C51"/>
    <mergeCell ref="D50:E50"/>
    <mergeCell ref="F50:G50"/>
    <mergeCell ref="A52:C52"/>
    <mergeCell ref="D51:E51"/>
    <mergeCell ref="A56:H56"/>
    <mergeCell ref="A58:C58"/>
    <mergeCell ref="D58:E58"/>
    <mergeCell ref="F58:I58"/>
    <mergeCell ref="A54:I54"/>
    <mergeCell ref="A53:H53"/>
    <mergeCell ref="A57:G57"/>
    <mergeCell ref="A55:H55"/>
    <mergeCell ref="F52:G52"/>
    <mergeCell ref="D47:E47"/>
    <mergeCell ref="A30:C30"/>
    <mergeCell ref="A31:C31"/>
    <mergeCell ref="A32:C32"/>
    <mergeCell ref="A38:C38"/>
    <mergeCell ref="A39:C39"/>
    <mergeCell ref="A40:C40"/>
    <mergeCell ref="A42:C42"/>
    <mergeCell ref="A43:C43"/>
    <mergeCell ref="A20:C20"/>
    <mergeCell ref="A47:C47"/>
    <mergeCell ref="A28:C28"/>
    <mergeCell ref="A29:C29"/>
    <mergeCell ref="A48:C48"/>
    <mergeCell ref="C5:I5"/>
    <mergeCell ref="H1:I1"/>
    <mergeCell ref="A26:C26"/>
    <mergeCell ref="A27:C27"/>
    <mergeCell ref="A15:C15"/>
    <mergeCell ref="A18:C18"/>
    <mergeCell ref="A19:C19"/>
    <mergeCell ref="A21:C21"/>
    <mergeCell ref="A16:C16"/>
    <mergeCell ref="A17:C17"/>
    <mergeCell ref="A8:C8"/>
    <mergeCell ref="A9:C9"/>
    <mergeCell ref="A10:C10"/>
    <mergeCell ref="A11:C11"/>
    <mergeCell ref="A12:C12"/>
    <mergeCell ref="A13:C13"/>
  </mergeCells>
  <phoneticPr fontId="0" type="noConversion"/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0 A42:A44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533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213" t="s">
        <v>162</v>
      </c>
      <c r="B8" s="1214"/>
      <c r="C8" s="1214"/>
      <c r="D8" s="844" t="e">
        <f>IF(A8&lt;&gt;0,VLOOKUP(A8,Materiales,2,FALSE),$J$1)</f>
        <v>#REF!</v>
      </c>
      <c r="E8" s="12">
        <v>1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>
        <f>IF(A9&lt;&gt;0,VLOOKUP(A9,Materiales,2,FALSE),$J$1)</f>
        <v>0</v>
      </c>
      <c r="E9" s="12"/>
      <c r="F9" s="58">
        <f>IF(A9&lt;&gt;0,VLOOKUP(A9,Materiales,6,FALSE),$J$1)</f>
        <v>0</v>
      </c>
      <c r="G9" s="58"/>
      <c r="H9" s="7">
        <f t="shared" si="0"/>
        <v>0</v>
      </c>
      <c r="I9" s="69"/>
    </row>
    <row r="10" spans="1:10" x14ac:dyDescent="0.2">
      <c r="A10" s="1213"/>
      <c r="B10" s="1214"/>
      <c r="C10" s="1214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215"/>
      <c r="B12" s="1216"/>
      <c r="C12" s="1217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370"/>
      <c r="B17" s="1371"/>
      <c r="C17" s="1371"/>
      <c r="D17" s="369"/>
      <c r="E17" s="370"/>
      <c r="F17" s="371"/>
      <c r="G17" s="371"/>
      <c r="H17" s="372">
        <f t="shared" si="0"/>
        <v>0</v>
      </c>
      <c r="I17" s="297"/>
    </row>
    <row r="18" spans="1:9" x14ac:dyDescent="0.2">
      <c r="A18" s="1368"/>
      <c r="B18" s="1379"/>
      <c r="C18" s="1380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452">
        <v>16</v>
      </c>
      <c r="E26" s="33"/>
      <c r="F26" s="12">
        <f>IF(A26&lt;&gt;0,VLOOKUP(A26,Equipos,6,FALSE),$J$1)</f>
        <v>3710</v>
      </c>
      <c r="G26" s="14">
        <v>1</v>
      </c>
      <c r="H26" s="7">
        <f t="shared" ref="H26:H32" si="1">IF(A26&lt;&gt;0,ROUND((F26/D26)*G26,2),$J$1)</f>
        <v>231.88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377"/>
      <c r="B29" s="1378"/>
      <c r="C29" s="1378"/>
      <c r="D29" s="974"/>
      <c r="E29" s="974"/>
      <c r="F29" s="940"/>
      <c r="G29" s="975"/>
      <c r="H29" s="942">
        <f t="shared" si="1"/>
        <v>0</v>
      </c>
      <c r="I29" s="952"/>
    </row>
    <row r="30" spans="1:9" x14ac:dyDescent="0.2">
      <c r="A30" s="1377"/>
      <c r="B30" s="1378"/>
      <c r="C30" s="1378"/>
      <c r="D30" s="974"/>
      <c r="E30" s="974"/>
      <c r="F30" s="940"/>
      <c r="G30" s="975"/>
      <c r="H30" s="942">
        <f t="shared" si="1"/>
        <v>0</v>
      </c>
      <c r="I30" s="952"/>
    </row>
    <row r="31" spans="1:9" x14ac:dyDescent="0.2">
      <c r="A31" s="1377"/>
      <c r="B31" s="1378"/>
      <c r="C31" s="1378"/>
      <c r="D31" s="974"/>
      <c r="E31" s="974"/>
      <c r="F31" s="940"/>
      <c r="G31" s="975"/>
      <c r="H31" s="942">
        <f t="shared" si="1"/>
        <v>0</v>
      </c>
      <c r="I31" s="952"/>
    </row>
    <row r="32" spans="1:9" x14ac:dyDescent="0.2">
      <c r="A32" s="1377"/>
      <c r="B32" s="1378"/>
      <c r="C32" s="1378"/>
      <c r="D32" s="974"/>
      <c r="E32" s="974"/>
      <c r="F32" s="940"/>
      <c r="G32" s="975"/>
      <c r="H32" s="942">
        <f t="shared" si="1"/>
        <v>0</v>
      </c>
      <c r="I32" s="952"/>
    </row>
    <row r="33" spans="1:9" x14ac:dyDescent="0.2">
      <c r="A33" s="976" t="s">
        <v>2221</v>
      </c>
      <c r="D33" s="961"/>
      <c r="E33" s="962"/>
      <c r="F33" s="962"/>
      <c r="G33" s="962"/>
      <c r="H33" s="963"/>
      <c r="I33" s="977">
        <f>SUM(H26:H32)</f>
        <v>231.88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3" t="s">
        <v>2226</v>
      </c>
      <c r="C37" s="1104"/>
      <c r="D37" s="1268"/>
      <c r="E37" s="1269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965">
        <f>IF(A38&lt;&gt;0,VLOOKUP(A38,Transporte,8,FALSE),$J$1)</f>
        <v>0</v>
      </c>
      <c r="E38" s="966"/>
      <c r="F38" s="967">
        <f t="shared" ref="F38:F43" si="2">IF(A38&lt;&gt;0,VLOOKUP(A38,Transporte,2,FALSE),$J$1)</f>
        <v>0</v>
      </c>
      <c r="G38" s="940"/>
      <c r="H38" s="942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965">
        <f>IF(A39&lt;&gt;0,VLOOKUP(A39,Transporte,8,FALSE),$J$1)</f>
        <v>0</v>
      </c>
      <c r="E39" s="966"/>
      <c r="F39" s="967">
        <f t="shared" si="2"/>
        <v>0</v>
      </c>
      <c r="G39" s="940"/>
      <c r="H39" s="942">
        <f t="shared" si="3"/>
        <v>0</v>
      </c>
      <c r="I39" s="344"/>
    </row>
    <row r="40" spans="1:9" x14ac:dyDescent="0.2">
      <c r="A40" s="1215"/>
      <c r="B40" s="1216"/>
      <c r="C40" s="1217"/>
      <c r="D40" s="965">
        <f>IF(A40&lt;&gt;0,VLOOKUP(A40,Transporte,8,FALSE),$J$1)</f>
        <v>0</v>
      </c>
      <c r="E40" s="966"/>
      <c r="F40" s="967">
        <f t="shared" si="2"/>
        <v>0</v>
      </c>
      <c r="G40" s="940"/>
      <c r="H40" s="942">
        <f t="shared" si="3"/>
        <v>0</v>
      </c>
      <c r="I40" s="345"/>
    </row>
    <row r="41" spans="1:9" x14ac:dyDescent="0.2">
      <c r="A41" s="848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1368"/>
      <c r="B42" s="1352"/>
      <c r="C42" s="1353"/>
      <c r="D42" s="965">
        <f>IF(A42&lt;&gt;0,VLOOKUP(A42,Transporte,8,FALSE),$J$1)</f>
        <v>0</v>
      </c>
      <c r="E42" s="966"/>
      <c r="F42" s="967">
        <f t="shared" si="2"/>
        <v>0</v>
      </c>
      <c r="G42" s="940"/>
      <c r="H42" s="942">
        <f t="shared" si="3"/>
        <v>0</v>
      </c>
      <c r="I42" s="379"/>
    </row>
    <row r="43" spans="1:9" x14ac:dyDescent="0.2">
      <c r="A43" s="1368"/>
      <c r="B43" s="1352"/>
      <c r="C43" s="1353"/>
      <c r="D43" s="965">
        <f>IF(A43&lt;&gt;0,VLOOKUP(A43,Transporte,8,FALSE),$J$1)</f>
        <v>0</v>
      </c>
      <c r="E43" s="966"/>
      <c r="F43" s="967">
        <f t="shared" si="2"/>
        <v>0</v>
      </c>
      <c r="G43" s="940"/>
      <c r="H43" s="942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350">
        <f>IF(A48&lt;&gt;0,VLOOKUP(A48,Cuadrillas,7,FALSE),$J$1)</f>
        <v>238818.0834375</v>
      </c>
      <c r="E48" s="1350"/>
      <c r="F48" s="1083">
        <v>50.558051187253824</v>
      </c>
      <c r="G48" s="1083"/>
      <c r="H48" s="171">
        <f>IF(A48&lt;&gt;0,ROUND(D48/F48,2),$J$1)</f>
        <v>4723.6400000000003</v>
      </c>
      <c r="I48" s="69"/>
    </row>
    <row r="49" spans="1:9" x14ac:dyDescent="0.2">
      <c r="A49" s="1256"/>
      <c r="B49" s="1257"/>
      <c r="C49" s="1257"/>
      <c r="D49" s="1350">
        <f>IF(A49&lt;&gt;0,VLOOKUP(A49,Cuadrillas,7,FALSE),$J$1)</f>
        <v>0</v>
      </c>
      <c r="E49" s="1350"/>
      <c r="F49" s="1351"/>
      <c r="G49" s="1351"/>
      <c r="H49" s="171">
        <f>IF(A49&lt;&gt;0,ROUND(D49/F49,2),$J$1)</f>
        <v>0</v>
      </c>
      <c r="I49" s="297"/>
    </row>
    <row r="50" spans="1:9" x14ac:dyDescent="0.2">
      <c r="A50" s="1080"/>
      <c r="B50" s="1081"/>
      <c r="C50" s="1081"/>
      <c r="D50" s="1350">
        <f>IF(A50&lt;&gt;0,VLOOKUP(A50,Cuadrillas,7,FALSE),$J$1)</f>
        <v>0</v>
      </c>
      <c r="E50" s="1350"/>
      <c r="F50" s="1351"/>
      <c r="G50" s="1351"/>
      <c r="H50" s="171">
        <f>IF(A50&lt;&gt;0,ROUND(D50/F50,2),$J$1)</f>
        <v>0</v>
      </c>
      <c r="I50" s="69"/>
    </row>
    <row r="51" spans="1:9" x14ac:dyDescent="0.2">
      <c r="A51" s="1256"/>
      <c r="B51" s="1257"/>
      <c r="C51" s="1257"/>
      <c r="D51" s="1350">
        <f>IF(A51&lt;&gt;0,VLOOKUP(A51,Cuadrillas,7,FALSE),$J$1)</f>
        <v>0</v>
      </c>
      <c r="E51" s="1350"/>
      <c r="F51" s="1351"/>
      <c r="G51" s="1351"/>
      <c r="H51" s="171">
        <f>IF(A51&lt;&gt;0,ROUND(D51/F51,2),$J$1)</f>
        <v>0</v>
      </c>
      <c r="I51" s="301"/>
    </row>
    <row r="52" spans="1:9" x14ac:dyDescent="0.2">
      <c r="A52" s="1256"/>
      <c r="B52" s="1257"/>
      <c r="C52" s="1257"/>
      <c r="D52" s="1350">
        <f>IF(A52&lt;&gt;0,VLOOKUP(A52,Cuadrillas,7,FALSE),$J$1)</f>
        <v>0</v>
      </c>
      <c r="E52" s="1350"/>
      <c r="F52" s="1351"/>
      <c r="G52" s="1351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54">
        <f>SUM(H48:H52)</f>
        <v>4723.6400000000003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4723.6400000000003</v>
      </c>
    </row>
    <row r="57" spans="1:9" s="9" customFormat="1" ht="25.5" customHeight="1" thickTop="1" thickBot="1" x14ac:dyDescent="0.25">
      <c r="A57" s="1375" t="s">
        <v>2234</v>
      </c>
      <c r="B57" s="1376"/>
      <c r="C57" s="1376"/>
      <c r="D57" s="1376"/>
      <c r="E57" s="1376"/>
      <c r="F57" s="1376"/>
      <c r="G57" s="1376"/>
      <c r="H57" s="506"/>
      <c r="I57" s="507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4">
    <mergeCell ref="A1:C1"/>
    <mergeCell ref="B37:C37"/>
    <mergeCell ref="B41:C41"/>
    <mergeCell ref="A2:I2"/>
    <mergeCell ref="A3:I3"/>
    <mergeCell ref="H1:I1"/>
    <mergeCell ref="A12:C12"/>
    <mergeCell ref="A26:C26"/>
    <mergeCell ref="A16:C16"/>
    <mergeCell ref="A17:C17"/>
    <mergeCell ref="A19:C19"/>
    <mergeCell ref="A21:C21"/>
    <mergeCell ref="A18:C18"/>
    <mergeCell ref="A8:C8"/>
    <mergeCell ref="A9:C9"/>
    <mergeCell ref="A10:C10"/>
    <mergeCell ref="A48:C48"/>
    <mergeCell ref="D47:E47"/>
    <mergeCell ref="A49:C49"/>
    <mergeCell ref="F52:G52"/>
    <mergeCell ref="A14:C14"/>
    <mergeCell ref="A46:I46"/>
    <mergeCell ref="A30:C30"/>
    <mergeCell ref="A31:C31"/>
    <mergeCell ref="D37:E37"/>
    <mergeCell ref="A27:C27"/>
    <mergeCell ref="A11:C11"/>
    <mergeCell ref="A13:C13"/>
    <mergeCell ref="A15:C15"/>
    <mergeCell ref="A32:C32"/>
    <mergeCell ref="A28:C28"/>
    <mergeCell ref="A29:C29"/>
    <mergeCell ref="A55:H55"/>
    <mergeCell ref="A20:C20"/>
    <mergeCell ref="A53:H53"/>
    <mergeCell ref="D49:E49"/>
    <mergeCell ref="A42:C42"/>
    <mergeCell ref="A43:C43"/>
    <mergeCell ref="A38:C38"/>
    <mergeCell ref="A39:C39"/>
    <mergeCell ref="A40:C40"/>
    <mergeCell ref="A45:I45"/>
    <mergeCell ref="F47:G47"/>
    <mergeCell ref="F48:G48"/>
    <mergeCell ref="D52:E52"/>
    <mergeCell ref="F49:G49"/>
    <mergeCell ref="D48:E48"/>
    <mergeCell ref="A47:C47"/>
    <mergeCell ref="A54:I54"/>
    <mergeCell ref="F51:G51"/>
    <mergeCell ref="C5:I5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533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213" t="s">
        <v>161</v>
      </c>
      <c r="B8" s="1214"/>
      <c r="C8" s="1214"/>
      <c r="D8" s="844" t="e">
        <f>IF(A8&lt;&gt;0,VLOOKUP(A8,Materiales,2,FALSE),$J$1)</f>
        <v>#REF!</v>
      </c>
      <c r="E8" s="12">
        <v>1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>
        <f>IF(A9&lt;&gt;0,VLOOKUP(A9,Materiales,2,FALSE),$J$1)</f>
        <v>0</v>
      </c>
      <c r="E9" s="12"/>
      <c r="F9" s="58">
        <f>IF(A9&lt;&gt;0,VLOOKUP(A9,Materiales,6,FALSE),$J$1)</f>
        <v>0</v>
      </c>
      <c r="G9" s="58"/>
      <c r="H9" s="7">
        <f t="shared" si="0"/>
        <v>0</v>
      </c>
      <c r="I9" s="69"/>
    </row>
    <row r="10" spans="1:10" x14ac:dyDescent="0.2">
      <c r="A10" s="1213"/>
      <c r="B10" s="1214"/>
      <c r="C10" s="1214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215"/>
      <c r="B12" s="1216"/>
      <c r="C12" s="1217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70"/>
      <c r="B18" s="1371"/>
      <c r="C18" s="1371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16</v>
      </c>
      <c r="E26" s="33"/>
      <c r="F26" s="12">
        <f>IF(A26&lt;&gt;0,VLOOKUP(A26,Equipos,6,FALSE),$J$1)</f>
        <v>3710</v>
      </c>
      <c r="G26" s="14">
        <v>1</v>
      </c>
      <c r="H26" s="7">
        <f t="shared" ref="H26:H32" si="1">IF(A26&lt;&gt;0,ROUND((F26/D26)*G26,2),$J$1)</f>
        <v>231.88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171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171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94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94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942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231.88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1268"/>
      <c r="E37" s="1269"/>
      <c r="F37" s="15"/>
      <c r="G37" s="12"/>
      <c r="H37" s="7">
        <f t="shared" ref="H37:H43" si="2">IF(A37&lt;&gt;0,D37/F37*G37,$J$1)</f>
        <v>0</v>
      </c>
      <c r="I37" s="343">
        <f>SUM(H38:H40)</f>
        <v>0</v>
      </c>
    </row>
    <row r="38" spans="1:9" x14ac:dyDescent="0.2">
      <c r="A38" s="1215"/>
      <c r="B38" s="1216"/>
      <c r="C38" s="1217"/>
      <c r="D38" s="965">
        <f>IF(A38&lt;&gt;0,VLOOKUP(A38,Transporte,8,FALSE),$J$1)</f>
        <v>0</v>
      </c>
      <c r="E38" s="966"/>
      <c r="F38" s="967">
        <f t="shared" ref="F38:F43" si="3">IF(A38&lt;&gt;0,VLOOKUP(A38,Transporte,2,FALSE),$J$1)</f>
        <v>0</v>
      </c>
      <c r="G38" s="940"/>
      <c r="H38" s="942">
        <f t="shared" si="2"/>
        <v>0</v>
      </c>
      <c r="I38" s="344"/>
    </row>
    <row r="39" spans="1:9" x14ac:dyDescent="0.2">
      <c r="A39" s="1215"/>
      <c r="B39" s="1216"/>
      <c r="C39" s="1217"/>
      <c r="D39" s="965">
        <f>IF(A39&lt;&gt;0,VLOOKUP(A39,Transporte,8,FALSE),$J$1)</f>
        <v>0</v>
      </c>
      <c r="E39" s="966"/>
      <c r="F39" s="967">
        <f t="shared" si="3"/>
        <v>0</v>
      </c>
      <c r="G39" s="940"/>
      <c r="H39" s="942">
        <f t="shared" si="2"/>
        <v>0</v>
      </c>
      <c r="I39" s="344"/>
    </row>
    <row r="40" spans="1:9" x14ac:dyDescent="0.2">
      <c r="A40" s="1215"/>
      <c r="B40" s="1216"/>
      <c r="C40" s="1217"/>
      <c r="D40" s="965">
        <f>IF(A40&lt;&gt;0,VLOOKUP(A40,Transporte,8,FALSE),$J$1)</f>
        <v>0</v>
      </c>
      <c r="E40" s="966"/>
      <c r="F40" s="967">
        <f t="shared" si="3"/>
        <v>0</v>
      </c>
      <c r="G40" s="940"/>
      <c r="H40" s="942">
        <f t="shared" si="2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896"/>
      <c r="B42" s="893"/>
      <c r="C42" s="894"/>
      <c r="D42" s="965">
        <f>IF(A42&lt;&gt;0,VLOOKUP(A42,Transporte,8,FALSE),$J$1)</f>
        <v>0</v>
      </c>
      <c r="E42" s="966"/>
      <c r="F42" s="967">
        <f t="shared" si="3"/>
        <v>0</v>
      </c>
      <c r="G42" s="940"/>
      <c r="H42" s="942">
        <f t="shared" si="2"/>
        <v>0</v>
      </c>
      <c r="I42" s="379"/>
    </row>
    <row r="43" spans="1:9" x14ac:dyDescent="0.2">
      <c r="A43" s="401"/>
      <c r="B43" s="375"/>
      <c r="C43" s="376"/>
      <c r="D43" s="965">
        <f>IF(A43&lt;&gt;0,VLOOKUP(A43,Transporte,8,FALSE),$J$1)</f>
        <v>0</v>
      </c>
      <c r="E43" s="966"/>
      <c r="F43" s="967">
        <f t="shared" si="3"/>
        <v>0</v>
      </c>
      <c r="G43" s="940"/>
      <c r="H43" s="942">
        <f t="shared" si="2"/>
        <v>0</v>
      </c>
      <c r="I43" s="365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SUM(I37:I41)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25.279021777873083</v>
      </c>
      <c r="G48" s="1083"/>
      <c r="H48" s="7">
        <f>IF(A48&lt;&gt;0,ROUND(D48/F48,2),$J$1)</f>
        <v>9447.2800000000007</v>
      </c>
      <c r="I48" s="69"/>
    </row>
    <row r="49" spans="1:9" x14ac:dyDescent="0.2">
      <c r="A49" s="1256"/>
      <c r="B49" s="1257"/>
      <c r="C49" s="1257"/>
      <c r="D49" s="1350">
        <f>IF(A49&lt;&gt;0,VLOOKUP(A49,Cuadrillas,7,FALSE),$J$1)</f>
        <v>0</v>
      </c>
      <c r="E49" s="1350"/>
      <c r="F49" s="1351"/>
      <c r="G49" s="1351"/>
      <c r="H49" s="171">
        <f>IF(A49&lt;&gt;0,ROUND(D49/F49,2),$J$1)</f>
        <v>0</v>
      </c>
      <c r="I49" s="297"/>
    </row>
    <row r="50" spans="1:9" x14ac:dyDescent="0.2">
      <c r="A50" s="1080"/>
      <c r="B50" s="1081"/>
      <c r="C50" s="1081"/>
      <c r="D50" s="1350">
        <f>IF(A50&lt;&gt;0,VLOOKUP(A50,Cuadrillas,7,FALSE),$J$1)</f>
        <v>0</v>
      </c>
      <c r="E50" s="1350"/>
      <c r="F50" s="1351"/>
      <c r="G50" s="1351"/>
      <c r="H50" s="171">
        <f>IF(A50&lt;&gt;0,ROUND(D50/F50,2),$J$1)</f>
        <v>0</v>
      </c>
      <c r="I50" s="69"/>
    </row>
    <row r="51" spans="1:9" x14ac:dyDescent="0.2">
      <c r="A51" s="1256"/>
      <c r="B51" s="1257"/>
      <c r="C51" s="1257"/>
      <c r="D51" s="1350">
        <f>IF(A51&lt;&gt;0,VLOOKUP(A51,Cuadrillas,7,FALSE),$J$1)</f>
        <v>0</v>
      </c>
      <c r="E51" s="1350"/>
      <c r="F51" s="1351"/>
      <c r="G51" s="1351"/>
      <c r="H51" s="171">
        <f>IF(A51&lt;&gt;0,ROUND(D51/F51,2),$J$1)</f>
        <v>0</v>
      </c>
      <c r="I51" s="301"/>
    </row>
    <row r="52" spans="1:9" x14ac:dyDescent="0.2">
      <c r="A52" s="1256"/>
      <c r="B52" s="1257"/>
      <c r="C52" s="1257"/>
      <c r="D52" s="1350">
        <f>IF(A52&lt;&gt;0,VLOOKUP(A52,Cuadrillas,7,FALSE),$J$1)</f>
        <v>0</v>
      </c>
      <c r="E52" s="1350"/>
      <c r="F52" s="1351"/>
      <c r="G52" s="1351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9447.2800000000007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9447.2800000000007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2">
    <mergeCell ref="D48:E48"/>
    <mergeCell ref="A47:C47"/>
    <mergeCell ref="A48:C48"/>
    <mergeCell ref="D47:E47"/>
    <mergeCell ref="A30:C30"/>
    <mergeCell ref="A31:C31"/>
    <mergeCell ref="A32:C32"/>
    <mergeCell ref="A45:I45"/>
    <mergeCell ref="F47:G47"/>
    <mergeCell ref="F48:G48"/>
    <mergeCell ref="A46:I46"/>
    <mergeCell ref="B37:C37"/>
    <mergeCell ref="B41:C41"/>
    <mergeCell ref="A38:C38"/>
    <mergeCell ref="A39:C39"/>
    <mergeCell ref="A40:C40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F52:G52"/>
    <mergeCell ref="F51:G51"/>
    <mergeCell ref="D52:E52"/>
    <mergeCell ref="A57:G57"/>
    <mergeCell ref="A55:H55"/>
    <mergeCell ref="A58:C58"/>
    <mergeCell ref="D58:E58"/>
    <mergeCell ref="F58:I58"/>
    <mergeCell ref="A26:C26"/>
    <mergeCell ref="A27:C27"/>
    <mergeCell ref="A16:C16"/>
    <mergeCell ref="A17:C17"/>
    <mergeCell ref="A19:C19"/>
    <mergeCell ref="A21:C21"/>
    <mergeCell ref="A20:C20"/>
    <mergeCell ref="A18:C18"/>
    <mergeCell ref="F49:G49"/>
    <mergeCell ref="A49:C49"/>
    <mergeCell ref="D49:E49"/>
    <mergeCell ref="A54:I54"/>
    <mergeCell ref="A53:H53"/>
    <mergeCell ref="A28:C28"/>
    <mergeCell ref="D37:E37"/>
    <mergeCell ref="A2:I2"/>
    <mergeCell ref="A3:I3"/>
    <mergeCell ref="A29:C29"/>
    <mergeCell ref="H1:I1"/>
    <mergeCell ref="A12:C12"/>
    <mergeCell ref="A15:C15"/>
    <mergeCell ref="A8:C8"/>
    <mergeCell ref="A9:C9"/>
    <mergeCell ref="A10:C10"/>
    <mergeCell ref="A11:C11"/>
    <mergeCell ref="A13:C13"/>
    <mergeCell ref="A14:C14"/>
    <mergeCell ref="A1:C1"/>
    <mergeCell ref="C5:I5"/>
  </mergeCells>
  <phoneticPr fontId="0" type="noConversion"/>
  <dataValidations count="5">
    <dataValidation type="list" allowBlank="1" showInputMessage="1" showErrorMessage="1" sqref="A26:A32 B42:C43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533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215" t="s">
        <v>251</v>
      </c>
      <c r="B8" s="1216"/>
      <c r="C8" s="1217"/>
      <c r="D8" s="844" t="e">
        <f t="shared" ref="D8:D13" si="0">IF(A8&lt;&gt;0,VLOOKUP(A8,Materiales,2,FALSE),$J$1)</f>
        <v>#REF!</v>
      </c>
      <c r="E8" s="12">
        <v>1</v>
      </c>
      <c r="F8" s="58" t="e">
        <f t="shared" ref="F8:F13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215" t="s">
        <v>452</v>
      </c>
      <c r="B9" s="1216"/>
      <c r="C9" s="1217"/>
      <c r="D9" s="844" t="e">
        <f t="shared" si="0"/>
        <v>#REF!</v>
      </c>
      <c r="E9" s="12">
        <v>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215" t="s">
        <v>233</v>
      </c>
      <c r="B10" s="1216"/>
      <c r="C10" s="1217"/>
      <c r="D10" s="844" t="e">
        <f t="shared" si="0"/>
        <v>#REF!</v>
      </c>
      <c r="E10" s="12">
        <v>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215" t="s">
        <v>241</v>
      </c>
      <c r="B11" s="1216"/>
      <c r="C11" s="1217"/>
      <c r="D11" s="844" t="e">
        <f t="shared" si="0"/>
        <v>#REF!</v>
      </c>
      <c r="E11" s="52">
        <v>1</v>
      </c>
      <c r="F11" s="58" t="e">
        <f t="shared" si="1"/>
        <v>#REF!</v>
      </c>
      <c r="G11" s="838"/>
      <c r="H11" s="171" t="e">
        <f t="shared" si="2"/>
        <v>#REF!</v>
      </c>
      <c r="I11" s="951"/>
    </row>
    <row r="12" spans="1:10" x14ac:dyDescent="0.2">
      <c r="A12" s="1215" t="s">
        <v>216</v>
      </c>
      <c r="B12" s="1216"/>
      <c r="C12" s="1217"/>
      <c r="D12" s="844" t="e">
        <f t="shared" si="0"/>
        <v>#REF!</v>
      </c>
      <c r="E12" s="52">
        <v>1</v>
      </c>
      <c r="F12" s="58" t="e">
        <f t="shared" si="1"/>
        <v>#REF!</v>
      </c>
      <c r="G12" s="838"/>
      <c r="H12" s="171" t="e">
        <f t="shared" si="2"/>
        <v>#REF!</v>
      </c>
      <c r="I12" s="951"/>
    </row>
    <row r="13" spans="1:10" x14ac:dyDescent="0.2">
      <c r="A13" s="1080" t="s">
        <v>389</v>
      </c>
      <c r="B13" s="1081"/>
      <c r="C13" s="1081"/>
      <c r="D13" s="844" t="e">
        <f t="shared" si="0"/>
        <v>#REF!</v>
      </c>
      <c r="E13" s="52">
        <v>1</v>
      </c>
      <c r="F13" s="58" t="e">
        <f t="shared" si="1"/>
        <v>#REF!</v>
      </c>
      <c r="G13" s="838"/>
      <c r="H13" s="171" t="e">
        <f t="shared" si="2"/>
        <v>#REF!</v>
      </c>
      <c r="I13" s="951"/>
    </row>
    <row r="14" spans="1:10" x14ac:dyDescent="0.2">
      <c r="A14" s="1080"/>
      <c r="B14" s="1081"/>
      <c r="C14" s="1081"/>
      <c r="D14" s="844"/>
      <c r="E14" s="52"/>
      <c r="F14" s="838"/>
      <c r="G14" s="838"/>
      <c r="H14" s="171">
        <f t="shared" si="2"/>
        <v>0</v>
      </c>
      <c r="I14" s="951"/>
    </row>
    <row r="15" spans="1:10" x14ac:dyDescent="0.2">
      <c r="A15" s="1080"/>
      <c r="B15" s="1081"/>
      <c r="C15" s="1081"/>
      <c r="D15" s="844"/>
      <c r="E15" s="52"/>
      <c r="F15" s="838"/>
      <c r="G15" s="838"/>
      <c r="H15" s="171">
        <f t="shared" si="2"/>
        <v>0</v>
      </c>
      <c r="I15" s="951"/>
    </row>
    <row r="16" spans="1:10" x14ac:dyDescent="0.2">
      <c r="A16" s="1080"/>
      <c r="B16" s="1081"/>
      <c r="C16" s="1081"/>
      <c r="D16" s="844"/>
      <c r="E16" s="52"/>
      <c r="F16" s="838"/>
      <c r="G16" s="838"/>
      <c r="H16" s="171">
        <f t="shared" si="2"/>
        <v>0</v>
      </c>
      <c r="I16" s="951"/>
    </row>
    <row r="17" spans="1:9" x14ac:dyDescent="0.2">
      <c r="A17" s="1080"/>
      <c r="B17" s="1081"/>
      <c r="C17" s="1081"/>
      <c r="D17" s="844"/>
      <c r="E17" s="52"/>
      <c r="F17" s="838"/>
      <c r="G17" s="838"/>
      <c r="H17" s="171">
        <f t="shared" si="2"/>
        <v>0</v>
      </c>
      <c r="I17" s="951"/>
    </row>
    <row r="18" spans="1:9" x14ac:dyDescent="0.2">
      <c r="A18" s="1370"/>
      <c r="B18" s="1371"/>
      <c r="C18" s="1371"/>
      <c r="D18" s="844"/>
      <c r="E18" s="940"/>
      <c r="F18" s="941"/>
      <c r="G18" s="941"/>
      <c r="H18" s="942">
        <f t="shared" si="2"/>
        <v>0</v>
      </c>
      <c r="I18" s="952"/>
    </row>
    <row r="19" spans="1:9" x14ac:dyDescent="0.2">
      <c r="A19" s="1370"/>
      <c r="B19" s="1371"/>
      <c r="C19" s="1371"/>
      <c r="D19" s="939"/>
      <c r="E19" s="940"/>
      <c r="F19" s="941"/>
      <c r="G19" s="941"/>
      <c r="H19" s="942">
        <f t="shared" si="2"/>
        <v>0</v>
      </c>
      <c r="I19" s="952"/>
    </row>
    <row r="20" spans="1:9" x14ac:dyDescent="0.2">
      <c r="A20" s="1368"/>
      <c r="B20" s="1352"/>
      <c r="C20" s="1353"/>
      <c r="D20" s="939"/>
      <c r="E20" s="940"/>
      <c r="F20" s="941"/>
      <c r="G20" s="941"/>
      <c r="H20" s="942">
        <f t="shared" si="2"/>
        <v>0</v>
      </c>
      <c r="I20" s="952"/>
    </row>
    <row r="21" spans="1:9" x14ac:dyDescent="0.2">
      <c r="A21" s="1285"/>
      <c r="B21" s="1286"/>
      <c r="C21" s="1286"/>
      <c r="D21" s="939"/>
      <c r="E21" s="940"/>
      <c r="F21" s="941"/>
      <c r="G21" s="941"/>
      <c r="H21" s="942">
        <f t="shared" si="2"/>
        <v>0</v>
      </c>
      <c r="I21" s="959"/>
    </row>
    <row r="22" spans="1:9" x14ac:dyDescent="0.2">
      <c r="A22" s="880" t="s">
        <v>2217</v>
      </c>
      <c r="B22" s="882"/>
      <c r="C22" s="882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5.0599999999999996</v>
      </c>
      <c r="E26" s="33"/>
      <c r="F26" s="12">
        <f>IF(A26&lt;&gt;0,VLOOKUP(A26,Equipos,6,FALSE),$J$1)</f>
        <v>3710</v>
      </c>
      <c r="G26" s="14">
        <v>0.75</v>
      </c>
      <c r="H26" s="7">
        <f t="shared" ref="H26:H32" si="3">IF(A26&lt;&gt;0,ROUND((F26/D26)*G26,2),$J$1)</f>
        <v>549.9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3"/>
        <v>0</v>
      </c>
      <c r="I27" s="69"/>
    </row>
    <row r="28" spans="1:9" x14ac:dyDescent="0.2">
      <c r="A28" s="1080"/>
      <c r="B28" s="1081"/>
      <c r="C28" s="1081"/>
      <c r="D28" s="109"/>
      <c r="E28" s="109"/>
      <c r="F28" s="52"/>
      <c r="G28" s="978"/>
      <c r="H28" s="171">
        <f t="shared" si="3"/>
        <v>0</v>
      </c>
      <c r="I28" s="951"/>
    </row>
    <row r="29" spans="1:9" x14ac:dyDescent="0.2">
      <c r="A29" s="1293"/>
      <c r="B29" s="1371"/>
      <c r="C29" s="1371"/>
      <c r="D29" s="974"/>
      <c r="E29" s="974"/>
      <c r="F29" s="940"/>
      <c r="G29" s="975"/>
      <c r="H29" s="942">
        <f t="shared" si="3"/>
        <v>0</v>
      </c>
      <c r="I29" s="952"/>
    </row>
    <row r="30" spans="1:9" x14ac:dyDescent="0.2">
      <c r="A30" s="1370"/>
      <c r="B30" s="1371"/>
      <c r="C30" s="1371"/>
      <c r="D30" s="974"/>
      <c r="E30" s="974"/>
      <c r="F30" s="940"/>
      <c r="G30" s="975"/>
      <c r="H30" s="942">
        <f t="shared" si="3"/>
        <v>0</v>
      </c>
      <c r="I30" s="952"/>
    </row>
    <row r="31" spans="1:9" x14ac:dyDescent="0.2">
      <c r="A31" s="1293"/>
      <c r="B31" s="1294"/>
      <c r="C31" s="1294"/>
      <c r="D31" s="974"/>
      <c r="E31" s="974"/>
      <c r="F31" s="940"/>
      <c r="G31" s="975"/>
      <c r="H31" s="942">
        <f t="shared" si="3"/>
        <v>0</v>
      </c>
      <c r="I31" s="952"/>
    </row>
    <row r="32" spans="1:9" x14ac:dyDescent="0.2">
      <c r="A32" s="1285"/>
      <c r="B32" s="1286"/>
      <c r="C32" s="1286"/>
      <c r="D32" s="974"/>
      <c r="E32" s="974"/>
      <c r="F32" s="940"/>
      <c r="G32" s="975"/>
      <c r="H32" s="942">
        <f t="shared" si="3"/>
        <v>0</v>
      </c>
      <c r="I32" s="952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549.9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1268"/>
      <c r="E37" s="1269"/>
      <c r="F37" s="15"/>
      <c r="G37" s="12"/>
      <c r="H37" s="7"/>
      <c r="I37" s="343">
        <f>SUM(H38:H40)</f>
        <v>0</v>
      </c>
    </row>
    <row r="38" spans="1:9" x14ac:dyDescent="0.2">
      <c r="A38" s="871"/>
      <c r="B38" s="872"/>
      <c r="C38" s="873"/>
      <c r="D38" s="965">
        <f>IF(A38&lt;&gt;0,VLOOKUP(A38,Transporte,8,FALSE),$J$1)</f>
        <v>0</v>
      </c>
      <c r="E38" s="966"/>
      <c r="F38" s="967">
        <f t="shared" ref="F38:F43" si="4">IF(A38&lt;&gt;0,VLOOKUP(A38,Transporte,2,FALSE),$J$1)</f>
        <v>0</v>
      </c>
      <c r="G38" s="940"/>
      <c r="H38" s="942">
        <f t="shared" ref="H38:H43" si="5">IF(A38&lt;&gt;0,D38/F38*G38,$J$1)</f>
        <v>0</v>
      </c>
      <c r="I38" s="344"/>
    </row>
    <row r="39" spans="1:9" x14ac:dyDescent="0.2">
      <c r="A39" s="871"/>
      <c r="B39" s="872"/>
      <c r="C39" s="873"/>
      <c r="D39" s="965">
        <f>IF(A39&lt;&gt;0,VLOOKUP(A39,Transporte,8,FALSE),$J$1)</f>
        <v>0</v>
      </c>
      <c r="E39" s="966"/>
      <c r="F39" s="967">
        <f t="shared" si="4"/>
        <v>0</v>
      </c>
      <c r="G39" s="940"/>
      <c r="H39" s="942">
        <f t="shared" si="5"/>
        <v>0</v>
      </c>
      <c r="I39" s="344"/>
    </row>
    <row r="40" spans="1:9" x14ac:dyDescent="0.2">
      <c r="B40" s="872"/>
      <c r="C40" s="873"/>
      <c r="D40" s="965">
        <f>IF(A40&lt;&gt;0,VLOOKUP(A40,Transporte,8,FALSE),$J$1)</f>
        <v>0</v>
      </c>
      <c r="E40" s="966"/>
      <c r="F40" s="967">
        <f t="shared" si="4"/>
        <v>0</v>
      </c>
      <c r="G40" s="940"/>
      <c r="H40" s="942">
        <f t="shared" si="5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896"/>
      <c r="B42" s="893"/>
      <c r="C42" s="894"/>
      <c r="D42" s="965">
        <f>IF(A42&lt;&gt;0,VLOOKUP(A42,Transporte,8,FALSE),$J$1)</f>
        <v>0</v>
      </c>
      <c r="E42" s="966"/>
      <c r="F42" s="967">
        <f t="shared" si="4"/>
        <v>0</v>
      </c>
      <c r="G42" s="940"/>
      <c r="H42" s="942">
        <f t="shared" si="5"/>
        <v>0</v>
      </c>
      <c r="I42" s="379"/>
    </row>
    <row r="43" spans="1:9" x14ac:dyDescent="0.2">
      <c r="A43" s="401"/>
      <c r="B43" s="375"/>
      <c r="C43" s="376"/>
      <c r="D43" s="965">
        <f>IF(A43&lt;&gt;0,VLOOKUP(A43,Transporte,8,FALSE),$J$1)</f>
        <v>0</v>
      </c>
      <c r="E43" s="966"/>
      <c r="F43" s="967">
        <f t="shared" si="4"/>
        <v>0</v>
      </c>
      <c r="G43" s="940"/>
      <c r="H43" s="942">
        <f t="shared" si="5"/>
        <v>0</v>
      </c>
      <c r="I43" s="365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11.770119249128202</v>
      </c>
      <c r="G48" s="1083"/>
      <c r="H48" s="7">
        <f>IF(A48&lt;&gt;0,ROUND(D48/F48,2),$J$1)</f>
        <v>20290.2</v>
      </c>
      <c r="I48" s="69"/>
    </row>
    <row r="49" spans="1:9" x14ac:dyDescent="0.2">
      <c r="A49" s="1256"/>
      <c r="B49" s="1257"/>
      <c r="C49" s="1257"/>
      <c r="D49" s="1350">
        <f>IF(A49&lt;&gt;0,VLOOKUP(A49,Cuadrillas,7,FALSE),$J$1)</f>
        <v>0</v>
      </c>
      <c r="E49" s="1350"/>
      <c r="F49" s="1351"/>
      <c r="G49" s="1351"/>
      <c r="H49" s="171">
        <f>IF(A49&lt;&gt;0,ROUND(D49/F49,2),$J$1)</f>
        <v>0</v>
      </c>
      <c r="I49" s="297"/>
    </row>
    <row r="50" spans="1:9" x14ac:dyDescent="0.2">
      <c r="A50" s="1080"/>
      <c r="B50" s="1081"/>
      <c r="C50" s="1081"/>
      <c r="D50" s="1350">
        <f>IF(A50&lt;&gt;0,VLOOKUP(A50,Cuadrillas,7,FALSE),$J$1)</f>
        <v>0</v>
      </c>
      <c r="E50" s="1350"/>
      <c r="F50" s="1351"/>
      <c r="G50" s="1351"/>
      <c r="H50" s="171">
        <f>IF(A50&lt;&gt;0,ROUND(D50/F50,2),$J$1)</f>
        <v>0</v>
      </c>
      <c r="I50" s="69"/>
    </row>
    <row r="51" spans="1:9" x14ac:dyDescent="0.2">
      <c r="A51" s="1256"/>
      <c r="B51" s="1257"/>
      <c r="C51" s="1257"/>
      <c r="D51" s="1350">
        <f>IF(A51&lt;&gt;0,VLOOKUP(A51,Cuadrillas,7,FALSE),$J$1)</f>
        <v>0</v>
      </c>
      <c r="E51" s="1350"/>
      <c r="F51" s="1351"/>
      <c r="G51" s="1351"/>
      <c r="H51" s="171">
        <f>IF(A51&lt;&gt;0,ROUND(D51/F51,2),$J$1)</f>
        <v>0</v>
      </c>
      <c r="I51" s="301"/>
    </row>
    <row r="52" spans="1:9" x14ac:dyDescent="0.2">
      <c r="A52" s="1256"/>
      <c r="B52" s="1257"/>
      <c r="C52" s="1257"/>
      <c r="D52" s="1350">
        <f>IF(A52&lt;&gt;0,VLOOKUP(A52,Cuadrillas,7,FALSE),$J$1)</f>
        <v>0</v>
      </c>
      <c r="E52" s="1350"/>
      <c r="F52" s="1351"/>
      <c r="G52" s="1351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20290.2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20290.2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0">
    <mergeCell ref="A4:E4"/>
    <mergeCell ref="A1:C1"/>
    <mergeCell ref="B37:C37"/>
    <mergeCell ref="B41:C41"/>
    <mergeCell ref="A2:I2"/>
    <mergeCell ref="A3:I3"/>
    <mergeCell ref="H1:I1"/>
    <mergeCell ref="A12:C12"/>
    <mergeCell ref="A26:C26"/>
    <mergeCell ref="A16:C16"/>
    <mergeCell ref="A17:C17"/>
    <mergeCell ref="A19:C19"/>
    <mergeCell ref="A21:C21"/>
    <mergeCell ref="A14:C14"/>
    <mergeCell ref="A20:C20"/>
    <mergeCell ref="A8:C8"/>
    <mergeCell ref="A9:C9"/>
    <mergeCell ref="A10:C10"/>
    <mergeCell ref="A46:I46"/>
    <mergeCell ref="A30:C30"/>
    <mergeCell ref="A31:C31"/>
    <mergeCell ref="A18:C18"/>
    <mergeCell ref="A27:C27"/>
    <mergeCell ref="A11:C11"/>
    <mergeCell ref="A13:C13"/>
    <mergeCell ref="A15:C15"/>
    <mergeCell ref="A32:C32"/>
    <mergeCell ref="A28:C28"/>
    <mergeCell ref="A29:C29"/>
    <mergeCell ref="A53:H53"/>
    <mergeCell ref="D49:E49"/>
    <mergeCell ref="D37:E37"/>
    <mergeCell ref="A45:I45"/>
    <mergeCell ref="F47:G47"/>
    <mergeCell ref="F48:G48"/>
    <mergeCell ref="D52:E52"/>
    <mergeCell ref="F49:G49"/>
    <mergeCell ref="D48:E48"/>
    <mergeCell ref="A47:C47"/>
    <mergeCell ref="F52:G52"/>
    <mergeCell ref="F51:G51"/>
    <mergeCell ref="A48:C48"/>
    <mergeCell ref="D47:E47"/>
    <mergeCell ref="A49:C49"/>
    <mergeCell ref="C5:I5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  <mergeCell ref="A55:H55"/>
    <mergeCell ref="A54:I54"/>
  </mergeCells>
  <phoneticPr fontId="0" type="noConversion"/>
  <dataValidations count="5">
    <dataValidation type="list" allowBlank="1" showInputMessage="1" showErrorMessage="1" sqref="A26:A32 B38:C40 B42:C43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39 A41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1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080" t="s">
        <v>199</v>
      </c>
      <c r="B8" s="1081"/>
      <c r="C8" s="1081"/>
      <c r="D8" s="844" t="e">
        <f>IF(A8&lt;&gt;0,VLOOKUP(A8,Materiales,2,FALSE),$J$1)</f>
        <v>#REF!</v>
      </c>
      <c r="E8" s="12">
        <v>1</v>
      </c>
      <c r="F8" s="58" t="e">
        <f>IF(A8&lt;&gt;0,VLOOKUP(A8,Materiales,6,FALSE),$J$1)</f>
        <v>#REF!</v>
      </c>
      <c r="G8" s="58"/>
      <c r="H8" s="7" t="e">
        <f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/>
      <c r="E9" s="12"/>
      <c r="F9" s="58"/>
      <c r="G9" s="58"/>
      <c r="H9" s="7">
        <f>IF(A9&lt;&gt;0,ROUND(E9*F9,2),$J$1)</f>
        <v>0</v>
      </c>
      <c r="I9" s="69"/>
    </row>
    <row r="10" spans="1:10" x14ac:dyDescent="0.2">
      <c r="A10" s="1080"/>
      <c r="B10" s="1081"/>
      <c r="C10" s="1081"/>
      <c r="D10" s="844"/>
      <c r="E10" s="12"/>
      <c r="F10" s="58"/>
      <c r="G10" s="58"/>
      <c r="H10" s="7">
        <f>IF(A10&lt;&gt;0,ROUND(E10*F10,2),$J$1)</f>
        <v>0</v>
      </c>
      <c r="I10" s="69"/>
    </row>
    <row r="11" spans="1:10" x14ac:dyDescent="0.2">
      <c r="A11" s="1080"/>
      <c r="B11" s="1081"/>
      <c r="C11" s="1081"/>
      <c r="D11" s="844"/>
      <c r="E11" s="12"/>
      <c r="F11" s="58"/>
      <c r="G11" s="58"/>
      <c r="H11" s="7">
        <f>IF(A11&lt;&gt;0,ROUND(E11*F11,2),$J$1)</f>
        <v>0</v>
      </c>
      <c r="I11" s="69"/>
    </row>
    <row r="12" spans="1:10" x14ac:dyDescent="0.2">
      <c r="A12" s="1080"/>
      <c r="B12" s="1081"/>
      <c r="C12" s="1081"/>
      <c r="D12" s="844"/>
      <c r="E12" s="12"/>
      <c r="F12" s="58"/>
      <c r="G12" s="58"/>
      <c r="H12" s="7"/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ref="H13:H21" si="0">IF(A13&lt;&gt;0,ROUND(E13*F13,2),$J$1)</f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080"/>
      <c r="B18" s="1081"/>
      <c r="C18" s="1081"/>
      <c r="D18" s="844"/>
      <c r="E18" s="12"/>
      <c r="F18" s="58"/>
      <c r="G18" s="58"/>
      <c r="H18" s="7">
        <f t="shared" si="0"/>
        <v>0</v>
      </c>
      <c r="I18" s="69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549">
        <v>1.7893650259744853</v>
      </c>
      <c r="E26" s="33"/>
      <c r="F26" s="12">
        <f>IF(A26&lt;&gt;0,VLOOKUP(A26,Equipos,6,FALSE),$J$1)</f>
        <v>3710</v>
      </c>
      <c r="G26" s="14">
        <v>1</v>
      </c>
      <c r="H26" s="7">
        <f t="shared" ref="H26:H32" si="1">IF(A26&lt;&gt;0,ROUND((F26/D26)*G26,2),$J$1)</f>
        <v>2073.36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85"/>
      <c r="B29" s="1286"/>
      <c r="C29" s="1286"/>
      <c r="D29" s="335"/>
      <c r="E29" s="335"/>
      <c r="F29" s="327"/>
      <c r="G29" s="336"/>
      <c r="H29" s="329">
        <f t="shared" si="1"/>
        <v>0</v>
      </c>
      <c r="I29" s="360"/>
    </row>
    <row r="30" spans="1:9" x14ac:dyDescent="0.2">
      <c r="A30" s="1285"/>
      <c r="B30" s="1286"/>
      <c r="C30" s="1286"/>
      <c r="D30" s="335"/>
      <c r="E30" s="335"/>
      <c r="F30" s="327"/>
      <c r="G30" s="336"/>
      <c r="H30" s="329">
        <f t="shared" si="1"/>
        <v>0</v>
      </c>
      <c r="I30" s="360"/>
    </row>
    <row r="31" spans="1:9" x14ac:dyDescent="0.2">
      <c r="A31" s="1285"/>
      <c r="B31" s="1286"/>
      <c r="C31" s="1286"/>
      <c r="D31" s="335"/>
      <c r="E31" s="335"/>
      <c r="F31" s="327"/>
      <c r="G31" s="336"/>
      <c r="H31" s="329">
        <f t="shared" si="1"/>
        <v>0</v>
      </c>
      <c r="I31" s="360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360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2073.36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206"/>
      <c r="C35" s="207"/>
      <c r="D35" s="902"/>
      <c r="E35" s="902"/>
      <c r="F35" s="902"/>
      <c r="G35" s="902"/>
      <c r="H35" s="902"/>
      <c r="I35" s="903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965"/>
      <c r="E37" s="966"/>
      <c r="F37" s="967"/>
      <c r="G37" s="940"/>
      <c r="H37" s="942"/>
      <c r="I37" s="343">
        <f>SUM(H38:H40)</f>
        <v>0</v>
      </c>
    </row>
    <row r="38" spans="1:9" x14ac:dyDescent="0.2">
      <c r="A38" s="1215"/>
      <c r="B38" s="1216"/>
      <c r="C38" s="1217"/>
      <c r="D38" s="965">
        <f>IF(A38&lt;&gt;0,VLOOKUP(A38,Transporte,8,FALSE),$J$1)</f>
        <v>0</v>
      </c>
      <c r="E38" s="966"/>
      <c r="F38" s="967">
        <f t="shared" ref="F38:F43" si="2">IF(A38&lt;&gt;0,VLOOKUP(A38,Transporte,2,FALSE),$J$1)</f>
        <v>0</v>
      </c>
      <c r="G38" s="940"/>
      <c r="H38" s="942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965">
        <f>IF(A39&lt;&gt;0,VLOOKUP(A39,Transporte,8,FALSE),$J$1)</f>
        <v>0</v>
      </c>
      <c r="E39" s="966"/>
      <c r="F39" s="967">
        <f t="shared" si="2"/>
        <v>0</v>
      </c>
      <c r="G39" s="940"/>
      <c r="H39" s="942">
        <f t="shared" si="3"/>
        <v>0</v>
      </c>
      <c r="I39" s="344"/>
    </row>
    <row r="40" spans="1:9" x14ac:dyDescent="0.2">
      <c r="A40" s="1215"/>
      <c r="B40" s="1216"/>
      <c r="C40" s="1217"/>
      <c r="D40" s="965">
        <f>IF(A40&lt;&gt;0,VLOOKUP(A40,Transporte,8,FALSE),$J$1)</f>
        <v>0</v>
      </c>
      <c r="E40" s="966"/>
      <c r="F40" s="967">
        <f t="shared" si="2"/>
        <v>0</v>
      </c>
      <c r="G40" s="940"/>
      <c r="H40" s="942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1368"/>
      <c r="B42" s="1352"/>
      <c r="C42" s="1353"/>
      <c r="D42" s="965">
        <f>IF(A42&lt;&gt;0,VLOOKUP(A42,Transporte,8,FALSE),$J$1)</f>
        <v>0</v>
      </c>
      <c r="E42" s="966"/>
      <c r="F42" s="967">
        <f t="shared" si="2"/>
        <v>0</v>
      </c>
      <c r="G42" s="940"/>
      <c r="H42" s="942">
        <f t="shared" si="3"/>
        <v>0</v>
      </c>
      <c r="I42" s="379"/>
    </row>
    <row r="43" spans="1:9" x14ac:dyDescent="0.2">
      <c r="A43" s="1368"/>
      <c r="B43" s="1352"/>
      <c r="C43" s="1353"/>
      <c r="D43" s="965">
        <f>IF(A43&lt;&gt;0,VLOOKUP(A43,Transporte,8,FALSE),$J$1)</f>
        <v>0</v>
      </c>
      <c r="E43" s="966"/>
      <c r="F43" s="967">
        <f t="shared" si="2"/>
        <v>0</v>
      </c>
      <c r="G43" s="940"/>
      <c r="H43" s="942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5.1003850253459229</v>
      </c>
      <c r="G48" s="1083"/>
      <c r="H48" s="7">
        <f>IF(A48&lt;&gt;0,ROUND(D48/F48,2),$J$1)</f>
        <v>46823.54</v>
      </c>
      <c r="I48" s="69"/>
    </row>
    <row r="49" spans="1:9" x14ac:dyDescent="0.2">
      <c r="A49" s="1120"/>
      <c r="B49" s="1121"/>
      <c r="C49" s="1121"/>
      <c r="D49" s="1350">
        <f>IF(A49&lt;&gt;0,VLOOKUP(A49,Cuadrillas,7,FALSE),$J$1)</f>
        <v>0</v>
      </c>
      <c r="E49" s="1350"/>
      <c r="F49" s="1351"/>
      <c r="G49" s="1351"/>
      <c r="H49" s="171">
        <f>IF(A49&lt;&gt;0,ROUND(D49/F49,2),$J$1)</f>
        <v>0</v>
      </c>
      <c r="I49" s="297"/>
    </row>
    <row r="50" spans="1:9" x14ac:dyDescent="0.2">
      <c r="A50" s="1120"/>
      <c r="B50" s="1121"/>
      <c r="C50" s="1121"/>
      <c r="D50" s="1350">
        <f>IF(A50&lt;&gt;0,VLOOKUP(A50,Cuadrillas,7,FALSE),$J$1)</f>
        <v>0</v>
      </c>
      <c r="E50" s="1350"/>
      <c r="F50" s="1351"/>
      <c r="G50" s="1351"/>
      <c r="H50" s="171">
        <f>IF(A50&lt;&gt;0,ROUND(D50/F50,2),$J$1)</f>
        <v>0</v>
      </c>
      <c r="I50" s="69"/>
    </row>
    <row r="51" spans="1:9" x14ac:dyDescent="0.2">
      <c r="A51" s="1120"/>
      <c r="B51" s="1121"/>
      <c r="C51" s="1121"/>
      <c r="D51" s="1350">
        <f>IF(A51&lt;&gt;0,VLOOKUP(A51,Cuadrillas,7,FALSE),$J$1)</f>
        <v>0</v>
      </c>
      <c r="E51" s="1350"/>
      <c r="F51" s="1351"/>
      <c r="G51" s="1351"/>
      <c r="H51" s="171">
        <f>IF(A51&lt;&gt;0,ROUND(D51/F51,2),$J$1)</f>
        <v>0</v>
      </c>
      <c r="I51" s="301"/>
    </row>
    <row r="52" spans="1:9" x14ac:dyDescent="0.2">
      <c r="A52" s="1120"/>
      <c r="B52" s="1121"/>
      <c r="C52" s="1121"/>
      <c r="D52" s="1350">
        <f>IF(A52&lt;&gt;0,VLOOKUP(A52,Cuadrillas,7,FALSE),$J$1)</f>
        <v>0</v>
      </c>
      <c r="E52" s="1350"/>
      <c r="F52" s="1351"/>
      <c r="G52" s="1351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46823.54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46823.54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48:C48"/>
    <mergeCell ref="D47:E47"/>
    <mergeCell ref="A49:C49"/>
    <mergeCell ref="A1:C1"/>
    <mergeCell ref="B37:C37"/>
    <mergeCell ref="B41:C41"/>
    <mergeCell ref="A2:I2"/>
    <mergeCell ref="A3:I3"/>
    <mergeCell ref="H1:I1"/>
    <mergeCell ref="A12:C12"/>
    <mergeCell ref="A26:C26"/>
    <mergeCell ref="A16:C16"/>
    <mergeCell ref="A17:C17"/>
    <mergeCell ref="A19:C19"/>
    <mergeCell ref="A21:C21"/>
    <mergeCell ref="A14:C14"/>
    <mergeCell ref="A8:C8"/>
    <mergeCell ref="A9:C9"/>
    <mergeCell ref="A10:C10"/>
    <mergeCell ref="A46:I46"/>
    <mergeCell ref="A30:C30"/>
    <mergeCell ref="A31:C31"/>
    <mergeCell ref="A27:C27"/>
    <mergeCell ref="A11:C11"/>
    <mergeCell ref="A13:C13"/>
    <mergeCell ref="A15:C15"/>
    <mergeCell ref="A32:C32"/>
    <mergeCell ref="A28:C28"/>
    <mergeCell ref="A29:C29"/>
    <mergeCell ref="A20:C20"/>
    <mergeCell ref="A18:C18"/>
    <mergeCell ref="A53:H53"/>
    <mergeCell ref="D49:E49"/>
    <mergeCell ref="A38:C38"/>
    <mergeCell ref="A39:C39"/>
    <mergeCell ref="A40:C40"/>
    <mergeCell ref="A42:C42"/>
    <mergeCell ref="A43:C43"/>
    <mergeCell ref="A45:I45"/>
    <mergeCell ref="F47:G47"/>
    <mergeCell ref="F48:G48"/>
    <mergeCell ref="D52:E52"/>
    <mergeCell ref="F49:G49"/>
    <mergeCell ref="D48:E48"/>
    <mergeCell ref="A47:C47"/>
    <mergeCell ref="F52:G52"/>
    <mergeCell ref="F51:G51"/>
    <mergeCell ref="C5:I5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  <mergeCell ref="A55:H55"/>
    <mergeCell ref="A54:I54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080" t="s">
        <v>201</v>
      </c>
      <c r="B8" s="1081"/>
      <c r="C8" s="1081"/>
      <c r="D8" s="844" t="e">
        <f>IF(A8&lt;&gt;0,VLOOKUP(A8,Materiales,2,FALSE),$J$1)</f>
        <v>#REF!</v>
      </c>
      <c r="E8" s="12">
        <v>1</v>
      </c>
      <c r="F8" s="58" t="e">
        <f>IF(A8&lt;&gt;0,VLOOKUP(A8,Materiales,6,FALSE),$J$1)</f>
        <v>#REF!</v>
      </c>
      <c r="G8" s="58"/>
      <c r="H8" s="7" t="e">
        <f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>
        <f>IF(A9&lt;&gt;0,VLOOKUP(A9,Materiales,2,FALSE),$J$1)</f>
        <v>0</v>
      </c>
      <c r="E9" s="12"/>
      <c r="F9" s="58">
        <f>IF(A9&lt;&gt;0,VLOOKUP(A9,Materiales,6,FALSE),$J$1)</f>
        <v>0</v>
      </c>
      <c r="G9" s="58"/>
      <c r="H9" s="7">
        <f>IF(A9&lt;&gt;0,ROUND(E9*F9,2),$J$1)</f>
        <v>0</v>
      </c>
      <c r="I9" s="69"/>
    </row>
    <row r="10" spans="1:10" x14ac:dyDescent="0.2">
      <c r="A10" s="1080"/>
      <c r="B10" s="1081"/>
      <c r="C10" s="1081"/>
      <c r="D10" s="844">
        <f>IF(A10&lt;&gt;0,VLOOKUP(A10,Materiales,2,FALSE),$J$1)</f>
        <v>0</v>
      </c>
      <c r="E10" s="12"/>
      <c r="F10" s="58">
        <f>IF(A10&lt;&gt;0,VLOOKUP(A10,Materiales,6,FALSE),$J$1)</f>
        <v>0</v>
      </c>
      <c r="G10" s="58"/>
      <c r="H10" s="7"/>
      <c r="I10" s="69"/>
    </row>
    <row r="11" spans="1:10" x14ac:dyDescent="0.2">
      <c r="A11" s="1080"/>
      <c r="B11" s="1081"/>
      <c r="C11" s="1081"/>
      <c r="D11" s="844"/>
      <c r="E11" s="12"/>
      <c r="F11" s="58"/>
      <c r="G11" s="58"/>
      <c r="H11" s="7">
        <f t="shared" ref="H11:H21" si="0">IF(A11&lt;&gt;0,ROUND(E11*F11,2),$J$1)</f>
        <v>0</v>
      </c>
      <c r="I11" s="69"/>
    </row>
    <row r="12" spans="1:10" x14ac:dyDescent="0.2">
      <c r="A12" s="1080"/>
      <c r="B12" s="1081"/>
      <c r="C12" s="1081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213"/>
      <c r="B17" s="1214"/>
      <c r="C17" s="1214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84"/>
      <c r="B18" s="1385"/>
      <c r="C18" s="1386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942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902"/>
      <c r="C24" s="902"/>
      <c r="D24" s="902"/>
      <c r="E24" s="902"/>
      <c r="F24" s="902"/>
      <c r="G24" s="902"/>
      <c r="H24" s="902"/>
      <c r="I24" s="22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549">
        <v>1.7893677707114555</v>
      </c>
      <c r="E26" s="33"/>
      <c r="F26" s="12">
        <f>IF(A26&lt;&gt;0,VLOOKUP(A26,Equipos,6,FALSE),$J$1)</f>
        <v>3710</v>
      </c>
      <c r="G26" s="14">
        <v>1</v>
      </c>
      <c r="H26" s="7">
        <f t="shared" ref="H26:H32" si="1">IF(A26&lt;&gt;0,ROUND((F26/D26)*G26,2),$J$1)</f>
        <v>2073.36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2073.36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965"/>
      <c r="E37" s="966"/>
      <c r="F37" s="967"/>
      <c r="G37" s="940"/>
      <c r="H37" s="942"/>
      <c r="I37" s="343">
        <f>SUM(H38:H40)</f>
        <v>0</v>
      </c>
    </row>
    <row r="38" spans="1:9" x14ac:dyDescent="0.2">
      <c r="A38" s="1215"/>
      <c r="B38" s="1216"/>
      <c r="C38" s="1217"/>
      <c r="D38" s="965">
        <f>IF(A38&lt;&gt;0,VLOOKUP(A38,Transporte,8,FALSE),$J$1)</f>
        <v>0</v>
      </c>
      <c r="E38" s="966"/>
      <c r="F38" s="967">
        <f t="shared" ref="F38:F43" si="2">IF(A38&lt;&gt;0,VLOOKUP(A38,Transporte,2,FALSE),$J$1)</f>
        <v>0</v>
      </c>
      <c r="G38" s="940"/>
      <c r="H38" s="942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965">
        <f>IF(A39&lt;&gt;0,VLOOKUP(A39,Transporte,8,FALSE),$J$1)</f>
        <v>0</v>
      </c>
      <c r="E39" s="966"/>
      <c r="F39" s="967">
        <f t="shared" si="2"/>
        <v>0</v>
      </c>
      <c r="G39" s="940"/>
      <c r="H39" s="942">
        <f t="shared" si="3"/>
        <v>0</v>
      </c>
      <c r="I39" s="344"/>
    </row>
    <row r="40" spans="1:9" x14ac:dyDescent="0.2">
      <c r="A40" s="1215"/>
      <c r="B40" s="1216"/>
      <c r="C40" s="1217"/>
      <c r="D40" s="965">
        <f>IF(A40&lt;&gt;0,VLOOKUP(A40,Transporte,8,FALSE),$J$1)</f>
        <v>0</v>
      </c>
      <c r="E40" s="966"/>
      <c r="F40" s="967">
        <f t="shared" si="2"/>
        <v>0</v>
      </c>
      <c r="G40" s="940"/>
      <c r="H40" s="942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1381"/>
      <c r="B42" s="1382"/>
      <c r="C42" s="1383"/>
      <c r="D42" s="965">
        <f>IF(A42&lt;&gt;0,VLOOKUP(A42,Transporte,8,FALSE),$J$1)</f>
        <v>0</v>
      </c>
      <c r="E42" s="966"/>
      <c r="F42" s="967">
        <f t="shared" si="2"/>
        <v>0</v>
      </c>
      <c r="G42" s="940"/>
      <c r="H42" s="942">
        <f t="shared" si="3"/>
        <v>0</v>
      </c>
      <c r="I42" s="379"/>
    </row>
    <row r="43" spans="1:9" x14ac:dyDescent="0.2">
      <c r="A43" s="1381"/>
      <c r="B43" s="1382"/>
      <c r="C43" s="1383"/>
      <c r="D43" s="965">
        <f>IF(A43&lt;&gt;0,VLOOKUP(A43,Transporte,8,FALSE),$J$1)</f>
        <v>0</v>
      </c>
      <c r="E43" s="966"/>
      <c r="F43" s="967">
        <f t="shared" si="2"/>
        <v>0</v>
      </c>
      <c r="G43" s="940"/>
      <c r="H43" s="942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3.8252891046902744</v>
      </c>
      <c r="G48" s="1083"/>
      <c r="H48" s="7">
        <f>IF(A48&lt;&gt;0,ROUND(D48/F48,2),$J$1)</f>
        <v>62431.38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62431.38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62431.38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D48:E48"/>
    <mergeCell ref="A47:C47"/>
    <mergeCell ref="A48:C48"/>
    <mergeCell ref="D47:E47"/>
    <mergeCell ref="A30:C30"/>
    <mergeCell ref="A31:C31"/>
    <mergeCell ref="A32:C32"/>
    <mergeCell ref="A45:I45"/>
    <mergeCell ref="F47:G47"/>
    <mergeCell ref="F48:G48"/>
    <mergeCell ref="A46:I46"/>
    <mergeCell ref="B37:C37"/>
    <mergeCell ref="B41:C41"/>
    <mergeCell ref="A38:C38"/>
    <mergeCell ref="A39:C39"/>
    <mergeCell ref="A40:C40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F52:G52"/>
    <mergeCell ref="F51:G51"/>
    <mergeCell ref="D52:E52"/>
    <mergeCell ref="A57:G57"/>
    <mergeCell ref="A55:H55"/>
    <mergeCell ref="A58:C58"/>
    <mergeCell ref="D58:E58"/>
    <mergeCell ref="F58:I58"/>
    <mergeCell ref="A26:C26"/>
    <mergeCell ref="A27:C27"/>
    <mergeCell ref="A15:C15"/>
    <mergeCell ref="A16:C16"/>
    <mergeCell ref="A19:C19"/>
    <mergeCell ref="A21:C21"/>
    <mergeCell ref="A18:C18"/>
    <mergeCell ref="A20:C20"/>
    <mergeCell ref="A17:C17"/>
    <mergeCell ref="F49:G49"/>
    <mergeCell ref="A49:C49"/>
    <mergeCell ref="D49:E49"/>
    <mergeCell ref="A54:I54"/>
    <mergeCell ref="A53:H53"/>
    <mergeCell ref="A28:C28"/>
    <mergeCell ref="A13:C13"/>
    <mergeCell ref="A14:C14"/>
    <mergeCell ref="A1:C1"/>
    <mergeCell ref="A42:C42"/>
    <mergeCell ref="A43:C43"/>
    <mergeCell ref="A2:I2"/>
    <mergeCell ref="A3:I3"/>
    <mergeCell ref="A29:C29"/>
    <mergeCell ref="C5:I5"/>
    <mergeCell ref="H1:I1"/>
    <mergeCell ref="A12:C12"/>
    <mergeCell ref="A8:C8"/>
    <mergeCell ref="A9:C9"/>
    <mergeCell ref="A10:C10"/>
    <mergeCell ref="A11:C11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FF00"/>
    <pageSetUpPr fitToPage="1"/>
  </sheetPr>
  <dimension ref="A1:K62"/>
  <sheetViews>
    <sheetView view="pageBreakPreview" topLeftCell="A40" zoomScale="85" zoomScaleNormal="100" zoomScaleSheetLayoutView="85" workbookViewId="0">
      <selection activeCell="A37" sqref="A37:C37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9.140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20.25" thickTop="1" x14ac:dyDescent="0.2">
      <c r="A1" s="1131"/>
      <c r="B1" s="1220"/>
      <c r="C1" s="1220"/>
      <c r="D1" s="93"/>
      <c r="E1" s="93"/>
      <c r="F1" s="93"/>
      <c r="G1" s="93"/>
      <c r="H1" s="1129"/>
      <c r="I1" s="1130"/>
      <c r="J1" s="34" t="s">
        <v>2212</v>
      </c>
    </row>
    <row r="2" spans="1:10" s="9" customFormat="1" ht="15" customHeight="1" x14ac:dyDescent="0.2">
      <c r="A2" s="117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30.7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47" t="s">
        <v>2297</v>
      </c>
      <c r="C5" s="1227" t="s">
        <v>293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155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2306</v>
      </c>
      <c r="G7" s="254"/>
      <c r="H7" s="879" t="s">
        <v>2216</v>
      </c>
      <c r="I7" s="72"/>
    </row>
    <row r="8" spans="1:10" x14ac:dyDescent="0.2">
      <c r="A8" s="1215" t="s">
        <v>210</v>
      </c>
      <c r="B8" s="1216"/>
      <c r="C8" s="1217"/>
      <c r="D8" s="851" t="e">
        <f t="shared" ref="D8:D18" si="0">IF(A8&lt;&gt;0,VLOOKUP(A8,Materiales,2,FALSE),$J$1)</f>
        <v>#REF!</v>
      </c>
      <c r="E8" s="12">
        <v>228</v>
      </c>
      <c r="F8" s="21" t="e">
        <f t="shared" ref="F8:F18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154</v>
      </c>
      <c r="B9" s="1216"/>
      <c r="C9" s="1217"/>
      <c r="D9" s="851" t="e">
        <f t="shared" si="0"/>
        <v>#REF!</v>
      </c>
      <c r="E9" s="52">
        <v>1.2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139</v>
      </c>
      <c r="B10" s="1216"/>
      <c r="C10" s="1217"/>
      <c r="D10" s="851" t="e">
        <f t="shared" si="0"/>
        <v>#REF!</v>
      </c>
      <c r="E10" s="12">
        <v>233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 t="shared" si="1"/>
        <v>-</v>
      </c>
      <c r="G11" s="22"/>
      <c r="H11" s="8" t="str">
        <f t="shared" si="2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si="1"/>
        <v>-</v>
      </c>
      <c r="G12" s="22"/>
      <c r="H12" s="8" t="str">
        <f t="shared" si="2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1"/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1"/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</v>
      </c>
      <c r="E23" s="28"/>
      <c r="F23" s="12">
        <f t="shared" ref="F23:F29" si="3">IF(A23&lt;&gt;0,VLOOKUP(A23,Equipos,6,FALSE),$J$1)</f>
        <v>3710</v>
      </c>
      <c r="G23" s="14">
        <v>0.75</v>
      </c>
      <c r="H23" s="8">
        <f t="shared" ref="H23:H29" si="4">IF(A23&lt;&gt;0,ROUND((F23/D23)*G23,2),$J$1)</f>
        <v>2782.5</v>
      </c>
      <c r="I23" s="69"/>
    </row>
    <row r="24" spans="1:9" x14ac:dyDescent="0.2">
      <c r="A24" s="1215" t="s">
        <v>478</v>
      </c>
      <c r="B24" s="1216"/>
      <c r="C24" s="1217"/>
      <c r="D24" s="26">
        <v>0.3</v>
      </c>
      <c r="E24" s="28"/>
      <c r="F24" s="12">
        <f t="shared" si="3"/>
        <v>63600</v>
      </c>
      <c r="G24" s="14">
        <v>0.05</v>
      </c>
      <c r="H24" s="8">
        <f t="shared" si="4"/>
        <v>10600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13382.5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51"/>
      <c r="G34" s="12"/>
      <c r="H34" s="8"/>
      <c r="I34" s="314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69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69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14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69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48</v>
      </c>
      <c r="B45" s="1216"/>
      <c r="C45" s="1217"/>
      <c r="D45" s="1225">
        <f>IF(A45&lt;&gt;0,VLOOKUP(A45,Cuadrillas,7,FALSE),$J$1)</f>
        <v>329249.03000000003</v>
      </c>
      <c r="E45" s="1226"/>
      <c r="F45" s="1221">
        <v>5</v>
      </c>
      <c r="G45" s="1222"/>
      <c r="H45" s="8">
        <f>IF(A45&lt;&gt;0,ROUND(D45/F45,2),$J$1)</f>
        <v>65849.81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65849.81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65849.81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v>0.2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05" t="e">
        <f>I54+F55</f>
        <v>#REF!</v>
      </c>
      <c r="I56" s="106"/>
    </row>
    <row r="57" spans="1:11" ht="14.25" thickTop="1" thickBot="1" x14ac:dyDescent="0.25"/>
    <row r="58" spans="1:11" ht="13.5" thickTop="1" x14ac:dyDescent="0.2">
      <c r="A58" s="983" t="str">
        <f>+'Datos entrada'!$B$5</f>
        <v>INGENIERO CIVIL HEBER EDUARDO YEPES VILLOTA</v>
      </c>
      <c r="B58" s="983"/>
      <c r="C58" s="983"/>
      <c r="D58" s="983"/>
      <c r="E58" s="983"/>
      <c r="F58" s="983"/>
      <c r="G58" s="983"/>
      <c r="H58" s="983"/>
      <c r="I58" s="983"/>
    </row>
    <row r="59" spans="1:11" x14ac:dyDescent="0.2">
      <c r="A59" s="984"/>
      <c r="B59" s="984"/>
      <c r="C59" s="984"/>
      <c r="D59" s="984"/>
      <c r="E59" s="984"/>
      <c r="F59" s="984"/>
      <c r="G59" s="984"/>
      <c r="H59" s="984"/>
      <c r="I59" s="984"/>
    </row>
    <row r="60" spans="1:11" x14ac:dyDescent="0.2">
      <c r="A60" s="984"/>
      <c r="B60" s="984"/>
      <c r="C60" s="984"/>
      <c r="D60" s="984"/>
      <c r="E60" s="984"/>
      <c r="F60" s="984"/>
      <c r="G60" s="984"/>
      <c r="H60" s="984"/>
      <c r="I60" s="984"/>
    </row>
    <row r="61" spans="1:11" x14ac:dyDescent="0.2">
      <c r="A61" s="984"/>
      <c r="B61" s="984"/>
      <c r="C61" s="984"/>
      <c r="D61" s="984"/>
      <c r="E61" s="984"/>
      <c r="F61" s="984"/>
      <c r="G61" s="984"/>
      <c r="H61" s="984"/>
      <c r="I61" s="984"/>
    </row>
    <row r="62" spans="1:11" x14ac:dyDescent="0.2">
      <c r="A62" s="1234"/>
      <c r="B62" s="1234"/>
      <c r="C62" s="1234"/>
      <c r="D62" s="1234"/>
    </row>
  </sheetData>
  <customSheetViews>
    <customSheetView guid="{93F324B6-F965-4669-93FF-DBB148734A46}" fitToPage="1">
      <selection activeCell="L4" sqref="L4"/>
      <pageMargins left="0" right="0" top="0" bottom="0" header="0" footer="0"/>
      <printOptions horizontalCentered="1" verticalCentered="1"/>
      <pageSetup scale="75" orientation="portrait" blackAndWhite="1" errors="blank" r:id="rId1"/>
      <headerFooter alignWithMargins="0">
        <oddFooter xml:space="preserve">&amp;C  </oddFooter>
      </headerFooter>
    </customSheetView>
  </customSheetViews>
  <mergeCells count="44">
    <mergeCell ref="F55:I55"/>
    <mergeCell ref="A53:H53"/>
    <mergeCell ref="B34:C34"/>
    <mergeCell ref="B38:C38"/>
    <mergeCell ref="A41:H41"/>
    <mergeCell ref="F49:G49"/>
    <mergeCell ref="A42:I42"/>
    <mergeCell ref="F44:G44"/>
    <mergeCell ref="F45:G45"/>
    <mergeCell ref="A43:I43"/>
    <mergeCell ref="D44:E44"/>
    <mergeCell ref="D45:E45"/>
    <mergeCell ref="A44:C44"/>
    <mergeCell ref="A45:C45"/>
    <mergeCell ref="F46:G46"/>
    <mergeCell ref="D47:E47"/>
    <mergeCell ref="D48:E48"/>
    <mergeCell ref="A46:C46"/>
    <mergeCell ref="H1:I1"/>
    <mergeCell ref="A24:C24"/>
    <mergeCell ref="A9:C9"/>
    <mergeCell ref="A10:C10"/>
    <mergeCell ref="A11:C11"/>
    <mergeCell ref="A23:C23"/>
    <mergeCell ref="C5:I5"/>
    <mergeCell ref="A8:C8"/>
    <mergeCell ref="A1:C1"/>
    <mergeCell ref="A4:E4"/>
    <mergeCell ref="A62:D62"/>
    <mergeCell ref="D46:E46"/>
    <mergeCell ref="F47:G47"/>
    <mergeCell ref="D49:E49"/>
    <mergeCell ref="A49:C49"/>
    <mergeCell ref="F48:G48"/>
    <mergeCell ref="A47:C47"/>
    <mergeCell ref="A48:C48"/>
    <mergeCell ref="A56:G56"/>
    <mergeCell ref="A54:G54"/>
    <mergeCell ref="A52:H52"/>
    <mergeCell ref="A51:I51"/>
    <mergeCell ref="A50:H50"/>
    <mergeCell ref="A55:C55"/>
    <mergeCell ref="D55:E55"/>
    <mergeCell ref="A58:I61"/>
  </mergeCells>
  <phoneticPr fontId="0" type="noConversion"/>
  <dataValidations count="5">
    <dataValidation type="list" allowBlank="1" showInputMessage="1" showErrorMessage="1" sqref="A12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:A11">
      <formula1>Descripción</formula1>
    </dataValidation>
    <dataValidation type="list" allowBlank="1" showInputMessage="1" showErrorMessage="1" sqref="B25:C29 A23:A29 C35:C37 B34:B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3" orientation="portrait" blackAndWhite="1" errors="blank" r:id="rId2"/>
  <headerFooter alignWithMargins="0">
    <oddFooter xml:space="preserve">&amp;C  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080" t="s">
        <v>202</v>
      </c>
      <c r="B8" s="1081"/>
      <c r="C8" s="1081"/>
      <c r="D8" s="844" t="e">
        <f>IF(A8&lt;&gt;0,VLOOKUP(A8,Materiales,2,FALSE),$J$1)</f>
        <v>#REF!</v>
      </c>
      <c r="E8" s="12">
        <v>1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/>
      <c r="E9" s="12"/>
      <c r="F9" s="58"/>
      <c r="G9" s="58"/>
      <c r="H9" s="7">
        <f t="shared" si="0"/>
        <v>0</v>
      </c>
      <c r="I9" s="69"/>
    </row>
    <row r="10" spans="1:10" x14ac:dyDescent="0.2">
      <c r="A10" s="1080"/>
      <c r="B10" s="1081"/>
      <c r="C10" s="1081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080"/>
      <c r="B11" s="1081"/>
      <c r="C11" s="1081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080"/>
      <c r="B12" s="1081"/>
      <c r="C12" s="1081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43"/>
      <c r="E15" s="52"/>
      <c r="F15" s="838"/>
      <c r="G15" s="838"/>
      <c r="H15" s="171">
        <f t="shared" si="0"/>
        <v>0</v>
      </c>
      <c r="I15" s="69"/>
    </row>
    <row r="16" spans="1:10" x14ac:dyDescent="0.2">
      <c r="A16" s="1080"/>
      <c r="B16" s="1081"/>
      <c r="C16" s="1081"/>
      <c r="D16" s="43"/>
      <c r="E16" s="52"/>
      <c r="F16" s="838"/>
      <c r="G16" s="838"/>
      <c r="H16" s="171">
        <f t="shared" si="0"/>
        <v>0</v>
      </c>
      <c r="I16" s="69"/>
    </row>
    <row r="17" spans="1:9" x14ac:dyDescent="0.2">
      <c r="A17" s="1080"/>
      <c r="B17" s="1081"/>
      <c r="C17" s="1081"/>
      <c r="D17" s="43"/>
      <c r="E17" s="52"/>
      <c r="F17" s="838"/>
      <c r="G17" s="838"/>
      <c r="H17" s="171">
        <f t="shared" si="0"/>
        <v>0</v>
      </c>
      <c r="I17" s="69"/>
    </row>
    <row r="18" spans="1:9" x14ac:dyDescent="0.2">
      <c r="A18" s="1287"/>
      <c r="B18" s="1288"/>
      <c r="C18" s="1289"/>
      <c r="D18" s="939"/>
      <c r="E18" s="940"/>
      <c r="F18" s="941"/>
      <c r="G18" s="941"/>
      <c r="H18" s="942">
        <f t="shared" si="0"/>
        <v>0</v>
      </c>
      <c r="I18" s="325"/>
    </row>
    <row r="19" spans="1:9" x14ac:dyDescent="0.2">
      <c r="A19" s="1377"/>
      <c r="B19" s="1378"/>
      <c r="C19" s="1378"/>
      <c r="D19" s="939"/>
      <c r="E19" s="940"/>
      <c r="F19" s="941"/>
      <c r="G19" s="941"/>
      <c r="H19" s="942">
        <f t="shared" si="0"/>
        <v>0</v>
      </c>
      <c r="I19" s="325"/>
    </row>
    <row r="20" spans="1:9" x14ac:dyDescent="0.2">
      <c r="A20" s="1287"/>
      <c r="B20" s="1288"/>
      <c r="C20" s="1289"/>
      <c r="D20" s="939"/>
      <c r="E20" s="940"/>
      <c r="F20" s="941"/>
      <c r="G20" s="941"/>
      <c r="H20" s="942">
        <f t="shared" si="0"/>
        <v>0</v>
      </c>
      <c r="I20" s="325"/>
    </row>
    <row r="21" spans="1:9" x14ac:dyDescent="0.2">
      <c r="A21" s="1377"/>
      <c r="B21" s="1378"/>
      <c r="C21" s="1378"/>
      <c r="D21" s="939"/>
      <c r="E21" s="940"/>
      <c r="F21" s="941"/>
      <c r="G21" s="941"/>
      <c r="H21" s="942">
        <f t="shared" si="0"/>
        <v>0</v>
      </c>
      <c r="I21" s="373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549">
        <v>1.7893677707114555</v>
      </c>
      <c r="E26" s="33"/>
      <c r="F26" s="12">
        <f>IF(A26&lt;&gt;0,VLOOKUP(A26,Equipos,6,FALSE),$J$1)</f>
        <v>3710</v>
      </c>
      <c r="G26" s="14">
        <v>1</v>
      </c>
      <c r="H26" s="7">
        <f t="shared" ref="H26:H32" si="1">IF(A26&lt;&gt;0,ROUND((F26/D26)*G26,2),$J$1)</f>
        <v>2073.36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56"/>
      <c r="B29" s="1081"/>
      <c r="C29" s="1081"/>
      <c r="D29" s="33"/>
      <c r="E29" s="33"/>
      <c r="F29" s="12"/>
      <c r="G29" s="14"/>
      <c r="H29" s="7">
        <f t="shared" si="1"/>
        <v>0</v>
      </c>
      <c r="I29" s="297"/>
    </row>
    <row r="30" spans="1:9" x14ac:dyDescent="0.2">
      <c r="A30" s="1080"/>
      <c r="B30" s="1081"/>
      <c r="C30" s="1081"/>
      <c r="D30" s="33"/>
      <c r="E30" s="33"/>
      <c r="F30" s="12"/>
      <c r="G30" s="14"/>
      <c r="H30" s="7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295" t="s">
        <v>2221</v>
      </c>
      <c r="D33" s="3"/>
      <c r="E33" s="872"/>
      <c r="F33" s="872"/>
      <c r="G33" s="872"/>
      <c r="H33" s="873"/>
      <c r="I33" s="291">
        <f>SUM(H26:H32)</f>
        <v>2073.36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965"/>
      <c r="E37" s="966"/>
      <c r="F37" s="967"/>
      <c r="G37" s="940"/>
      <c r="H37" s="942"/>
      <c r="I37" s="343">
        <f>SUM(H38:H40)</f>
        <v>0</v>
      </c>
    </row>
    <row r="38" spans="1:9" x14ac:dyDescent="0.2">
      <c r="A38" s="1086"/>
      <c r="B38" s="1087"/>
      <c r="C38" s="1119"/>
      <c r="D38" s="965">
        <f>IF(A38&lt;&gt;0,VLOOKUP(A38,Transporte,8,FALSE),$J$1)</f>
        <v>0</v>
      </c>
      <c r="E38" s="966"/>
      <c r="F38" s="967">
        <f t="shared" ref="F38:F43" si="2">IF(A38&lt;&gt;0,VLOOKUP(A38,Transporte,2,FALSE),$J$1)</f>
        <v>0</v>
      </c>
      <c r="G38" s="940"/>
      <c r="H38" s="942">
        <f t="shared" ref="H38:H43" si="3">IF(A38&lt;&gt;0,D38/F38*G38,$J$1)</f>
        <v>0</v>
      </c>
      <c r="I38" s="344"/>
    </row>
    <row r="39" spans="1:9" x14ac:dyDescent="0.2">
      <c r="A39" s="1086"/>
      <c r="B39" s="1087"/>
      <c r="C39" s="1119"/>
      <c r="D39" s="965">
        <f>IF(A39&lt;&gt;0,VLOOKUP(A39,Transporte,8,FALSE),$J$1)</f>
        <v>0</v>
      </c>
      <c r="E39" s="966"/>
      <c r="F39" s="967">
        <f t="shared" si="2"/>
        <v>0</v>
      </c>
      <c r="G39" s="940"/>
      <c r="H39" s="942">
        <f t="shared" si="3"/>
        <v>0</v>
      </c>
      <c r="I39" s="344"/>
    </row>
    <row r="40" spans="1:9" x14ac:dyDescent="0.2">
      <c r="A40" s="1086"/>
      <c r="B40" s="1087"/>
      <c r="C40" s="1119"/>
      <c r="D40" s="965">
        <f>IF(A40&lt;&gt;0,VLOOKUP(A40,Transporte,8,FALSE),$J$1)</f>
        <v>0</v>
      </c>
      <c r="E40" s="966"/>
      <c r="F40" s="967">
        <f t="shared" si="2"/>
        <v>0</v>
      </c>
      <c r="G40" s="940"/>
      <c r="H40" s="942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1368"/>
      <c r="B42" s="1352"/>
      <c r="C42" s="1353"/>
      <c r="D42" s="965">
        <f>IF(A42&lt;&gt;0,VLOOKUP(A42,Transporte,8,FALSE),$J$1)</f>
        <v>0</v>
      </c>
      <c r="E42" s="966"/>
      <c r="F42" s="967">
        <f t="shared" si="2"/>
        <v>0</v>
      </c>
      <c r="G42" s="940"/>
      <c r="H42" s="942">
        <f t="shared" si="3"/>
        <v>0</v>
      </c>
      <c r="I42" s="379"/>
    </row>
    <row r="43" spans="1:9" x14ac:dyDescent="0.2">
      <c r="A43" s="1368"/>
      <c r="B43" s="1352"/>
      <c r="C43" s="1353"/>
      <c r="D43" s="965">
        <f>IF(A43&lt;&gt;0,VLOOKUP(A43,Transporte,8,FALSE),$J$1)</f>
        <v>0</v>
      </c>
      <c r="E43" s="966"/>
      <c r="F43" s="967">
        <f t="shared" si="2"/>
        <v>0</v>
      </c>
      <c r="G43" s="940"/>
      <c r="H43" s="942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387" t="s">
        <v>554</v>
      </c>
      <c r="B46" s="1388"/>
      <c r="C46" s="1388"/>
      <c r="D46" s="1388"/>
      <c r="E46" s="1388"/>
      <c r="F46" s="1388"/>
      <c r="G46" s="1388"/>
      <c r="H46" s="1388"/>
      <c r="I46" s="1389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3.4002572228761618</v>
      </c>
      <c r="G48" s="1083"/>
      <c r="H48" s="7">
        <f>IF(A48&lt;&gt;0,ROUND(D48/F48,2),$J$1)</f>
        <v>70235.3</v>
      </c>
      <c r="I48" s="69"/>
    </row>
    <row r="49" spans="1:9" x14ac:dyDescent="0.2">
      <c r="A49" s="1256"/>
      <c r="B49" s="1257"/>
      <c r="C49" s="1257"/>
      <c r="D49" s="1350">
        <f>IF(A49&lt;&gt;0,VLOOKUP(A49,Cuadrillas,7,FALSE),$J$1)</f>
        <v>0</v>
      </c>
      <c r="E49" s="1350"/>
      <c r="F49" s="1351"/>
      <c r="G49" s="1351"/>
      <c r="H49" s="171">
        <f>IF(A49&lt;&gt;0,ROUND(D49/F49,2),$J$1)</f>
        <v>0</v>
      </c>
      <c r="I49" s="297"/>
    </row>
    <row r="50" spans="1:9" x14ac:dyDescent="0.2">
      <c r="A50" s="1080"/>
      <c r="B50" s="1081"/>
      <c r="C50" s="1081"/>
      <c r="D50" s="1350">
        <f>IF(A50&lt;&gt;0,VLOOKUP(A50,Cuadrillas,7,FALSE),$J$1)</f>
        <v>0</v>
      </c>
      <c r="E50" s="1350"/>
      <c r="F50" s="1351"/>
      <c r="G50" s="1351"/>
      <c r="H50" s="171">
        <f>IF(A50&lt;&gt;0,ROUND(D50/F50,2),$J$1)</f>
        <v>0</v>
      </c>
      <c r="I50" s="69"/>
    </row>
    <row r="51" spans="1:9" x14ac:dyDescent="0.2">
      <c r="A51" s="1256"/>
      <c r="B51" s="1257"/>
      <c r="C51" s="1257"/>
      <c r="D51" s="1350">
        <f>IF(A51&lt;&gt;0,VLOOKUP(A51,Cuadrillas,7,FALSE),$J$1)</f>
        <v>0</v>
      </c>
      <c r="E51" s="1350"/>
      <c r="F51" s="1351"/>
      <c r="G51" s="1351"/>
      <c r="H51" s="171">
        <f>IF(A51&lt;&gt;0,ROUND(D51/F51,2),$J$1)</f>
        <v>0</v>
      </c>
      <c r="I51" s="301"/>
    </row>
    <row r="52" spans="1:9" x14ac:dyDescent="0.2">
      <c r="A52" s="1256"/>
      <c r="B52" s="1257"/>
      <c r="C52" s="1257"/>
      <c r="D52" s="1350">
        <f>IF(A52&lt;&gt;0,VLOOKUP(A52,Cuadrillas,7,FALSE),$J$1)</f>
        <v>0</v>
      </c>
      <c r="E52" s="1350"/>
      <c r="F52" s="1351"/>
      <c r="G52" s="1351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70235.3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70235.3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48:C48"/>
    <mergeCell ref="D47:E47"/>
    <mergeCell ref="A49:C49"/>
    <mergeCell ref="A1:C1"/>
    <mergeCell ref="B37:C37"/>
    <mergeCell ref="B41:C41"/>
    <mergeCell ref="A2:I2"/>
    <mergeCell ref="A3:I3"/>
    <mergeCell ref="H1:I1"/>
    <mergeCell ref="A12:C12"/>
    <mergeCell ref="A26:C26"/>
    <mergeCell ref="A16:C16"/>
    <mergeCell ref="A17:C17"/>
    <mergeCell ref="A19:C19"/>
    <mergeCell ref="A21:C21"/>
    <mergeCell ref="A14:C14"/>
    <mergeCell ref="A8:C8"/>
    <mergeCell ref="A9:C9"/>
    <mergeCell ref="A10:C10"/>
    <mergeCell ref="A46:I46"/>
    <mergeCell ref="A30:C30"/>
    <mergeCell ref="A31:C31"/>
    <mergeCell ref="A27:C27"/>
    <mergeCell ref="A11:C11"/>
    <mergeCell ref="A13:C13"/>
    <mergeCell ref="A15:C15"/>
    <mergeCell ref="A32:C32"/>
    <mergeCell ref="A28:C28"/>
    <mergeCell ref="A29:C29"/>
    <mergeCell ref="A18:C18"/>
    <mergeCell ref="A20:C20"/>
    <mergeCell ref="A53:H53"/>
    <mergeCell ref="D49:E49"/>
    <mergeCell ref="A42:C42"/>
    <mergeCell ref="A43:C43"/>
    <mergeCell ref="A38:C38"/>
    <mergeCell ref="A39:C39"/>
    <mergeCell ref="A40:C40"/>
    <mergeCell ref="A45:I45"/>
    <mergeCell ref="F47:G47"/>
    <mergeCell ref="F48:G48"/>
    <mergeCell ref="D52:E52"/>
    <mergeCell ref="F49:G49"/>
    <mergeCell ref="D48:E48"/>
    <mergeCell ref="A47:C47"/>
    <mergeCell ref="F52:G52"/>
    <mergeCell ref="F51:G51"/>
    <mergeCell ref="C5:I5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  <mergeCell ref="A55:H55"/>
    <mergeCell ref="A54:I54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080" t="s">
        <v>366</v>
      </c>
      <c r="B8" s="1081"/>
      <c r="C8" s="1081"/>
      <c r="D8" s="844" t="e">
        <f>IF(A8&lt;&gt;0,VLOOKUP(A8,Materiales,2,FALSE),$J$1)</f>
        <v>#REF!</v>
      </c>
      <c r="E8" s="12">
        <v>1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/>
      <c r="E9" s="12"/>
      <c r="F9" s="58"/>
      <c r="G9" s="58"/>
      <c r="H9" s="7">
        <f t="shared" si="0"/>
        <v>0</v>
      </c>
      <c r="I9" s="69"/>
    </row>
    <row r="10" spans="1:10" x14ac:dyDescent="0.2">
      <c r="A10" s="1080"/>
      <c r="B10" s="1081"/>
      <c r="C10" s="1081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080"/>
      <c r="B11" s="1081"/>
      <c r="C11" s="1081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080"/>
      <c r="B12" s="1081"/>
      <c r="C12" s="1081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68"/>
      <c r="B18" s="1379"/>
      <c r="C18" s="1380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549">
        <v>1.7893634375380656</v>
      </c>
      <c r="E26" s="33"/>
      <c r="F26" s="12">
        <f>IF(A26&lt;&gt;0,VLOOKUP(A26,Equipos,6,FALSE),$J$1)</f>
        <v>3710</v>
      </c>
      <c r="G26" s="14">
        <v>1</v>
      </c>
      <c r="H26" s="171">
        <f t="shared" ref="H26:H32" si="1">IF(A26&lt;&gt;0,ROUND((F26/D26)*G26,2),$J$1)</f>
        <v>2073.36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171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171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94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94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942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942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2073.36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206"/>
      <c r="C35" s="207"/>
      <c r="D35" s="902"/>
      <c r="E35" s="902"/>
      <c r="F35" s="902"/>
      <c r="G35" s="902"/>
      <c r="H35" s="902"/>
      <c r="I35" s="903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965"/>
      <c r="E37" s="966"/>
      <c r="F37" s="967"/>
      <c r="G37" s="940"/>
      <c r="H37" s="942"/>
      <c r="I37" s="343">
        <f>SUM(H38:H40)</f>
        <v>0</v>
      </c>
    </row>
    <row r="38" spans="1:9" x14ac:dyDescent="0.2">
      <c r="A38" s="1215"/>
      <c r="B38" s="1216"/>
      <c r="C38" s="1217"/>
      <c r="D38" s="965">
        <f>IF(A38&lt;&gt;0,VLOOKUP(A38,Transporte,8,FALSE),$J$1)</f>
        <v>0</v>
      </c>
      <c r="E38" s="966"/>
      <c r="F38" s="967">
        <f t="shared" ref="F38:F43" si="2">IF(A38&lt;&gt;0,VLOOKUP(A38,Transporte,2,FALSE),$J$1)</f>
        <v>0</v>
      </c>
      <c r="G38" s="940"/>
      <c r="H38" s="942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965">
        <f>IF(A39&lt;&gt;0,VLOOKUP(A39,Transporte,8,FALSE),$J$1)</f>
        <v>0</v>
      </c>
      <c r="E39" s="966"/>
      <c r="F39" s="967">
        <f t="shared" si="2"/>
        <v>0</v>
      </c>
      <c r="G39" s="940"/>
      <c r="H39" s="942">
        <f t="shared" si="3"/>
        <v>0</v>
      </c>
      <c r="I39" s="344"/>
    </row>
    <row r="40" spans="1:9" x14ac:dyDescent="0.2">
      <c r="A40" s="1215"/>
      <c r="B40" s="1216"/>
      <c r="C40" s="1217"/>
      <c r="D40" s="965">
        <f>IF(A40&lt;&gt;0,VLOOKUP(A40,Transporte,8,FALSE),$J$1)</f>
        <v>0</v>
      </c>
      <c r="E40" s="966"/>
      <c r="F40" s="967">
        <f t="shared" si="2"/>
        <v>0</v>
      </c>
      <c r="G40" s="940"/>
      <c r="H40" s="942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1368"/>
      <c r="B42" s="1352"/>
      <c r="C42" s="1353"/>
      <c r="D42" s="965">
        <f>IF(A42&lt;&gt;0,VLOOKUP(A42,Transporte,8,FALSE),$J$1)</f>
        <v>0</v>
      </c>
      <c r="E42" s="966"/>
      <c r="F42" s="967">
        <f t="shared" si="2"/>
        <v>0</v>
      </c>
      <c r="G42" s="940"/>
      <c r="H42" s="942">
        <f t="shared" si="3"/>
        <v>0</v>
      </c>
      <c r="I42" s="393"/>
    </row>
    <row r="43" spans="1:9" x14ac:dyDescent="0.2">
      <c r="A43" s="1368"/>
      <c r="B43" s="1352"/>
      <c r="C43" s="1353"/>
      <c r="D43" s="965">
        <f>IF(A43&lt;&gt;0,VLOOKUP(A43,Transporte,8,FALSE),$J$1)</f>
        <v>0</v>
      </c>
      <c r="E43" s="966"/>
      <c r="F43" s="967">
        <f t="shared" si="2"/>
        <v>0</v>
      </c>
      <c r="G43" s="940"/>
      <c r="H43" s="942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SUM(H37:H43)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1.5301157033819308</v>
      </c>
      <c r="G48" s="1083"/>
      <c r="H48" s="7">
        <f>IF(A48&lt;&gt;0,ROUND(D48/F48,2),$J$1)</f>
        <v>156078.45000000001</v>
      </c>
      <c r="I48" s="69"/>
    </row>
    <row r="49" spans="1:9" x14ac:dyDescent="0.2">
      <c r="A49" s="1256"/>
      <c r="B49" s="1257"/>
      <c r="C49" s="1257"/>
      <c r="D49" s="1350">
        <f>IF(A49&lt;&gt;0,VLOOKUP(A49,Cuadrillas,7,FALSE),$J$1)</f>
        <v>0</v>
      </c>
      <c r="E49" s="1350"/>
      <c r="F49" s="1351"/>
      <c r="G49" s="1351"/>
      <c r="H49" s="171">
        <f>IF(A49&lt;&gt;0,ROUND(D49/F49,2),$J$1)</f>
        <v>0</v>
      </c>
      <c r="I49" s="297"/>
    </row>
    <row r="50" spans="1:9" x14ac:dyDescent="0.2">
      <c r="A50" s="1080"/>
      <c r="B50" s="1081"/>
      <c r="C50" s="1081"/>
      <c r="D50" s="1350">
        <f>IF(A50&lt;&gt;0,VLOOKUP(A50,Cuadrillas,7,FALSE),$J$1)</f>
        <v>0</v>
      </c>
      <c r="E50" s="1350"/>
      <c r="F50" s="1351"/>
      <c r="G50" s="1351"/>
      <c r="H50" s="171">
        <f>IF(A50&lt;&gt;0,ROUND(D50/F50,2),$J$1)</f>
        <v>0</v>
      </c>
      <c r="I50" s="69"/>
    </row>
    <row r="51" spans="1:9" x14ac:dyDescent="0.2">
      <c r="A51" s="1256"/>
      <c r="B51" s="1257"/>
      <c r="C51" s="1257"/>
      <c r="D51" s="1350">
        <f>IF(A51&lt;&gt;0,VLOOKUP(A51,Cuadrillas,7,FALSE),$J$1)</f>
        <v>0</v>
      </c>
      <c r="E51" s="1350"/>
      <c r="F51" s="1351"/>
      <c r="G51" s="1351"/>
      <c r="H51" s="171">
        <f>IF(A51&lt;&gt;0,ROUND(D51/F51,2),$J$1)</f>
        <v>0</v>
      </c>
      <c r="I51" s="301"/>
    </row>
    <row r="52" spans="1:9" x14ac:dyDescent="0.2">
      <c r="A52" s="1256"/>
      <c r="B52" s="1257"/>
      <c r="C52" s="1257"/>
      <c r="D52" s="1350">
        <f>IF(A52&lt;&gt;0,VLOOKUP(A52,Cuadrillas,7,FALSE),$J$1)</f>
        <v>0</v>
      </c>
      <c r="E52" s="1350"/>
      <c r="F52" s="1351"/>
      <c r="G52" s="1351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156078.45000000001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156078.45000000001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4">
    <mergeCell ref="D48:E48"/>
    <mergeCell ref="A47:C47"/>
    <mergeCell ref="A48:C48"/>
    <mergeCell ref="D47:E47"/>
    <mergeCell ref="A30:C30"/>
    <mergeCell ref="A31:C31"/>
    <mergeCell ref="A32:C32"/>
    <mergeCell ref="A45:I45"/>
    <mergeCell ref="F47:G47"/>
    <mergeCell ref="F48:G48"/>
    <mergeCell ref="A46:I46"/>
    <mergeCell ref="B37:C37"/>
    <mergeCell ref="B41:C41"/>
    <mergeCell ref="A42:C42"/>
    <mergeCell ref="A43:C43"/>
    <mergeCell ref="A38:C38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F52:G52"/>
    <mergeCell ref="F51:G51"/>
    <mergeCell ref="D52:E52"/>
    <mergeCell ref="A57:G57"/>
    <mergeCell ref="A55:H55"/>
    <mergeCell ref="A58:C58"/>
    <mergeCell ref="D58:E58"/>
    <mergeCell ref="F58:I58"/>
    <mergeCell ref="A26:C26"/>
    <mergeCell ref="A27:C27"/>
    <mergeCell ref="A15:C15"/>
    <mergeCell ref="A16:C16"/>
    <mergeCell ref="A19:C19"/>
    <mergeCell ref="A21:C21"/>
    <mergeCell ref="A18:C18"/>
    <mergeCell ref="A20:C20"/>
    <mergeCell ref="A17:C17"/>
    <mergeCell ref="F49:G49"/>
    <mergeCell ref="A49:C49"/>
    <mergeCell ref="D49:E49"/>
    <mergeCell ref="A54:I54"/>
    <mergeCell ref="A53:H53"/>
    <mergeCell ref="A28:C28"/>
    <mergeCell ref="A1:C1"/>
    <mergeCell ref="A4:E4"/>
    <mergeCell ref="A39:C39"/>
    <mergeCell ref="H1:I1"/>
    <mergeCell ref="A12:C12"/>
    <mergeCell ref="A8:C8"/>
    <mergeCell ref="A9:C9"/>
    <mergeCell ref="A10:C10"/>
    <mergeCell ref="A11:C11"/>
    <mergeCell ref="A40:C40"/>
    <mergeCell ref="A2:I2"/>
    <mergeCell ref="A3:I3"/>
    <mergeCell ref="A29:C29"/>
    <mergeCell ref="C5:I5"/>
    <mergeCell ref="A13:C13"/>
    <mergeCell ref="A14:C14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6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20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7"/>
      <c r="C4" s="727"/>
      <c r="D4" s="727"/>
      <c r="E4" s="728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37" t="s">
        <v>367</v>
      </c>
      <c r="B8" s="1138"/>
      <c r="C8" s="1138"/>
      <c r="D8" s="844" t="e">
        <f>IF(A8&lt;&gt;0,VLOOKUP(A8,Materiales,2,FALSE),$J$1)</f>
        <v>#REF!</v>
      </c>
      <c r="E8" s="12">
        <v>1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/>
      <c r="E9" s="12"/>
      <c r="F9" s="58"/>
      <c r="G9" s="58"/>
      <c r="H9" s="7">
        <f t="shared" si="0"/>
        <v>0</v>
      </c>
      <c r="I9" s="69"/>
    </row>
    <row r="10" spans="1:10" x14ac:dyDescent="0.2">
      <c r="A10" s="1213"/>
      <c r="B10" s="1214"/>
      <c r="C10" s="1214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215"/>
      <c r="B12" s="1216"/>
      <c r="C12" s="1217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68"/>
      <c r="B18" s="1379"/>
      <c r="C18" s="1380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0.05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3710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3710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406"/>
    </row>
    <row r="37" spans="1:9" x14ac:dyDescent="0.2">
      <c r="A37" s="871"/>
      <c r="B37" s="1105" t="s">
        <v>2226</v>
      </c>
      <c r="C37" s="1104"/>
      <c r="D37" s="965"/>
      <c r="E37" s="966"/>
      <c r="F37" s="967"/>
      <c r="G37" s="940"/>
      <c r="H37" s="942"/>
      <c r="I37" s="343">
        <f>SUM(H38:H40)</f>
        <v>0</v>
      </c>
    </row>
    <row r="38" spans="1:9" x14ac:dyDescent="0.2">
      <c r="A38" s="871"/>
      <c r="B38" s="872"/>
      <c r="C38" s="873"/>
      <c r="D38" s="965">
        <f>IF(A38&lt;&gt;0,VLOOKUP(A38,Transporte,8,FALSE),$J$1)</f>
        <v>0</v>
      </c>
      <c r="E38" s="966"/>
      <c r="F38" s="967">
        <f t="shared" ref="F38:F43" si="2">IF(A38&lt;&gt;0,VLOOKUP(A38,Transporte,2,FALSE),$J$1)</f>
        <v>0</v>
      </c>
      <c r="G38" s="940"/>
      <c r="H38" s="942">
        <f t="shared" ref="H38:H43" si="3">IF(A38&lt;&gt;0,D38/F38*G38,$J$1)</f>
        <v>0</v>
      </c>
      <c r="I38" s="344"/>
    </row>
    <row r="39" spans="1:9" x14ac:dyDescent="0.2">
      <c r="A39" s="871"/>
      <c r="B39" s="872"/>
      <c r="C39" s="873"/>
      <c r="D39" s="965">
        <f>IF(A39&lt;&gt;0,VLOOKUP(A39,Transporte,8,FALSE),$J$1)</f>
        <v>0</v>
      </c>
      <c r="E39" s="966"/>
      <c r="F39" s="967">
        <f t="shared" si="2"/>
        <v>0</v>
      </c>
      <c r="G39" s="940"/>
      <c r="H39" s="942">
        <f t="shared" si="3"/>
        <v>0</v>
      </c>
      <c r="I39" s="344"/>
    </row>
    <row r="40" spans="1:9" x14ac:dyDescent="0.2">
      <c r="B40" s="872"/>
      <c r="C40" s="873"/>
      <c r="D40" s="965">
        <f>IF(A40&lt;&gt;0,VLOOKUP(A40,Transporte,8,FALSE),$J$1)</f>
        <v>0</v>
      </c>
      <c r="E40" s="966"/>
      <c r="F40" s="967">
        <f t="shared" si="2"/>
        <v>0</v>
      </c>
      <c r="G40" s="940"/>
      <c r="H40" s="942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85">
        <f>SUM(H42:H43)</f>
        <v>0</v>
      </c>
    </row>
    <row r="42" spans="1:9" x14ac:dyDescent="0.2">
      <c r="A42" s="896"/>
      <c r="B42" s="893"/>
      <c r="C42" s="894"/>
      <c r="D42" s="965">
        <f>IF(A42&lt;&gt;0,VLOOKUP(A42,Transporte,8,FALSE),$J$1)</f>
        <v>0</v>
      </c>
      <c r="E42" s="966"/>
      <c r="F42" s="967">
        <f t="shared" si="2"/>
        <v>0</v>
      </c>
      <c r="G42" s="940"/>
      <c r="H42" s="942">
        <f t="shared" si="3"/>
        <v>0</v>
      </c>
      <c r="I42" s="379"/>
    </row>
    <row r="43" spans="1:9" x14ac:dyDescent="0.2">
      <c r="A43" s="401"/>
      <c r="B43" s="375"/>
      <c r="C43" s="376"/>
      <c r="D43" s="965">
        <f>IF(A43&lt;&gt;0,VLOOKUP(A43,Transporte,8,FALSE),$J$1)</f>
        <v>0</v>
      </c>
      <c r="E43" s="966"/>
      <c r="F43" s="967">
        <f t="shared" si="2"/>
        <v>0</v>
      </c>
      <c r="G43" s="940"/>
      <c r="H43" s="942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0.76414816164440091</v>
      </c>
      <c r="G48" s="1083"/>
      <c r="H48" s="7">
        <f>IF(A48&lt;&gt;0,ROUND(D48/F48,2),$J$1)</f>
        <v>312528.51</v>
      </c>
      <c r="I48" s="69"/>
    </row>
    <row r="49" spans="1:9" x14ac:dyDescent="0.2">
      <c r="A49" s="1256"/>
      <c r="B49" s="1257"/>
      <c r="C49" s="1257"/>
      <c r="D49" s="1350">
        <f>IF(A49&lt;&gt;0,VLOOKUP(A49,Cuadrillas,7,FALSE),$J$1)</f>
        <v>0</v>
      </c>
      <c r="E49" s="1350"/>
      <c r="F49" s="1351"/>
      <c r="G49" s="1351"/>
      <c r="H49" s="171">
        <f>IF(A49&lt;&gt;0,ROUND(D49/F49,2),$J$1)</f>
        <v>0</v>
      </c>
      <c r="I49" s="297"/>
    </row>
    <row r="50" spans="1:9" x14ac:dyDescent="0.2">
      <c r="A50" s="1080"/>
      <c r="B50" s="1081"/>
      <c r="C50" s="1081"/>
      <c r="D50" s="1350">
        <f>IF(A50&lt;&gt;0,VLOOKUP(A50,Cuadrillas,7,FALSE),$J$1)</f>
        <v>0</v>
      </c>
      <c r="E50" s="1350"/>
      <c r="F50" s="1351"/>
      <c r="G50" s="1351"/>
      <c r="H50" s="171">
        <f>IF(A50&lt;&gt;0,ROUND(D50/F50,2),$J$1)</f>
        <v>0</v>
      </c>
      <c r="I50" s="69"/>
    </row>
    <row r="51" spans="1:9" x14ac:dyDescent="0.2">
      <c r="A51" s="1256"/>
      <c r="B51" s="1257"/>
      <c r="C51" s="1257"/>
      <c r="D51" s="1350">
        <f>IF(A51&lt;&gt;0,VLOOKUP(A51,Cuadrillas,7,FALSE),$J$1)</f>
        <v>0</v>
      </c>
      <c r="E51" s="1350"/>
      <c r="F51" s="1351"/>
      <c r="G51" s="1351"/>
      <c r="H51" s="171">
        <f>IF(A51&lt;&gt;0,ROUND(D51/F51,2),$J$1)</f>
        <v>0</v>
      </c>
      <c r="I51" s="301"/>
    </row>
    <row r="52" spans="1:9" x14ac:dyDescent="0.2">
      <c r="A52" s="1256"/>
      <c r="B52" s="1257"/>
      <c r="C52" s="1257"/>
      <c r="D52" s="1350">
        <f>IF(A52&lt;&gt;0,VLOOKUP(A52,Cuadrillas,7,FALSE),$J$1)</f>
        <v>0</v>
      </c>
      <c r="E52" s="1350"/>
      <c r="F52" s="1351"/>
      <c r="G52" s="1351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312528.51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312528.51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D48:E48"/>
    <mergeCell ref="A47:C47"/>
    <mergeCell ref="A48:C48"/>
    <mergeCell ref="D47:E47"/>
    <mergeCell ref="A30:C30"/>
    <mergeCell ref="A31:C31"/>
    <mergeCell ref="A32:C32"/>
    <mergeCell ref="A45:I45"/>
    <mergeCell ref="F47:G47"/>
    <mergeCell ref="F48:G48"/>
    <mergeCell ref="A46:I46"/>
    <mergeCell ref="B37:C37"/>
    <mergeCell ref="B41:C41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F52:G52"/>
    <mergeCell ref="F51:G51"/>
    <mergeCell ref="D52:E52"/>
    <mergeCell ref="A57:G57"/>
    <mergeCell ref="A55:H55"/>
    <mergeCell ref="A58:C58"/>
    <mergeCell ref="D58:E58"/>
    <mergeCell ref="F58:I58"/>
    <mergeCell ref="A26:C26"/>
    <mergeCell ref="A27:C27"/>
    <mergeCell ref="A16:C16"/>
    <mergeCell ref="A17:C17"/>
    <mergeCell ref="A19:C19"/>
    <mergeCell ref="A21:C21"/>
    <mergeCell ref="A18:C18"/>
    <mergeCell ref="A20:C20"/>
    <mergeCell ref="F49:G49"/>
    <mergeCell ref="A49:C49"/>
    <mergeCell ref="D49:E49"/>
    <mergeCell ref="A54:I54"/>
    <mergeCell ref="A53:H53"/>
    <mergeCell ref="A28:C28"/>
    <mergeCell ref="A29:C29"/>
    <mergeCell ref="A2:I2"/>
    <mergeCell ref="A3:I3"/>
    <mergeCell ref="H1:I1"/>
    <mergeCell ref="A12:C12"/>
    <mergeCell ref="A15:C15"/>
    <mergeCell ref="A8:C8"/>
    <mergeCell ref="A9:C9"/>
    <mergeCell ref="A10:C10"/>
    <mergeCell ref="A11:C11"/>
    <mergeCell ref="A13:C13"/>
    <mergeCell ref="A14:C14"/>
    <mergeCell ref="A1:C1"/>
    <mergeCell ref="C5:I5"/>
  </mergeCells>
  <phoneticPr fontId="0" type="noConversion"/>
  <dataValidations count="5">
    <dataValidation type="list" allowBlank="1" showInputMessage="1" showErrorMessage="1" sqref="A26:A32 B38:C40 B42:C43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39 A41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7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37" t="s">
        <v>368</v>
      </c>
      <c r="B8" s="1138"/>
      <c r="C8" s="1138"/>
      <c r="D8" s="844" t="e">
        <f t="shared" ref="D8:D21" si="0">IF(A8&lt;&gt;0,VLOOKUP(A8,Materiales,2,FALSE),$J$1)</f>
        <v>#REF!</v>
      </c>
      <c r="E8" s="12">
        <v>1</v>
      </c>
      <c r="F8" s="58" t="e">
        <f>IF(A8&lt;&gt;0,VLOOKUP(A8,Materiales,6,FALSE),$J$1)</f>
        <v>#REF!</v>
      </c>
      <c r="G8" s="58"/>
      <c r="H8" s="7" t="e">
        <f t="shared" ref="H8:H21" si="1">IF(A8&lt;&gt;0,ROUND(E8*F8,2),$J$1)</f>
        <v>#REF!</v>
      </c>
      <c r="I8" s="69"/>
    </row>
    <row r="9" spans="1:10" ht="12.75" customHeight="1" x14ac:dyDescent="0.2">
      <c r="A9" s="1137"/>
      <c r="B9" s="1138"/>
      <c r="C9" s="1138"/>
      <c r="D9" s="844">
        <f t="shared" si="0"/>
        <v>0</v>
      </c>
      <c r="E9" s="12"/>
      <c r="F9" s="58">
        <v>0</v>
      </c>
      <c r="G9" s="58"/>
      <c r="H9" s="7">
        <f t="shared" si="1"/>
        <v>0</v>
      </c>
      <c r="I9" s="69"/>
    </row>
    <row r="10" spans="1:10" x14ac:dyDescent="0.2">
      <c r="A10" s="1137"/>
      <c r="B10" s="1138"/>
      <c r="C10" s="1138"/>
      <c r="D10" s="844">
        <f t="shared" si="0"/>
        <v>0</v>
      </c>
      <c r="E10" s="12"/>
      <c r="F10" s="58">
        <v>0</v>
      </c>
      <c r="G10" s="58"/>
      <c r="H10" s="7">
        <f t="shared" si="1"/>
        <v>0</v>
      </c>
      <c r="I10" s="69"/>
    </row>
    <row r="11" spans="1:10" x14ac:dyDescent="0.2">
      <c r="A11" s="1137"/>
      <c r="B11" s="1138"/>
      <c r="C11" s="1138"/>
      <c r="D11" s="844">
        <f t="shared" si="0"/>
        <v>0</v>
      </c>
      <c r="E11" s="12"/>
      <c r="F11" s="58">
        <v>0</v>
      </c>
      <c r="G11" s="58"/>
      <c r="H11" s="7">
        <f t="shared" si="1"/>
        <v>0</v>
      </c>
      <c r="I11" s="69"/>
    </row>
    <row r="12" spans="1:10" x14ac:dyDescent="0.2">
      <c r="A12" s="1137"/>
      <c r="B12" s="1138"/>
      <c r="C12" s="1138"/>
      <c r="D12" s="844">
        <f t="shared" si="0"/>
        <v>0</v>
      </c>
      <c r="E12" s="12"/>
      <c r="F12" s="58">
        <v>0</v>
      </c>
      <c r="G12" s="58"/>
      <c r="H12" s="7">
        <f t="shared" si="1"/>
        <v>0</v>
      </c>
      <c r="I12" s="69"/>
    </row>
    <row r="13" spans="1:10" x14ac:dyDescent="0.2">
      <c r="A13" s="1137"/>
      <c r="B13" s="1138"/>
      <c r="C13" s="1138"/>
      <c r="D13" s="844">
        <f t="shared" si="0"/>
        <v>0</v>
      </c>
      <c r="E13" s="12"/>
      <c r="F13" s="58">
        <v>0</v>
      </c>
      <c r="G13" s="58"/>
      <c r="H13" s="7">
        <f t="shared" si="1"/>
        <v>0</v>
      </c>
      <c r="I13" s="69"/>
    </row>
    <row r="14" spans="1:10" x14ac:dyDescent="0.2">
      <c r="A14" s="1137"/>
      <c r="B14" s="1138"/>
      <c r="C14" s="1138"/>
      <c r="D14" s="844">
        <f t="shared" si="0"/>
        <v>0</v>
      </c>
      <c r="E14" s="12"/>
      <c r="F14" s="58">
        <v>0</v>
      </c>
      <c r="G14" s="58"/>
      <c r="H14" s="7">
        <f t="shared" si="1"/>
        <v>0</v>
      </c>
      <c r="I14" s="69"/>
    </row>
    <row r="15" spans="1:10" x14ac:dyDescent="0.2">
      <c r="A15" s="1137"/>
      <c r="B15" s="1138"/>
      <c r="C15" s="1138"/>
      <c r="D15" s="844">
        <f t="shared" si="0"/>
        <v>0</v>
      </c>
      <c r="E15" s="12"/>
      <c r="F15" s="58">
        <v>0</v>
      </c>
      <c r="G15" s="58"/>
      <c r="H15" s="7">
        <f t="shared" si="1"/>
        <v>0</v>
      </c>
      <c r="I15" s="69"/>
    </row>
    <row r="16" spans="1:10" x14ac:dyDescent="0.2">
      <c r="A16" s="1137"/>
      <c r="B16" s="1138"/>
      <c r="C16" s="1138"/>
      <c r="D16" s="844">
        <f t="shared" si="0"/>
        <v>0</v>
      </c>
      <c r="E16" s="12"/>
      <c r="F16" s="58">
        <v>0</v>
      </c>
      <c r="G16" s="58"/>
      <c r="H16" s="7">
        <f t="shared" si="1"/>
        <v>0</v>
      </c>
      <c r="I16" s="69"/>
    </row>
    <row r="17" spans="1:9" x14ac:dyDescent="0.2">
      <c r="A17" s="1137"/>
      <c r="B17" s="1138"/>
      <c r="C17" s="1138"/>
      <c r="D17" s="844">
        <f t="shared" si="0"/>
        <v>0</v>
      </c>
      <c r="E17" s="12"/>
      <c r="F17" s="58">
        <v>0</v>
      </c>
      <c r="G17" s="58"/>
      <c r="H17" s="7">
        <f t="shared" si="1"/>
        <v>0</v>
      </c>
      <c r="I17" s="69"/>
    </row>
    <row r="18" spans="1:9" x14ac:dyDescent="0.2">
      <c r="A18" s="1137"/>
      <c r="B18" s="1138"/>
      <c r="C18" s="1138"/>
      <c r="D18" s="844">
        <f t="shared" si="0"/>
        <v>0</v>
      </c>
      <c r="E18" s="12"/>
      <c r="F18" s="58">
        <v>0</v>
      </c>
      <c r="G18" s="58"/>
      <c r="H18" s="7">
        <f t="shared" si="1"/>
        <v>0</v>
      </c>
      <c r="I18" s="69"/>
    </row>
    <row r="19" spans="1:9" x14ac:dyDescent="0.2">
      <c r="A19" s="1137"/>
      <c r="B19" s="1138"/>
      <c r="C19" s="1138"/>
      <c r="D19" s="844">
        <f t="shared" si="0"/>
        <v>0</v>
      </c>
      <c r="E19" s="940"/>
      <c r="F19" s="941">
        <v>0</v>
      </c>
      <c r="G19" s="941"/>
      <c r="H19" s="942">
        <f t="shared" si="1"/>
        <v>0</v>
      </c>
      <c r="I19" s="952"/>
    </row>
    <row r="20" spans="1:9" x14ac:dyDescent="0.2">
      <c r="A20" s="1137"/>
      <c r="B20" s="1138"/>
      <c r="C20" s="1138"/>
      <c r="D20" s="844">
        <f t="shared" si="0"/>
        <v>0</v>
      </c>
      <c r="E20" s="940"/>
      <c r="F20" s="941">
        <v>0</v>
      </c>
      <c r="G20" s="941"/>
      <c r="H20" s="942">
        <f t="shared" si="1"/>
        <v>0</v>
      </c>
      <c r="I20" s="952"/>
    </row>
    <row r="21" spans="1:9" x14ac:dyDescent="0.2">
      <c r="A21" s="1137"/>
      <c r="B21" s="1138"/>
      <c r="C21" s="1138"/>
      <c r="D21" s="844">
        <f t="shared" si="0"/>
        <v>0</v>
      </c>
      <c r="E21" s="940"/>
      <c r="F21" s="941">
        <v>0</v>
      </c>
      <c r="G21" s="941"/>
      <c r="H21" s="942">
        <f t="shared" si="1"/>
        <v>0</v>
      </c>
      <c r="I21" s="959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0.05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2">IF(A26&lt;&gt;0,ROUND((F26/D26)*G26,2),$J$1)</f>
        <v>3710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2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2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2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2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2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2"/>
        <v>0</v>
      </c>
      <c r="I32" s="69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3710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206"/>
      <c r="C35" s="207"/>
      <c r="D35" s="902"/>
      <c r="E35" s="902"/>
      <c r="F35" s="902"/>
      <c r="G35" s="902"/>
      <c r="H35" s="902"/>
      <c r="I35" s="903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965"/>
      <c r="E37" s="966"/>
      <c r="F37" s="967"/>
      <c r="G37" s="940"/>
      <c r="H37" s="942"/>
      <c r="I37" s="343">
        <f>SUM(H38:H40)</f>
        <v>0</v>
      </c>
    </row>
    <row r="38" spans="1:9" x14ac:dyDescent="0.2">
      <c r="A38" s="1215"/>
      <c r="B38" s="1216"/>
      <c r="C38" s="1217"/>
      <c r="D38" s="965">
        <f>IF(A38&lt;&gt;0,VLOOKUP(A38,Transporte,8,FALSE),$J$1)</f>
        <v>0</v>
      </c>
      <c r="E38" s="966"/>
      <c r="F38" s="967">
        <f t="shared" ref="F38:F43" si="3">IF(A38&lt;&gt;0,VLOOKUP(A38,Transporte,2,FALSE),$J$1)</f>
        <v>0</v>
      </c>
      <c r="G38" s="940"/>
      <c r="H38" s="942">
        <f t="shared" ref="H38:H43" si="4">IF(A38&lt;&gt;0,D38/F38*G38,$J$1)</f>
        <v>0</v>
      </c>
      <c r="I38" s="344"/>
    </row>
    <row r="39" spans="1:9" x14ac:dyDescent="0.2">
      <c r="A39" s="1215"/>
      <c r="B39" s="1216"/>
      <c r="C39" s="1217"/>
      <c r="D39" s="965">
        <f>IF(A39&lt;&gt;0,VLOOKUP(A39,Transporte,8,FALSE),$J$1)</f>
        <v>0</v>
      </c>
      <c r="E39" s="966"/>
      <c r="F39" s="967">
        <f t="shared" si="3"/>
        <v>0</v>
      </c>
      <c r="G39" s="940"/>
      <c r="H39" s="942">
        <f t="shared" si="4"/>
        <v>0</v>
      </c>
      <c r="I39" s="344"/>
    </row>
    <row r="40" spans="1:9" x14ac:dyDescent="0.2">
      <c r="A40" s="1215"/>
      <c r="B40" s="1216"/>
      <c r="C40" s="1217"/>
      <c r="D40" s="965">
        <f>IF(A40&lt;&gt;0,VLOOKUP(A40,Transporte,8,FALSE),$J$1)</f>
        <v>0</v>
      </c>
      <c r="E40" s="966"/>
      <c r="F40" s="967">
        <f t="shared" si="3"/>
        <v>0</v>
      </c>
      <c r="G40" s="940"/>
      <c r="H40" s="942">
        <f t="shared" si="4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1368"/>
      <c r="B42" s="1352"/>
      <c r="C42" s="1353"/>
      <c r="D42" s="965">
        <f>IF(A42&lt;&gt;0,VLOOKUP(A42,Transporte,8,FALSE),$J$1)</f>
        <v>0</v>
      </c>
      <c r="E42" s="966"/>
      <c r="F42" s="967">
        <f t="shared" si="3"/>
        <v>0</v>
      </c>
      <c r="G42" s="940"/>
      <c r="H42" s="942">
        <f t="shared" si="4"/>
        <v>0</v>
      </c>
      <c r="I42" s="379"/>
    </row>
    <row r="43" spans="1:9" x14ac:dyDescent="0.2">
      <c r="A43" s="1368"/>
      <c r="B43" s="1352"/>
      <c r="C43" s="1353"/>
      <c r="D43" s="965">
        <f>IF(A43&lt;&gt;0,VLOOKUP(A43,Transporte,8,FALSE),$J$1)</f>
        <v>0</v>
      </c>
      <c r="E43" s="966"/>
      <c r="F43" s="967">
        <f t="shared" si="3"/>
        <v>0</v>
      </c>
      <c r="G43" s="940"/>
      <c r="H43" s="942">
        <f t="shared" si="4"/>
        <v>0</v>
      </c>
      <c r="I43" s="365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0.62521213098396378</v>
      </c>
      <c r="G48" s="1083"/>
      <c r="H48" s="7">
        <f>IF(A48&lt;&gt;0,ROUND(D48/F48,2),$J$1)</f>
        <v>381979.29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349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381979.29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381979.29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48:C48"/>
    <mergeCell ref="D47:E47"/>
    <mergeCell ref="A49:C49"/>
    <mergeCell ref="A1:C1"/>
    <mergeCell ref="B37:C37"/>
    <mergeCell ref="B41:C41"/>
    <mergeCell ref="A2:I2"/>
    <mergeCell ref="A3:I3"/>
    <mergeCell ref="H1:I1"/>
    <mergeCell ref="A12:C12"/>
    <mergeCell ref="A26:C26"/>
    <mergeCell ref="A16:C16"/>
    <mergeCell ref="A17:C17"/>
    <mergeCell ref="A19:C19"/>
    <mergeCell ref="A21:C21"/>
    <mergeCell ref="A14:C14"/>
    <mergeCell ref="A8:C8"/>
    <mergeCell ref="A9:C9"/>
    <mergeCell ref="A10:C10"/>
    <mergeCell ref="A46:I46"/>
    <mergeCell ref="A30:C30"/>
    <mergeCell ref="A31:C31"/>
    <mergeCell ref="A27:C27"/>
    <mergeCell ref="A11:C11"/>
    <mergeCell ref="A13:C13"/>
    <mergeCell ref="A15:C15"/>
    <mergeCell ref="A32:C32"/>
    <mergeCell ref="A28:C28"/>
    <mergeCell ref="A29:C29"/>
    <mergeCell ref="A20:C20"/>
    <mergeCell ref="A18:C18"/>
    <mergeCell ref="A53:H53"/>
    <mergeCell ref="D49:E49"/>
    <mergeCell ref="A38:C38"/>
    <mergeCell ref="A39:C39"/>
    <mergeCell ref="A40:C40"/>
    <mergeCell ref="A42:C42"/>
    <mergeCell ref="A43:C43"/>
    <mergeCell ref="A45:I45"/>
    <mergeCell ref="F47:G47"/>
    <mergeCell ref="F48:G48"/>
    <mergeCell ref="D52:E52"/>
    <mergeCell ref="F49:G49"/>
    <mergeCell ref="D48:E48"/>
    <mergeCell ref="A47:C47"/>
    <mergeCell ref="F52:G52"/>
    <mergeCell ref="F51:G51"/>
    <mergeCell ref="C5:I5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  <mergeCell ref="A55:H55"/>
    <mergeCell ref="A54:I54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8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37" t="s">
        <v>182</v>
      </c>
      <c r="B8" s="1138"/>
      <c r="C8" s="1138"/>
      <c r="D8" s="844" t="e">
        <f>IF(A8&lt;&gt;0,VLOOKUP(A8,Materiales,2,FALSE),$J$1)</f>
        <v>#REF!</v>
      </c>
      <c r="E8" s="12">
        <v>1.03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137"/>
      <c r="B9" s="1138"/>
      <c r="C9" s="1138"/>
      <c r="D9" s="844">
        <f>IF(A9&lt;&gt;0,VLOOKUP(A9,Materiales,2,FALSE),$J$1)</f>
        <v>0</v>
      </c>
      <c r="E9" s="12"/>
      <c r="F9" s="58">
        <f>IF(A9&lt;&gt;0,VLOOKUP(A9,Materiales,6,FALSE),$J$1)</f>
        <v>0</v>
      </c>
      <c r="G9" s="58"/>
      <c r="H9" s="7">
        <f t="shared" si="0"/>
        <v>0</v>
      </c>
      <c r="I9" s="69"/>
    </row>
    <row r="10" spans="1:10" x14ac:dyDescent="0.2">
      <c r="A10" s="1137"/>
      <c r="B10" s="1138"/>
      <c r="C10" s="1138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137"/>
      <c r="B11" s="1138"/>
      <c r="C11" s="1138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137"/>
      <c r="B12" s="1138"/>
      <c r="C12" s="1138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137"/>
      <c r="B13" s="1138"/>
      <c r="C13" s="1138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137"/>
      <c r="B14" s="1138"/>
      <c r="C14" s="1138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137"/>
      <c r="B15" s="1138"/>
      <c r="C15" s="1138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137"/>
      <c r="B16" s="1138"/>
      <c r="C16" s="1138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137"/>
      <c r="B17" s="1138"/>
      <c r="C17" s="1138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137"/>
      <c r="B18" s="1138"/>
      <c r="C18" s="1138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137"/>
      <c r="B19" s="1138"/>
      <c r="C19" s="1138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137"/>
      <c r="B20" s="1138"/>
      <c r="C20" s="1138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137"/>
      <c r="B21" s="1138"/>
      <c r="C21" s="1138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206"/>
      <c r="C35" s="207"/>
      <c r="D35" s="902"/>
      <c r="E35" s="902"/>
      <c r="F35" s="902"/>
      <c r="G35" s="902"/>
      <c r="H35" s="902"/>
      <c r="I35" s="903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965"/>
      <c r="E37" s="966"/>
      <c r="F37" s="967"/>
      <c r="G37" s="940"/>
      <c r="H37" s="942"/>
      <c r="I37" s="343">
        <f>SUM(H38:H40)</f>
        <v>0</v>
      </c>
    </row>
    <row r="38" spans="1:9" x14ac:dyDescent="0.2">
      <c r="A38" s="1086"/>
      <c r="B38" s="1087"/>
      <c r="C38" s="1119"/>
      <c r="D38" s="965">
        <f>IF(A38&lt;&gt;0,VLOOKUP(A38,Transporte,8,FALSE),$J$1)</f>
        <v>0</v>
      </c>
      <c r="E38" s="966"/>
      <c r="F38" s="967">
        <f t="shared" ref="F38:F43" si="2">IF(A38&lt;&gt;0,VLOOKUP(A38,Transporte,2,FALSE),$J$1)</f>
        <v>0</v>
      </c>
      <c r="G38" s="940"/>
      <c r="H38" s="942">
        <f t="shared" ref="H38:H43" si="3">IF(A38&lt;&gt;0,D38/F38*G38,$J$1)</f>
        <v>0</v>
      </c>
      <c r="I38" s="344"/>
    </row>
    <row r="39" spans="1:9" x14ac:dyDescent="0.2">
      <c r="A39" s="1086"/>
      <c r="B39" s="1087"/>
      <c r="C39" s="1119"/>
      <c r="D39" s="965">
        <f>IF(A39&lt;&gt;0,VLOOKUP(A39,Transporte,8,FALSE),$J$1)</f>
        <v>0</v>
      </c>
      <c r="E39" s="966"/>
      <c r="F39" s="967">
        <f t="shared" si="2"/>
        <v>0</v>
      </c>
      <c r="G39" s="940"/>
      <c r="H39" s="942">
        <f t="shared" si="3"/>
        <v>0</v>
      </c>
      <c r="I39" s="344"/>
    </row>
    <row r="40" spans="1:9" x14ac:dyDescent="0.2">
      <c r="A40" s="1086"/>
      <c r="B40" s="1087"/>
      <c r="C40" s="1119"/>
      <c r="D40" s="965">
        <f>IF(A40&lt;&gt;0,VLOOKUP(A40,Transporte,8,FALSE),$J$1)</f>
        <v>0</v>
      </c>
      <c r="E40" s="966"/>
      <c r="F40" s="967">
        <f t="shared" si="2"/>
        <v>0</v>
      </c>
      <c r="G40" s="940"/>
      <c r="H40" s="942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1368"/>
      <c r="B42" s="1352"/>
      <c r="C42" s="1353"/>
      <c r="D42" s="965">
        <f>IF(A42&lt;&gt;0,VLOOKUP(A42,Transporte,8,FALSE),$J$1)</f>
        <v>0</v>
      </c>
      <c r="E42" s="966"/>
      <c r="F42" s="967">
        <f t="shared" si="2"/>
        <v>0</v>
      </c>
      <c r="G42" s="940"/>
      <c r="H42" s="942">
        <f t="shared" si="3"/>
        <v>0</v>
      </c>
      <c r="I42" s="379"/>
    </row>
    <row r="43" spans="1:9" x14ac:dyDescent="0.2">
      <c r="A43" s="1368"/>
      <c r="B43" s="1352"/>
      <c r="C43" s="1353"/>
      <c r="D43" s="965">
        <f>IF(A43&lt;&gt;0,VLOOKUP(A43,Transporte,8,FALSE),$J$1)</f>
        <v>0</v>
      </c>
      <c r="E43" s="966"/>
      <c r="F43" s="967">
        <f t="shared" si="2"/>
        <v>0</v>
      </c>
      <c r="G43" s="940"/>
      <c r="H43" s="942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83.2</v>
      </c>
      <c r="G48" s="1083"/>
      <c r="H48" s="7">
        <f>IF(A48&lt;&gt;0,ROUND(D48/F48,2),$J$1)</f>
        <v>2870.41</v>
      </c>
      <c r="I48" s="69"/>
    </row>
    <row r="49" spans="1:9" x14ac:dyDescent="0.2">
      <c r="A49" s="1256"/>
      <c r="B49" s="1257"/>
      <c r="C49" s="1257"/>
      <c r="D49" s="1350">
        <f>IF(A49&lt;&gt;0,VLOOKUP(A49,Cuadrillas,7,FALSE),$J$1)</f>
        <v>0</v>
      </c>
      <c r="E49" s="1350"/>
      <c r="F49" s="1351"/>
      <c r="G49" s="1351"/>
      <c r="H49" s="171">
        <f>IF(A49&lt;&gt;0,ROUND(D49/F49,2),$J$1)</f>
        <v>0</v>
      </c>
      <c r="I49" s="297"/>
    </row>
    <row r="50" spans="1:9" x14ac:dyDescent="0.2">
      <c r="A50" s="1080"/>
      <c r="B50" s="1081"/>
      <c r="C50" s="1081"/>
      <c r="D50" s="1350">
        <f>IF(A50&lt;&gt;0,VLOOKUP(A50,Cuadrillas,7,FALSE),$J$1)</f>
        <v>0</v>
      </c>
      <c r="E50" s="1350"/>
      <c r="F50" s="1351"/>
      <c r="G50" s="1351"/>
      <c r="H50" s="171">
        <f>IF(A50&lt;&gt;0,ROUND(D50/F50,2),$J$1)</f>
        <v>0</v>
      </c>
      <c r="I50" s="69"/>
    </row>
    <row r="51" spans="1:9" x14ac:dyDescent="0.2">
      <c r="A51" s="1256"/>
      <c r="B51" s="1257"/>
      <c r="C51" s="1257"/>
      <c r="D51" s="1350">
        <f>IF(A51&lt;&gt;0,VLOOKUP(A51,Cuadrillas,7,FALSE),$J$1)</f>
        <v>0</v>
      </c>
      <c r="E51" s="1350"/>
      <c r="F51" s="1351"/>
      <c r="G51" s="1351"/>
      <c r="H51" s="171">
        <f>IF(A51&lt;&gt;0,ROUND(D51/F51,2),$J$1)</f>
        <v>0</v>
      </c>
      <c r="I51" s="301"/>
    </row>
    <row r="52" spans="1:9" x14ac:dyDescent="0.2">
      <c r="A52" s="1256"/>
      <c r="B52" s="1257"/>
      <c r="C52" s="1257"/>
      <c r="D52" s="1350">
        <f>IF(A52&lt;&gt;0,VLOOKUP(A52,Cuadrillas,7,FALSE),$J$1)</f>
        <v>0</v>
      </c>
      <c r="E52" s="1350"/>
      <c r="F52" s="1351"/>
      <c r="G52" s="1351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2870.41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2870.41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D48:E48"/>
    <mergeCell ref="A47:C47"/>
    <mergeCell ref="A48:C48"/>
    <mergeCell ref="D47:E47"/>
    <mergeCell ref="A30:C30"/>
    <mergeCell ref="A31:C31"/>
    <mergeCell ref="A32:C32"/>
    <mergeCell ref="A45:I45"/>
    <mergeCell ref="F47:G47"/>
    <mergeCell ref="F48:G48"/>
    <mergeCell ref="A46:I46"/>
    <mergeCell ref="B37:C37"/>
    <mergeCell ref="B41:C41"/>
    <mergeCell ref="A42:C42"/>
    <mergeCell ref="A43:C43"/>
    <mergeCell ref="A38:C38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F52:G52"/>
    <mergeCell ref="F51:G51"/>
    <mergeCell ref="D52:E52"/>
    <mergeCell ref="A57:G57"/>
    <mergeCell ref="A55:H55"/>
    <mergeCell ref="A58:C58"/>
    <mergeCell ref="D58:E58"/>
    <mergeCell ref="F58:I58"/>
    <mergeCell ref="A26:C26"/>
    <mergeCell ref="A27:C27"/>
    <mergeCell ref="A16:C16"/>
    <mergeCell ref="A17:C17"/>
    <mergeCell ref="A19:C19"/>
    <mergeCell ref="A21:C21"/>
    <mergeCell ref="A18:C18"/>
    <mergeCell ref="A20:C20"/>
    <mergeCell ref="F49:G49"/>
    <mergeCell ref="A49:C49"/>
    <mergeCell ref="D49:E49"/>
    <mergeCell ref="A54:I54"/>
    <mergeCell ref="A53:H53"/>
    <mergeCell ref="A28:C28"/>
    <mergeCell ref="A39:C39"/>
    <mergeCell ref="H1:I1"/>
    <mergeCell ref="A12:C12"/>
    <mergeCell ref="A15:C15"/>
    <mergeCell ref="A8:C8"/>
    <mergeCell ref="A9:C9"/>
    <mergeCell ref="A10:C10"/>
    <mergeCell ref="A11:C11"/>
    <mergeCell ref="A13:C13"/>
    <mergeCell ref="A14:C14"/>
    <mergeCell ref="A1:C1"/>
    <mergeCell ref="A40:C40"/>
    <mergeCell ref="A2:I2"/>
    <mergeCell ref="A3:I3"/>
    <mergeCell ref="A29:C29"/>
    <mergeCell ref="C5:I5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9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213" t="s">
        <v>185</v>
      </c>
      <c r="B8" s="1214"/>
      <c r="C8" s="1214"/>
      <c r="D8" s="844" t="e">
        <f>IF(A8&lt;&gt;0,VLOOKUP(A8,Materiales,2,FALSE),$J$1)</f>
        <v>#REF!</v>
      </c>
      <c r="E8" s="12">
        <v>1.03</v>
      </c>
      <c r="F8" s="58" t="e">
        <f>IF(A8&lt;&gt;0,VLOOKUP(A8,Materiales,6,FALSE),$J$1)</f>
        <v>#REF!</v>
      </c>
      <c r="G8" s="58"/>
      <c r="H8" s="7" t="e">
        <f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>
        <f>IF(A9&lt;&gt;0,VLOOKUP(A9,Materiales,2,FALSE),$J$1)</f>
        <v>0</v>
      </c>
      <c r="E9" s="12"/>
      <c r="F9" s="58">
        <f>IF(A9&lt;&gt;0,VLOOKUP(A9,Materiales,6,FALSE),$J$1)</f>
        <v>0</v>
      </c>
      <c r="G9" s="58"/>
      <c r="H9" s="7">
        <f>IF(A9&lt;&gt;0,ROUND(E9*F9,2),$J$1)</f>
        <v>0</v>
      </c>
      <c r="I9" s="69"/>
    </row>
    <row r="10" spans="1:10" x14ac:dyDescent="0.2">
      <c r="A10" s="1213"/>
      <c r="B10" s="1214"/>
      <c r="C10" s="1214"/>
      <c r="D10" s="844">
        <f>IF(A10&lt;&gt;0,VLOOKUP(A10,Materiales,2,FALSE),$J$1)</f>
        <v>0</v>
      </c>
      <c r="E10" s="12"/>
      <c r="F10" s="58">
        <f>IF(A10&lt;&gt;0,VLOOKUP(A10,Materiales,6,FALSE),$J$1)</f>
        <v>0</v>
      </c>
      <c r="G10" s="58"/>
      <c r="H10" s="7"/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ref="H11:H21" si="0">IF(A11&lt;&gt;0,ROUND(E11*F11,2),$J$1)</f>
        <v>0</v>
      </c>
      <c r="I11" s="69"/>
    </row>
    <row r="12" spans="1:10" x14ac:dyDescent="0.2">
      <c r="A12" s="1215"/>
      <c r="B12" s="1216"/>
      <c r="C12" s="1217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68"/>
      <c r="B18" s="1379"/>
      <c r="C18" s="1380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>
        <f>IF(A27&lt;&gt;0,VLOOKUP(A27,Equipos,6,FALSE),$J$1)</f>
        <v>0</v>
      </c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109"/>
      <c r="E28" s="109"/>
      <c r="F28" s="52"/>
      <c r="G28" s="978"/>
      <c r="H28" s="171">
        <f t="shared" si="1"/>
        <v>0</v>
      </c>
      <c r="I28" s="69"/>
    </row>
    <row r="29" spans="1:9" x14ac:dyDescent="0.2">
      <c r="A29" s="1293"/>
      <c r="B29" s="1371"/>
      <c r="C29" s="1371"/>
      <c r="D29" s="974"/>
      <c r="E29" s="974"/>
      <c r="F29" s="940"/>
      <c r="G29" s="975"/>
      <c r="H29" s="942">
        <f t="shared" si="1"/>
        <v>0</v>
      </c>
      <c r="I29" s="297"/>
    </row>
    <row r="30" spans="1:9" x14ac:dyDescent="0.2">
      <c r="A30" s="1370"/>
      <c r="B30" s="1371"/>
      <c r="C30" s="1371"/>
      <c r="D30" s="974"/>
      <c r="E30" s="974"/>
      <c r="F30" s="940"/>
      <c r="G30" s="975"/>
      <c r="H30" s="942">
        <f t="shared" si="1"/>
        <v>0</v>
      </c>
      <c r="I30" s="297"/>
    </row>
    <row r="31" spans="1:9" x14ac:dyDescent="0.2">
      <c r="A31" s="1293"/>
      <c r="B31" s="1294"/>
      <c r="C31" s="1294"/>
      <c r="D31" s="974"/>
      <c r="E31" s="974"/>
      <c r="F31" s="940"/>
      <c r="G31" s="975"/>
      <c r="H31" s="942">
        <f t="shared" si="1"/>
        <v>0</v>
      </c>
      <c r="I31" s="325"/>
    </row>
    <row r="32" spans="1:9" x14ac:dyDescent="0.2">
      <c r="A32" s="1285"/>
      <c r="B32" s="1286"/>
      <c r="C32" s="1286"/>
      <c r="D32" s="974"/>
      <c r="E32" s="974"/>
      <c r="F32" s="940"/>
      <c r="G32" s="975"/>
      <c r="H32" s="942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206"/>
      <c r="C35" s="207"/>
      <c r="D35" s="902"/>
      <c r="E35" s="902"/>
      <c r="F35" s="902"/>
      <c r="G35" s="902"/>
      <c r="H35" s="902"/>
      <c r="I35" s="903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965"/>
      <c r="E37" s="966"/>
      <c r="F37" s="967"/>
      <c r="G37" s="940"/>
      <c r="H37" s="942"/>
      <c r="I37" s="343">
        <f>SUM(H38:H40)</f>
        <v>0</v>
      </c>
    </row>
    <row r="38" spans="1:9" x14ac:dyDescent="0.2">
      <c r="A38" s="1215"/>
      <c r="B38" s="1216"/>
      <c r="C38" s="1217"/>
      <c r="D38" s="965">
        <f>IF(A38&lt;&gt;0,VLOOKUP(A38,Transporte,8,FALSE),$J$1)</f>
        <v>0</v>
      </c>
      <c r="E38" s="966"/>
      <c r="F38" s="967">
        <f t="shared" ref="F38:F43" si="2">IF(A38&lt;&gt;0,VLOOKUP(A38,Transporte,2,FALSE),$J$1)</f>
        <v>0</v>
      </c>
      <c r="G38" s="940"/>
      <c r="H38" s="942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965">
        <f>IF(A39&lt;&gt;0,VLOOKUP(A39,Transporte,8,FALSE),$J$1)</f>
        <v>0</v>
      </c>
      <c r="E39" s="966"/>
      <c r="F39" s="967">
        <f t="shared" si="2"/>
        <v>0</v>
      </c>
      <c r="G39" s="940"/>
      <c r="H39" s="942">
        <f t="shared" si="3"/>
        <v>0</v>
      </c>
      <c r="I39" s="344"/>
    </row>
    <row r="40" spans="1:9" x14ac:dyDescent="0.2">
      <c r="A40" s="1215"/>
      <c r="B40" s="1216"/>
      <c r="C40" s="1217"/>
      <c r="D40" s="965">
        <f>IF(A40&lt;&gt;0,VLOOKUP(A40,Transporte,8,FALSE),$J$1)</f>
        <v>0</v>
      </c>
      <c r="E40" s="966"/>
      <c r="F40" s="967">
        <f t="shared" si="2"/>
        <v>0</v>
      </c>
      <c r="G40" s="940"/>
      <c r="H40" s="942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946">
        <f>SUM(H42:H43)</f>
        <v>0</v>
      </c>
    </row>
    <row r="42" spans="1:9" x14ac:dyDescent="0.2">
      <c r="A42" s="1368"/>
      <c r="B42" s="1352"/>
      <c r="C42" s="1353"/>
      <c r="D42" s="965">
        <f>IF(A42&lt;&gt;0,VLOOKUP(A42,Transporte,8,FALSE),$J$1)</f>
        <v>0</v>
      </c>
      <c r="E42" s="966"/>
      <c r="F42" s="967">
        <f t="shared" si="2"/>
        <v>0</v>
      </c>
      <c r="G42" s="940"/>
      <c r="H42" s="942">
        <f t="shared" si="3"/>
        <v>0</v>
      </c>
      <c r="I42" s="379"/>
    </row>
    <row r="43" spans="1:9" x14ac:dyDescent="0.2">
      <c r="A43" s="1368"/>
      <c r="B43" s="1352"/>
      <c r="C43" s="1353"/>
      <c r="D43" s="965">
        <f>IF(A43&lt;&gt;0,VLOOKUP(A43,Transporte,8,FALSE),$J$1)</f>
        <v>0</v>
      </c>
      <c r="E43" s="966"/>
      <c r="F43" s="967">
        <f t="shared" si="2"/>
        <v>0</v>
      </c>
      <c r="G43" s="940"/>
      <c r="H43" s="942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950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198" t="s">
        <v>2229</v>
      </c>
      <c r="B47" s="1199"/>
      <c r="C47" s="1199"/>
      <c r="D47" s="1197" t="s">
        <v>2230</v>
      </c>
      <c r="E47" s="1197"/>
      <c r="F47" s="1197" t="s">
        <v>2218</v>
      </c>
      <c r="G47" s="1197"/>
      <c r="H47" s="874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83.2</v>
      </c>
      <c r="G48" s="1083"/>
      <c r="H48" s="7">
        <f>IF(A48&lt;&gt;0,ROUND(D48/F48,2),$J$1)</f>
        <v>2870.41</v>
      </c>
      <c r="I48" s="69"/>
    </row>
    <row r="49" spans="1:9" x14ac:dyDescent="0.2">
      <c r="A49" s="1256"/>
      <c r="B49" s="1257"/>
      <c r="C49" s="1257"/>
      <c r="D49" s="1350">
        <f>IF(A49&lt;&gt;0,VLOOKUP(A49,Cuadrillas,7,FALSE),$J$1)</f>
        <v>0</v>
      </c>
      <c r="E49" s="1350"/>
      <c r="F49" s="1351"/>
      <c r="G49" s="1351"/>
      <c r="H49" s="171">
        <f>IF(A49&lt;&gt;0,ROUND(D49/F49,2),$J$1)</f>
        <v>0</v>
      </c>
      <c r="I49" s="297"/>
    </row>
    <row r="50" spans="1:9" x14ac:dyDescent="0.2">
      <c r="A50" s="1080"/>
      <c r="B50" s="1081"/>
      <c r="C50" s="1081"/>
      <c r="D50" s="1350">
        <f>IF(A50&lt;&gt;0,VLOOKUP(A50,Cuadrillas,7,FALSE),$J$1)</f>
        <v>0</v>
      </c>
      <c r="E50" s="1350"/>
      <c r="F50" s="1351"/>
      <c r="G50" s="1351"/>
      <c r="H50" s="171">
        <f>IF(A50&lt;&gt;0,ROUND(D50/F50,2),$J$1)</f>
        <v>0</v>
      </c>
      <c r="I50" s="69"/>
    </row>
    <row r="51" spans="1:9" x14ac:dyDescent="0.2">
      <c r="A51" s="1256"/>
      <c r="B51" s="1257"/>
      <c r="C51" s="1257"/>
      <c r="D51" s="1350">
        <f>IF(A51&lt;&gt;0,VLOOKUP(A51,Cuadrillas,7,FALSE),$J$1)</f>
        <v>0</v>
      </c>
      <c r="E51" s="1350"/>
      <c r="F51" s="1351"/>
      <c r="G51" s="1351"/>
      <c r="H51" s="171">
        <f>IF(A51&lt;&gt;0,ROUND(D51/F51,2),$J$1)</f>
        <v>0</v>
      </c>
      <c r="I51" s="301"/>
    </row>
    <row r="52" spans="1:9" x14ac:dyDescent="0.2">
      <c r="A52" s="1256"/>
      <c r="B52" s="1257"/>
      <c r="C52" s="1257"/>
      <c r="D52" s="1350">
        <f>IF(A52&lt;&gt;0,VLOOKUP(A52,Cuadrillas,7,FALSE),$J$1)</f>
        <v>0</v>
      </c>
      <c r="E52" s="1350"/>
      <c r="F52" s="1351"/>
      <c r="G52" s="1351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2870.41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2870.41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48:C48"/>
    <mergeCell ref="D47:E47"/>
    <mergeCell ref="A49:C49"/>
    <mergeCell ref="A1:C1"/>
    <mergeCell ref="B37:C37"/>
    <mergeCell ref="B41:C41"/>
    <mergeCell ref="A2:I2"/>
    <mergeCell ref="A3:I3"/>
    <mergeCell ref="H1:I1"/>
    <mergeCell ref="A12:C12"/>
    <mergeCell ref="A26:C26"/>
    <mergeCell ref="A15:C15"/>
    <mergeCell ref="A16:C16"/>
    <mergeCell ref="A19:C19"/>
    <mergeCell ref="A21:C21"/>
    <mergeCell ref="A13:C13"/>
    <mergeCell ref="A8:C8"/>
    <mergeCell ref="A9:C9"/>
    <mergeCell ref="A10:C10"/>
    <mergeCell ref="A46:I46"/>
    <mergeCell ref="A30:C30"/>
    <mergeCell ref="A31:C31"/>
    <mergeCell ref="A27:C27"/>
    <mergeCell ref="A11:C11"/>
    <mergeCell ref="A14:C14"/>
    <mergeCell ref="A32:C32"/>
    <mergeCell ref="A28:C28"/>
    <mergeCell ref="A29:C29"/>
    <mergeCell ref="A18:C18"/>
    <mergeCell ref="A20:C20"/>
    <mergeCell ref="A17:C17"/>
    <mergeCell ref="A53:H53"/>
    <mergeCell ref="D49:E49"/>
    <mergeCell ref="A42:C42"/>
    <mergeCell ref="A43:C43"/>
    <mergeCell ref="A38:C38"/>
    <mergeCell ref="A39:C39"/>
    <mergeCell ref="A40:C40"/>
    <mergeCell ref="A45:I45"/>
    <mergeCell ref="F47:G47"/>
    <mergeCell ref="F48:G48"/>
    <mergeCell ref="D52:E52"/>
    <mergeCell ref="F49:G49"/>
    <mergeCell ref="D48:E48"/>
    <mergeCell ref="A47:C47"/>
    <mergeCell ref="F52:G52"/>
    <mergeCell ref="F51:G51"/>
    <mergeCell ref="C5:I5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  <mergeCell ref="A55:H55"/>
    <mergeCell ref="A54:I54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0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215" t="s">
        <v>184</v>
      </c>
      <c r="B8" s="1216"/>
      <c r="C8" s="1217"/>
      <c r="D8" s="844" t="e">
        <f>IF(A8&lt;&gt;0,VLOOKUP(A8,Materiales,2,FALSE),$J$1)</f>
        <v>#REF!</v>
      </c>
      <c r="E8" s="12">
        <v>1.03</v>
      </c>
      <c r="F8" s="58" t="e">
        <f>IF(A8&lt;&gt;0,VLOOKUP(A8,Materiales,6,FALSE),$J$1)</f>
        <v>#REF!</v>
      </c>
      <c r="G8" s="58"/>
      <c r="H8" s="7" t="e">
        <f>IF(A8&lt;&gt;0,ROUND(E8*F8,2),$J$1)</f>
        <v>#REF!</v>
      </c>
      <c r="I8" s="69"/>
    </row>
    <row r="9" spans="1:10" ht="12.75" customHeight="1" x14ac:dyDescent="0.2">
      <c r="A9" s="1215"/>
      <c r="B9" s="1216"/>
      <c r="C9" s="1217"/>
      <c r="D9" s="844">
        <f>IF(A9&lt;&gt;0,VLOOKUP(A9,Materiales,2,FALSE),$J$1)</f>
        <v>0</v>
      </c>
      <c r="E9" s="12"/>
      <c r="F9" s="58">
        <f>IF(A9&lt;&gt;0,VLOOKUP(A9,Materiales,6,FALSE),$J$1)</f>
        <v>0</v>
      </c>
      <c r="G9" s="58"/>
      <c r="H9" s="7">
        <f>IF(A9&lt;&gt;0,ROUND(E9*F9,2),$J$1)</f>
        <v>0</v>
      </c>
      <c r="I9" s="69"/>
    </row>
    <row r="10" spans="1:10" x14ac:dyDescent="0.2">
      <c r="A10" s="1215"/>
      <c r="B10" s="1216"/>
      <c r="C10" s="1217"/>
      <c r="D10" s="844">
        <f>IF(A10&lt;&gt;0,VLOOKUP(A10,Materiales,2,FALSE),$J$1)</f>
        <v>0</v>
      </c>
      <c r="E10" s="12"/>
      <c r="F10" s="58">
        <f>IF(A10&lt;&gt;0,VLOOKUP(A10,Materiales,6,FALSE),$J$1)</f>
        <v>0</v>
      </c>
      <c r="G10" s="58"/>
      <c r="H10" s="7">
        <f>IF(A10&lt;&gt;0,ROUND(E10*F10,2),$J$1)</f>
        <v>0</v>
      </c>
      <c r="I10" s="69"/>
    </row>
    <row r="11" spans="1:10" x14ac:dyDescent="0.2">
      <c r="A11" s="1215"/>
      <c r="B11" s="1216"/>
      <c r="C11" s="1217"/>
      <c r="D11" s="844">
        <f>IF(A11&lt;&gt;0,VLOOKUP(A11,Materiales,2,FALSE),$J$1)</f>
        <v>0</v>
      </c>
      <c r="E11" s="12"/>
      <c r="F11" s="58">
        <f>IF(A11&lt;&gt;0,VLOOKUP(A11,Materiales,6,FALSE),$J$1)</f>
        <v>0</v>
      </c>
      <c r="G11" s="58"/>
      <c r="H11" s="7">
        <f>IF(A11&lt;&gt;0,ROUND(E11*F11,2),$J$1)</f>
        <v>0</v>
      </c>
      <c r="I11" s="69"/>
    </row>
    <row r="12" spans="1:10" x14ac:dyDescent="0.2">
      <c r="A12" s="1215"/>
      <c r="B12" s="1216"/>
      <c r="C12" s="1217"/>
      <c r="D12" s="844">
        <f>IF(A12&lt;&gt;0,VLOOKUP(A12,Materiales,2,FALSE),$J$1)</f>
        <v>0</v>
      </c>
      <c r="E12" s="12"/>
      <c r="F12" s="58">
        <f>IF(A12&lt;&gt;0,VLOOKUP(A12,Materiales,6,FALSE),$J$1)</f>
        <v>0</v>
      </c>
      <c r="G12" s="58"/>
      <c r="H12" s="7"/>
      <c r="I12" s="69"/>
    </row>
    <row r="13" spans="1:10" x14ac:dyDescent="0.2">
      <c r="A13" s="1215"/>
      <c r="B13" s="1216"/>
      <c r="C13" s="1217"/>
      <c r="D13" s="844"/>
      <c r="E13" s="12"/>
      <c r="F13" s="58"/>
      <c r="G13" s="58"/>
      <c r="H13" s="7">
        <f t="shared" ref="H13:H21" si="0">IF(A13&lt;&gt;0,ROUND(E13*F13,2),$J$1)</f>
        <v>0</v>
      </c>
      <c r="I13" s="69"/>
    </row>
    <row r="14" spans="1:10" x14ac:dyDescent="0.2">
      <c r="A14" s="1215"/>
      <c r="B14" s="1216"/>
      <c r="C14" s="1217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215"/>
      <c r="B15" s="1216"/>
      <c r="C15" s="1217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215"/>
      <c r="B16" s="1216"/>
      <c r="C16" s="1217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215"/>
      <c r="B17" s="1216"/>
      <c r="C17" s="1217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215"/>
      <c r="B18" s="1216"/>
      <c r="C18" s="1217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215"/>
      <c r="B19" s="1216"/>
      <c r="C19" s="1217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215"/>
      <c r="B20" s="1216"/>
      <c r="C20" s="1217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15"/>
      <c r="B21" s="1216"/>
      <c r="C21" s="1217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52"/>
      <c r="G27" s="978"/>
      <c r="H27" s="171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52"/>
      <c r="G28" s="978"/>
      <c r="H28" s="171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940"/>
      <c r="G29" s="975"/>
      <c r="H29" s="94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940"/>
      <c r="G30" s="975"/>
      <c r="H30" s="94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940"/>
      <c r="G31" s="975"/>
      <c r="H31" s="942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965"/>
      <c r="E37" s="966"/>
      <c r="F37" s="967"/>
      <c r="G37" s="940"/>
      <c r="H37" s="942"/>
      <c r="I37" s="343">
        <f>SUM(H38:H40)</f>
        <v>0</v>
      </c>
    </row>
    <row r="38" spans="1:9" x14ac:dyDescent="0.2">
      <c r="A38" s="1215"/>
      <c r="B38" s="1216"/>
      <c r="C38" s="1217"/>
      <c r="D38" s="965">
        <f>IF(A38&lt;&gt;0,VLOOKUP(A38,Transporte,8,FALSE),$J$1)</f>
        <v>0</v>
      </c>
      <c r="E38" s="966"/>
      <c r="F38" s="967">
        <f t="shared" ref="F38:F43" si="2">IF(A38&lt;&gt;0,VLOOKUP(A38,Transporte,2,FALSE),$J$1)</f>
        <v>0</v>
      </c>
      <c r="G38" s="940"/>
      <c r="H38" s="942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965">
        <f>IF(A39&lt;&gt;0,VLOOKUP(A39,Transporte,8,FALSE),$J$1)</f>
        <v>0</v>
      </c>
      <c r="E39" s="966"/>
      <c r="F39" s="967">
        <f t="shared" si="2"/>
        <v>0</v>
      </c>
      <c r="G39" s="940"/>
      <c r="H39" s="942">
        <f t="shared" si="3"/>
        <v>0</v>
      </c>
      <c r="I39" s="344"/>
    </row>
    <row r="40" spans="1:9" x14ac:dyDescent="0.2">
      <c r="A40" s="1215"/>
      <c r="B40" s="1216"/>
      <c r="C40" s="1217"/>
      <c r="D40" s="965">
        <f>IF(A40&lt;&gt;0,VLOOKUP(A40,Transporte,8,FALSE),$J$1)</f>
        <v>0</v>
      </c>
      <c r="E40" s="966"/>
      <c r="F40" s="967">
        <f t="shared" si="2"/>
        <v>0</v>
      </c>
      <c r="G40" s="940"/>
      <c r="H40" s="942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1368"/>
      <c r="B42" s="1352"/>
      <c r="C42" s="1353"/>
      <c r="D42" s="965">
        <f>IF(A42&lt;&gt;0,VLOOKUP(A42,Transporte,8,FALSE),$J$1)</f>
        <v>0</v>
      </c>
      <c r="E42" s="966"/>
      <c r="F42" s="967">
        <f t="shared" si="2"/>
        <v>0</v>
      </c>
      <c r="G42" s="940"/>
      <c r="H42" s="942">
        <f t="shared" si="3"/>
        <v>0</v>
      </c>
      <c r="I42" s="379"/>
    </row>
    <row r="43" spans="1:9" x14ac:dyDescent="0.2">
      <c r="A43" s="1368"/>
      <c r="B43" s="1352"/>
      <c r="C43" s="1353"/>
      <c r="D43" s="965">
        <f>IF(A43&lt;&gt;0,VLOOKUP(A43,Transporte,8,FALSE),$J$1)</f>
        <v>0</v>
      </c>
      <c r="E43" s="966"/>
      <c r="F43" s="967">
        <f t="shared" si="2"/>
        <v>0</v>
      </c>
      <c r="G43" s="940"/>
      <c r="H43" s="942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SUM(I37:I41)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57.31</v>
      </c>
      <c r="G48" s="1083"/>
      <c r="H48" s="7">
        <f>IF(A48&lt;&gt;0,ROUND(D48/F48,2),$J$1)</f>
        <v>4167.13</v>
      </c>
      <c r="I48" s="69"/>
    </row>
    <row r="49" spans="1:9" x14ac:dyDescent="0.2">
      <c r="A49" s="1293"/>
      <c r="B49" s="1294"/>
      <c r="C49" s="1294"/>
      <c r="D49" s="1364">
        <f>IF(A49&lt;&gt;0,VLOOKUP(A49,Cuadrillas,7,FALSE),$J$1)</f>
        <v>0</v>
      </c>
      <c r="E49" s="1364"/>
      <c r="F49" s="1365"/>
      <c r="G49" s="1365"/>
      <c r="H49" s="942">
        <f>IF(A49&lt;&gt;0,ROUND(D49/F49,2),$J$1)</f>
        <v>0</v>
      </c>
      <c r="I49" s="297"/>
    </row>
    <row r="50" spans="1:9" x14ac:dyDescent="0.2">
      <c r="A50" s="1370"/>
      <c r="B50" s="1371"/>
      <c r="C50" s="1371"/>
      <c r="D50" s="1364">
        <f>IF(A50&lt;&gt;0,VLOOKUP(A50,Cuadrillas,7,FALSE),$J$1)</f>
        <v>0</v>
      </c>
      <c r="E50" s="1364"/>
      <c r="F50" s="1365"/>
      <c r="G50" s="1365"/>
      <c r="H50" s="942">
        <f>IF(A50&lt;&gt;0,ROUND(D50/F50,2),$J$1)</f>
        <v>0</v>
      </c>
      <c r="I50" s="297"/>
    </row>
    <row r="51" spans="1:9" x14ac:dyDescent="0.2">
      <c r="A51" s="1293"/>
      <c r="B51" s="1294"/>
      <c r="C51" s="1294"/>
      <c r="D51" s="1364">
        <f>IF(A51&lt;&gt;0,VLOOKUP(A51,Cuadrillas,7,FALSE),$J$1)</f>
        <v>0</v>
      </c>
      <c r="E51" s="1364"/>
      <c r="F51" s="1365"/>
      <c r="G51" s="1365"/>
      <c r="H51" s="942">
        <f>IF(A51&lt;&gt;0,ROUND(D51/F51,2),$J$1)</f>
        <v>0</v>
      </c>
      <c r="I51" s="325"/>
    </row>
    <row r="52" spans="1:9" x14ac:dyDescent="0.2">
      <c r="A52" s="1293"/>
      <c r="B52" s="1294"/>
      <c r="C52" s="1294"/>
      <c r="D52" s="1364">
        <f>IF(A52&lt;&gt;0,VLOOKUP(A52,Cuadrillas,7,FALSE),$J$1)</f>
        <v>0</v>
      </c>
      <c r="E52" s="1364"/>
      <c r="F52" s="1365"/>
      <c r="G52" s="1365"/>
      <c r="H52" s="942">
        <f>IF(A52&lt;&gt;0,ROUND(D52/F52,2),$J$1)</f>
        <v>0</v>
      </c>
      <c r="I52" s="325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4167.13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4167.13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48:C48"/>
    <mergeCell ref="D47:E47"/>
    <mergeCell ref="A49:C49"/>
    <mergeCell ref="A1:C1"/>
    <mergeCell ref="B37:C37"/>
    <mergeCell ref="B41:C41"/>
    <mergeCell ref="A2:I2"/>
    <mergeCell ref="A3:I3"/>
    <mergeCell ref="H1:I1"/>
    <mergeCell ref="A12:C12"/>
    <mergeCell ref="A26:C26"/>
    <mergeCell ref="A16:C16"/>
    <mergeCell ref="A17:C17"/>
    <mergeCell ref="A19:C19"/>
    <mergeCell ref="A21:C21"/>
    <mergeCell ref="A14:C14"/>
    <mergeCell ref="A8:C8"/>
    <mergeCell ref="A9:C9"/>
    <mergeCell ref="A10:C10"/>
    <mergeCell ref="A46:I46"/>
    <mergeCell ref="A30:C30"/>
    <mergeCell ref="A31:C31"/>
    <mergeCell ref="A27:C27"/>
    <mergeCell ref="A11:C11"/>
    <mergeCell ref="A13:C13"/>
    <mergeCell ref="A15:C15"/>
    <mergeCell ref="A32:C32"/>
    <mergeCell ref="A28:C28"/>
    <mergeCell ref="A29:C29"/>
    <mergeCell ref="A18:C18"/>
    <mergeCell ref="A20:C20"/>
    <mergeCell ref="A53:H53"/>
    <mergeCell ref="D49:E49"/>
    <mergeCell ref="A42:C42"/>
    <mergeCell ref="A43:C43"/>
    <mergeCell ref="A38:C38"/>
    <mergeCell ref="A39:C39"/>
    <mergeCell ref="A40:C40"/>
    <mergeCell ref="A45:I45"/>
    <mergeCell ref="F47:G47"/>
    <mergeCell ref="F48:G48"/>
    <mergeCell ref="D52:E52"/>
    <mergeCell ref="F49:G49"/>
    <mergeCell ref="D48:E48"/>
    <mergeCell ref="A47:C47"/>
    <mergeCell ref="F52:G52"/>
    <mergeCell ref="F51:G51"/>
    <mergeCell ref="C5:I5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  <mergeCell ref="A55:H55"/>
    <mergeCell ref="A54:I54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215" t="s">
        <v>183</v>
      </c>
      <c r="B8" s="1216"/>
      <c r="C8" s="1217"/>
      <c r="D8" s="844" t="e">
        <f t="shared" ref="D8:D21" si="0">IF(A8&lt;&gt;0,VLOOKUP(A8,Materiales,2,FALSE),$J$1)</f>
        <v>#REF!</v>
      </c>
      <c r="E8" s="12">
        <v>1.03</v>
      </c>
      <c r="F8" s="54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215"/>
      <c r="B9" s="1216"/>
      <c r="C9" s="1217"/>
      <c r="D9" s="844">
        <f t="shared" si="0"/>
        <v>0</v>
      </c>
      <c r="E9" s="12"/>
      <c r="F9" s="548">
        <f t="shared" si="1"/>
        <v>0</v>
      </c>
      <c r="G9" s="58"/>
      <c r="H9" s="7">
        <f t="shared" si="2"/>
        <v>0</v>
      </c>
      <c r="I9" s="69"/>
    </row>
    <row r="10" spans="1:10" x14ac:dyDescent="0.2">
      <c r="A10" s="1215"/>
      <c r="B10" s="1216"/>
      <c r="C10" s="1217"/>
      <c r="D10" s="844">
        <f t="shared" si="0"/>
        <v>0</v>
      </c>
      <c r="E10" s="12"/>
      <c r="F10" s="548">
        <f t="shared" si="1"/>
        <v>0</v>
      </c>
      <c r="G10" s="58"/>
      <c r="H10" s="7">
        <f t="shared" si="2"/>
        <v>0</v>
      </c>
      <c r="I10" s="69"/>
    </row>
    <row r="11" spans="1:10" x14ac:dyDescent="0.2">
      <c r="A11" s="1215"/>
      <c r="B11" s="1216"/>
      <c r="C11" s="1217"/>
      <c r="D11" s="844">
        <f t="shared" si="0"/>
        <v>0</v>
      </c>
      <c r="E11" s="12"/>
      <c r="F11" s="548">
        <f t="shared" si="1"/>
        <v>0</v>
      </c>
      <c r="G11" s="58"/>
      <c r="H11" s="7">
        <f t="shared" si="2"/>
        <v>0</v>
      </c>
      <c r="I11" s="69"/>
    </row>
    <row r="12" spans="1:10" x14ac:dyDescent="0.2">
      <c r="A12" s="1215"/>
      <c r="B12" s="1216"/>
      <c r="C12" s="1217"/>
      <c r="D12" s="844">
        <f t="shared" si="0"/>
        <v>0</v>
      </c>
      <c r="E12" s="12"/>
      <c r="F12" s="548">
        <f t="shared" si="1"/>
        <v>0</v>
      </c>
      <c r="G12" s="58"/>
      <c r="H12" s="7">
        <f t="shared" si="2"/>
        <v>0</v>
      </c>
      <c r="I12" s="69"/>
    </row>
    <row r="13" spans="1:10" x14ac:dyDescent="0.2">
      <c r="A13" s="1215"/>
      <c r="B13" s="1216"/>
      <c r="C13" s="1217"/>
      <c r="D13" s="844">
        <f t="shared" si="0"/>
        <v>0</v>
      </c>
      <c r="E13" s="12"/>
      <c r="F13" s="548">
        <f t="shared" si="1"/>
        <v>0</v>
      </c>
      <c r="G13" s="58"/>
      <c r="H13" s="7">
        <f t="shared" si="2"/>
        <v>0</v>
      </c>
      <c r="I13" s="69"/>
    </row>
    <row r="14" spans="1:10" x14ac:dyDescent="0.2">
      <c r="A14" s="1215"/>
      <c r="B14" s="1216"/>
      <c r="C14" s="1217"/>
      <c r="D14" s="844">
        <f t="shared" si="0"/>
        <v>0</v>
      </c>
      <c r="E14" s="12"/>
      <c r="F14" s="548">
        <f t="shared" si="1"/>
        <v>0</v>
      </c>
      <c r="G14" s="58"/>
      <c r="H14" s="7">
        <f t="shared" si="2"/>
        <v>0</v>
      </c>
      <c r="I14" s="69"/>
    </row>
    <row r="15" spans="1:10" x14ac:dyDescent="0.2">
      <c r="A15" s="1215"/>
      <c r="B15" s="1216"/>
      <c r="C15" s="1217"/>
      <c r="D15" s="844">
        <f t="shared" si="0"/>
        <v>0</v>
      </c>
      <c r="E15" s="12"/>
      <c r="F15" s="548">
        <f t="shared" si="1"/>
        <v>0</v>
      </c>
      <c r="G15" s="58"/>
      <c r="H15" s="7">
        <f t="shared" si="2"/>
        <v>0</v>
      </c>
      <c r="I15" s="69"/>
    </row>
    <row r="16" spans="1:10" x14ac:dyDescent="0.2">
      <c r="A16" s="1215"/>
      <c r="B16" s="1216"/>
      <c r="C16" s="1217"/>
      <c r="D16" s="844">
        <f t="shared" si="0"/>
        <v>0</v>
      </c>
      <c r="E16" s="12"/>
      <c r="F16" s="548">
        <f t="shared" si="1"/>
        <v>0</v>
      </c>
      <c r="G16" s="58"/>
      <c r="H16" s="7">
        <f t="shared" si="2"/>
        <v>0</v>
      </c>
      <c r="I16" s="69"/>
    </row>
    <row r="17" spans="1:9" x14ac:dyDescent="0.2">
      <c r="A17" s="1215"/>
      <c r="B17" s="1216"/>
      <c r="C17" s="1217"/>
      <c r="D17" s="844">
        <f t="shared" si="0"/>
        <v>0</v>
      </c>
      <c r="E17" s="12"/>
      <c r="F17" s="548">
        <f t="shared" si="1"/>
        <v>0</v>
      </c>
      <c r="G17" s="58"/>
      <c r="H17" s="7">
        <f t="shared" si="2"/>
        <v>0</v>
      </c>
      <c r="I17" s="69"/>
    </row>
    <row r="18" spans="1:9" x14ac:dyDescent="0.2">
      <c r="A18" s="1215"/>
      <c r="B18" s="1216"/>
      <c r="C18" s="1217"/>
      <c r="D18" s="844">
        <f t="shared" si="0"/>
        <v>0</v>
      </c>
      <c r="E18" s="407"/>
      <c r="F18" s="548">
        <f t="shared" si="1"/>
        <v>0</v>
      </c>
      <c r="G18" s="408"/>
      <c r="H18" s="409">
        <f t="shared" si="2"/>
        <v>0</v>
      </c>
      <c r="I18" s="349"/>
    </row>
    <row r="19" spans="1:9" x14ac:dyDescent="0.2">
      <c r="A19" s="1215"/>
      <c r="B19" s="1216"/>
      <c r="C19" s="1217"/>
      <c r="D19" s="844">
        <f t="shared" si="0"/>
        <v>0</v>
      </c>
      <c r="E19" s="407"/>
      <c r="F19" s="548">
        <f t="shared" si="1"/>
        <v>0</v>
      </c>
      <c r="G19" s="408"/>
      <c r="H19" s="409">
        <f t="shared" si="2"/>
        <v>0</v>
      </c>
      <c r="I19" s="349"/>
    </row>
    <row r="20" spans="1:9" x14ac:dyDescent="0.2">
      <c r="A20" s="1215"/>
      <c r="B20" s="1216"/>
      <c r="C20" s="1217"/>
      <c r="D20" s="844">
        <f t="shared" si="0"/>
        <v>0</v>
      </c>
      <c r="E20" s="410"/>
      <c r="F20" s="548">
        <f t="shared" si="1"/>
        <v>0</v>
      </c>
      <c r="G20" s="411"/>
      <c r="H20" s="412">
        <f t="shared" si="2"/>
        <v>0</v>
      </c>
      <c r="I20" s="413"/>
    </row>
    <row r="21" spans="1:9" x14ac:dyDescent="0.2">
      <c r="A21" s="1215"/>
      <c r="B21" s="1216"/>
      <c r="C21" s="1217"/>
      <c r="D21" s="844">
        <f t="shared" si="0"/>
        <v>0</v>
      </c>
      <c r="E21" s="414"/>
      <c r="F21" s="548">
        <f t="shared" si="1"/>
        <v>0</v>
      </c>
      <c r="G21" s="415"/>
      <c r="H21" s="416">
        <f t="shared" si="2"/>
        <v>0</v>
      </c>
      <c r="I21" s="348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3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3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3"/>
        <v>0</v>
      </c>
      <c r="I28" s="69"/>
    </row>
    <row r="29" spans="1:9" x14ac:dyDescent="0.2">
      <c r="A29" s="1390"/>
      <c r="B29" s="1143"/>
      <c r="C29" s="1143"/>
      <c r="D29" s="417"/>
      <c r="E29" s="417"/>
      <c r="F29" s="407"/>
      <c r="G29" s="418"/>
      <c r="H29" s="409">
        <f t="shared" si="3"/>
        <v>0</v>
      </c>
      <c r="I29" s="349"/>
    </row>
    <row r="30" spans="1:9" x14ac:dyDescent="0.2">
      <c r="A30" s="1142"/>
      <c r="B30" s="1143"/>
      <c r="C30" s="1143"/>
      <c r="D30" s="417"/>
      <c r="E30" s="417"/>
      <c r="F30" s="407"/>
      <c r="G30" s="418"/>
      <c r="H30" s="409">
        <f t="shared" si="3"/>
        <v>0</v>
      </c>
      <c r="I30" s="349"/>
    </row>
    <row r="31" spans="1:9" x14ac:dyDescent="0.2">
      <c r="A31" s="1390"/>
      <c r="B31" s="1391"/>
      <c r="C31" s="1391"/>
      <c r="D31" s="419"/>
      <c r="E31" s="419"/>
      <c r="F31" s="410"/>
      <c r="G31" s="420"/>
      <c r="H31" s="412">
        <f t="shared" si="3"/>
        <v>0</v>
      </c>
      <c r="I31" s="413"/>
    </row>
    <row r="32" spans="1:9" x14ac:dyDescent="0.2">
      <c r="A32" s="1392"/>
      <c r="B32" s="1393"/>
      <c r="C32" s="1393"/>
      <c r="D32" s="421"/>
      <c r="E32" s="421"/>
      <c r="F32" s="414"/>
      <c r="G32" s="422"/>
      <c r="H32" s="416">
        <f t="shared" si="3"/>
        <v>0</v>
      </c>
      <c r="I32" s="349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965"/>
      <c r="E37" s="966"/>
      <c r="F37" s="967"/>
      <c r="G37" s="940"/>
      <c r="H37" s="942"/>
      <c r="I37" s="343">
        <f>SUM(H38:H40)</f>
        <v>0</v>
      </c>
    </row>
    <row r="38" spans="1:9" x14ac:dyDescent="0.2">
      <c r="A38" s="1215"/>
      <c r="B38" s="1216"/>
      <c r="C38" s="1217"/>
      <c r="D38" s="965">
        <f>IF(A38&lt;&gt;0,VLOOKUP(A38,Transporte,8,FALSE),$J$1)</f>
        <v>0</v>
      </c>
      <c r="E38" s="966"/>
      <c r="F38" s="967">
        <f t="shared" ref="F38:F43" si="4">IF(A38&lt;&gt;0,VLOOKUP(A38,Transporte,2,FALSE),$J$1)</f>
        <v>0</v>
      </c>
      <c r="G38" s="940"/>
      <c r="H38" s="942">
        <f t="shared" ref="H38:H43" si="5">IF(A38&lt;&gt;0,D38/F38*G38,$J$1)</f>
        <v>0</v>
      </c>
      <c r="I38" s="344"/>
    </row>
    <row r="39" spans="1:9" x14ac:dyDescent="0.2">
      <c r="A39" s="1215"/>
      <c r="B39" s="1216"/>
      <c r="C39" s="1217"/>
      <c r="D39" s="965">
        <f>IF(A39&lt;&gt;0,VLOOKUP(A39,Transporte,8,FALSE),$J$1)</f>
        <v>0</v>
      </c>
      <c r="E39" s="966"/>
      <c r="F39" s="967">
        <f t="shared" si="4"/>
        <v>0</v>
      </c>
      <c r="G39" s="940"/>
      <c r="H39" s="942">
        <f t="shared" si="5"/>
        <v>0</v>
      </c>
      <c r="I39" s="344"/>
    </row>
    <row r="40" spans="1:9" x14ac:dyDescent="0.2">
      <c r="A40" s="1215"/>
      <c r="B40" s="1216"/>
      <c r="C40" s="1217"/>
      <c r="D40" s="965">
        <f>IF(A40&lt;&gt;0,VLOOKUP(A40,Transporte,8,FALSE),$J$1)</f>
        <v>0</v>
      </c>
      <c r="E40" s="966"/>
      <c r="F40" s="967">
        <f t="shared" si="4"/>
        <v>0</v>
      </c>
      <c r="G40" s="940"/>
      <c r="H40" s="942">
        <f t="shared" si="5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1368"/>
      <c r="B42" s="1352"/>
      <c r="C42" s="1353"/>
      <c r="D42" s="965">
        <f>IF(A42&lt;&gt;0,VLOOKUP(A42,Transporte,8,FALSE),$J$1)</f>
        <v>0</v>
      </c>
      <c r="E42" s="966"/>
      <c r="F42" s="967">
        <f t="shared" si="4"/>
        <v>0</v>
      </c>
      <c r="G42" s="940"/>
      <c r="H42" s="942">
        <f t="shared" si="5"/>
        <v>0</v>
      </c>
      <c r="I42" s="379"/>
    </row>
    <row r="43" spans="1:9" x14ac:dyDescent="0.2">
      <c r="A43" s="1368"/>
      <c r="B43" s="1352"/>
      <c r="C43" s="1353"/>
      <c r="D43" s="965">
        <f>IF(A43&lt;&gt;0,VLOOKUP(A43,Transporte,8,FALSE),$J$1)</f>
        <v>0</v>
      </c>
      <c r="E43" s="966"/>
      <c r="F43" s="967">
        <f t="shared" si="4"/>
        <v>0</v>
      </c>
      <c r="G43" s="940"/>
      <c r="H43" s="942">
        <f t="shared" si="5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57.31</v>
      </c>
      <c r="G48" s="1083"/>
      <c r="H48" s="7">
        <f>IF(A48&lt;&gt;0,ROUND(D48/F48,2),$J$1)</f>
        <v>4167.13</v>
      </c>
      <c r="I48" s="69"/>
    </row>
    <row r="49" spans="1:9" x14ac:dyDescent="0.2">
      <c r="A49" s="1256"/>
      <c r="B49" s="1257"/>
      <c r="C49" s="1257"/>
      <c r="D49" s="1350">
        <f>IF(A49&lt;&gt;0,VLOOKUP(A49,Cuadrillas,7,FALSE),$J$1)</f>
        <v>0</v>
      </c>
      <c r="E49" s="1350"/>
      <c r="F49" s="1351"/>
      <c r="G49" s="1351"/>
      <c r="H49" s="171">
        <f>IF(A49&lt;&gt;0,ROUND(D49/F49,2),$J$1)</f>
        <v>0</v>
      </c>
      <c r="I49" s="297"/>
    </row>
    <row r="50" spans="1:9" x14ac:dyDescent="0.2">
      <c r="A50" s="1080"/>
      <c r="B50" s="1081"/>
      <c r="C50" s="1081"/>
      <c r="D50" s="1350">
        <f>IF(A50&lt;&gt;0,VLOOKUP(A50,Cuadrillas,7,FALSE),$J$1)</f>
        <v>0</v>
      </c>
      <c r="E50" s="1350"/>
      <c r="F50" s="1351"/>
      <c r="G50" s="1351"/>
      <c r="H50" s="171">
        <f>IF(A50&lt;&gt;0,ROUND(D50/F50,2),$J$1)</f>
        <v>0</v>
      </c>
      <c r="I50" s="69"/>
    </row>
    <row r="51" spans="1:9" x14ac:dyDescent="0.2">
      <c r="A51" s="1256"/>
      <c r="B51" s="1257"/>
      <c r="C51" s="1257"/>
      <c r="D51" s="1350">
        <f>IF(A51&lt;&gt;0,VLOOKUP(A51,Cuadrillas,7,FALSE),$J$1)</f>
        <v>0</v>
      </c>
      <c r="E51" s="1350"/>
      <c r="F51" s="1351"/>
      <c r="G51" s="1351"/>
      <c r="H51" s="171">
        <f>IF(A51&lt;&gt;0,ROUND(D51/F51,2),$J$1)</f>
        <v>0</v>
      </c>
      <c r="I51" s="301"/>
    </row>
    <row r="52" spans="1:9" x14ac:dyDescent="0.2">
      <c r="A52" s="1256"/>
      <c r="B52" s="1257"/>
      <c r="C52" s="1257"/>
      <c r="D52" s="1350">
        <f>IF(A52&lt;&gt;0,VLOOKUP(A52,Cuadrillas,7,FALSE),$J$1)</f>
        <v>0</v>
      </c>
      <c r="E52" s="1350"/>
      <c r="F52" s="1351"/>
      <c r="G52" s="1351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54">
        <f>SUM(H48:H52)</f>
        <v>4167.13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4167.13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48:C48"/>
    <mergeCell ref="D47:E47"/>
    <mergeCell ref="A49:C49"/>
    <mergeCell ref="A1:C1"/>
    <mergeCell ref="B37:C37"/>
    <mergeCell ref="B41:C41"/>
    <mergeCell ref="A2:I2"/>
    <mergeCell ref="A3:I3"/>
    <mergeCell ref="H1:I1"/>
    <mergeCell ref="A12:C12"/>
    <mergeCell ref="A26:C26"/>
    <mergeCell ref="A15:C15"/>
    <mergeCell ref="A16:C16"/>
    <mergeCell ref="A19:C19"/>
    <mergeCell ref="A21:C21"/>
    <mergeCell ref="A14:C14"/>
    <mergeCell ref="A8:C8"/>
    <mergeCell ref="A9:C9"/>
    <mergeCell ref="A10:C10"/>
    <mergeCell ref="A46:I46"/>
    <mergeCell ref="A30:C30"/>
    <mergeCell ref="A31:C31"/>
    <mergeCell ref="A27:C27"/>
    <mergeCell ref="A11:C11"/>
    <mergeCell ref="A13:C13"/>
    <mergeCell ref="A32:C32"/>
    <mergeCell ref="A28:C28"/>
    <mergeCell ref="A29:C29"/>
    <mergeCell ref="A18:C18"/>
    <mergeCell ref="A20:C20"/>
    <mergeCell ref="A17:C17"/>
    <mergeCell ref="A53:H53"/>
    <mergeCell ref="D49:E49"/>
    <mergeCell ref="A42:C42"/>
    <mergeCell ref="A43:C43"/>
    <mergeCell ref="A38:C38"/>
    <mergeCell ref="A39:C39"/>
    <mergeCell ref="A40:C40"/>
    <mergeCell ref="A45:I45"/>
    <mergeCell ref="F47:G47"/>
    <mergeCell ref="F48:G48"/>
    <mergeCell ref="D52:E52"/>
    <mergeCell ref="F49:G49"/>
    <mergeCell ref="D48:E48"/>
    <mergeCell ref="A47:C47"/>
    <mergeCell ref="F52:G52"/>
    <mergeCell ref="F51:G51"/>
    <mergeCell ref="C5:I5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  <mergeCell ref="A55:H55"/>
    <mergeCell ref="A54:I54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215" t="s">
        <v>188</v>
      </c>
      <c r="B8" s="1216"/>
      <c r="C8" s="1217"/>
      <c r="D8" s="844" t="e">
        <f>IF(A8&lt;&gt;0,VLOOKUP(A8,Materiales,2,FALSE),$J$1)</f>
        <v>#REF!</v>
      </c>
      <c r="E8" s="12">
        <v>1.03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/>
      <c r="E9" s="12"/>
      <c r="F9" s="58"/>
      <c r="G9" s="58"/>
      <c r="H9" s="171">
        <f t="shared" si="0"/>
        <v>0</v>
      </c>
      <c r="I9" s="69"/>
    </row>
    <row r="10" spans="1:10" x14ac:dyDescent="0.2">
      <c r="A10" s="1213"/>
      <c r="B10" s="1214"/>
      <c r="C10" s="1214"/>
      <c r="D10" s="844"/>
      <c r="E10" s="12"/>
      <c r="F10" s="58"/>
      <c r="G10" s="58"/>
      <c r="H10" s="171">
        <f t="shared" si="0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171">
        <f t="shared" si="0"/>
        <v>0</v>
      </c>
      <c r="I11" s="69"/>
    </row>
    <row r="12" spans="1:10" x14ac:dyDescent="0.2">
      <c r="A12" s="1215"/>
      <c r="B12" s="1216"/>
      <c r="C12" s="1217"/>
      <c r="D12" s="844"/>
      <c r="E12" s="12"/>
      <c r="F12" s="58"/>
      <c r="G12" s="58"/>
      <c r="H12" s="171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171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171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171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171">
        <f t="shared" si="0"/>
        <v>0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171">
        <f t="shared" si="0"/>
        <v>0</v>
      </c>
      <c r="I17" s="69"/>
    </row>
    <row r="18" spans="1:9" x14ac:dyDescent="0.2">
      <c r="A18" s="1080"/>
      <c r="B18" s="1081"/>
      <c r="C18" s="1081"/>
      <c r="D18" s="844"/>
      <c r="E18" s="12"/>
      <c r="F18" s="58"/>
      <c r="G18" s="58"/>
      <c r="H18" s="171">
        <f t="shared" si="0"/>
        <v>0</v>
      </c>
      <c r="I18" s="69"/>
    </row>
    <row r="19" spans="1:9" x14ac:dyDescent="0.2">
      <c r="A19" s="1370"/>
      <c r="B19" s="1371"/>
      <c r="C19" s="1371"/>
      <c r="D19" s="369"/>
      <c r="E19" s="370"/>
      <c r="F19" s="371"/>
      <c r="G19" s="371"/>
      <c r="H19" s="94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942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965"/>
      <c r="E37" s="966"/>
      <c r="F37" s="967"/>
      <c r="G37" s="940"/>
      <c r="H37" s="942"/>
      <c r="I37" s="343">
        <f>SUM(H38:H40)</f>
        <v>0</v>
      </c>
    </row>
    <row r="38" spans="1:9" x14ac:dyDescent="0.2">
      <c r="A38" s="871"/>
      <c r="B38" s="872"/>
      <c r="C38" s="873"/>
      <c r="D38" s="965">
        <f>IF(A38&lt;&gt;0,VLOOKUP(A38,Transporte,8,FALSE),$J$1)</f>
        <v>0</v>
      </c>
      <c r="E38" s="966"/>
      <c r="F38" s="967">
        <f t="shared" ref="F38:F43" si="2">IF(A38&lt;&gt;0,VLOOKUP(A38,Transporte,2,FALSE),$J$1)</f>
        <v>0</v>
      </c>
      <c r="G38" s="940"/>
      <c r="H38" s="942">
        <f t="shared" ref="H38:H43" si="3">IF(A38&lt;&gt;0,D38/F38*G38,$J$1)</f>
        <v>0</v>
      </c>
      <c r="I38" s="344"/>
    </row>
    <row r="39" spans="1:9" x14ac:dyDescent="0.2">
      <c r="A39" s="871"/>
      <c r="B39" s="872"/>
      <c r="C39" s="873"/>
      <c r="D39" s="965">
        <f>IF(A39&lt;&gt;0,VLOOKUP(A39,Transporte,8,FALSE),$J$1)</f>
        <v>0</v>
      </c>
      <c r="E39" s="966"/>
      <c r="F39" s="967">
        <f t="shared" si="2"/>
        <v>0</v>
      </c>
      <c r="G39" s="940"/>
      <c r="H39" s="942">
        <f t="shared" si="3"/>
        <v>0</v>
      </c>
      <c r="I39" s="344"/>
    </row>
    <row r="40" spans="1:9" x14ac:dyDescent="0.2">
      <c r="B40" s="872"/>
      <c r="C40" s="873"/>
      <c r="D40" s="965">
        <f>IF(A40&lt;&gt;0,VLOOKUP(A40,Transporte,8,FALSE),$J$1)</f>
        <v>0</v>
      </c>
      <c r="E40" s="966"/>
      <c r="F40" s="967">
        <f t="shared" si="2"/>
        <v>0</v>
      </c>
      <c r="G40" s="940"/>
      <c r="H40" s="942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965"/>
      <c r="E41" s="966"/>
      <c r="F41" s="967"/>
      <c r="G41" s="940"/>
      <c r="H41" s="942"/>
      <c r="I41" s="343">
        <f>SUM(H42:H43)</f>
        <v>0</v>
      </c>
    </row>
    <row r="42" spans="1:9" x14ac:dyDescent="0.2">
      <c r="A42" s="896"/>
      <c r="B42" s="893"/>
      <c r="C42" s="894"/>
      <c r="D42" s="965">
        <f>IF(A42&lt;&gt;0,VLOOKUP(A42,Transporte,8,FALSE),$J$1)</f>
        <v>0</v>
      </c>
      <c r="E42" s="966"/>
      <c r="F42" s="967">
        <f t="shared" si="2"/>
        <v>0</v>
      </c>
      <c r="G42" s="940"/>
      <c r="H42" s="942">
        <f t="shared" si="3"/>
        <v>0</v>
      </c>
      <c r="I42" s="379"/>
    </row>
    <row r="43" spans="1:9" x14ac:dyDescent="0.2">
      <c r="A43" s="401"/>
      <c r="B43" s="375"/>
      <c r="C43" s="376"/>
      <c r="D43" s="965">
        <f>IF(A43&lt;&gt;0,VLOOKUP(A43,Transporte,8,FALSE),$J$1)</f>
        <v>0</v>
      </c>
      <c r="E43" s="966"/>
      <c r="F43" s="967">
        <f t="shared" si="2"/>
        <v>0</v>
      </c>
      <c r="G43" s="940"/>
      <c r="H43" s="942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68.756831652745873</v>
      </c>
      <c r="G48" s="1083"/>
      <c r="H48" s="7">
        <f>IF(A48&lt;&gt;0,ROUND(D48/F48,2),$J$1)</f>
        <v>3473.37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171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171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171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3473.37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3473.37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:C1"/>
    <mergeCell ref="B37:C37"/>
    <mergeCell ref="B41:C41"/>
    <mergeCell ref="A2:I2"/>
    <mergeCell ref="A3:I3"/>
    <mergeCell ref="H1:I1"/>
    <mergeCell ref="A12:C12"/>
    <mergeCell ref="A26:C26"/>
    <mergeCell ref="A16:C16"/>
    <mergeCell ref="A17:C17"/>
    <mergeCell ref="A19:C19"/>
    <mergeCell ref="A21:C21"/>
    <mergeCell ref="A14:C14"/>
    <mergeCell ref="A20:C20"/>
    <mergeCell ref="A18:C18"/>
    <mergeCell ref="C5:I5"/>
    <mergeCell ref="D48:E48"/>
    <mergeCell ref="A47:C47"/>
    <mergeCell ref="F52:G52"/>
    <mergeCell ref="F51:G51"/>
    <mergeCell ref="A48:C48"/>
    <mergeCell ref="D47:E47"/>
    <mergeCell ref="A49:C49"/>
    <mergeCell ref="F47:G47"/>
    <mergeCell ref="F48:G48"/>
    <mergeCell ref="D52:E52"/>
    <mergeCell ref="A55:H55"/>
    <mergeCell ref="A54:I54"/>
    <mergeCell ref="A8:C8"/>
    <mergeCell ref="A9:C9"/>
    <mergeCell ref="A10:C10"/>
    <mergeCell ref="A46:I46"/>
    <mergeCell ref="A30:C30"/>
    <mergeCell ref="A31:C31"/>
    <mergeCell ref="A27:C27"/>
    <mergeCell ref="A11:C11"/>
    <mergeCell ref="A13:C13"/>
    <mergeCell ref="A15:C15"/>
    <mergeCell ref="A32:C32"/>
    <mergeCell ref="A28:C28"/>
    <mergeCell ref="A29:C29"/>
    <mergeCell ref="A45:I45"/>
    <mergeCell ref="A53:H53"/>
    <mergeCell ref="D49:E49"/>
    <mergeCell ref="F49:G49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</mergeCells>
  <phoneticPr fontId="0" type="noConversion"/>
  <dataValidations count="5">
    <dataValidation type="list" allowBlank="1" showInputMessage="1" showErrorMessage="1" sqref="A26:A32 B38:C40 B42:C43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39 A41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187</v>
      </c>
      <c r="B8" s="1081"/>
      <c r="C8" s="1081"/>
      <c r="D8" s="844" t="e">
        <f t="shared" ref="D8:D21" si="0">IF(A8&lt;&gt;0,VLOOKUP(A8,Materiales,2,FALSE),$J$1)</f>
        <v>#REF!</v>
      </c>
      <c r="E8" s="12">
        <v>1.03</v>
      </c>
      <c r="F8" s="58" t="e">
        <f t="shared" ref="F8:F18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>IF(A13&lt;&gt;0,VLOOKUP(A13,Materiales,2,FALSE),$J$1)</f>
        <v>-</v>
      </c>
      <c r="E13" s="12"/>
      <c r="F13" s="58" t="str">
        <f>IF(A13&lt;&gt;0,VLOOKUP(A13,Materiales,6,FALSE),$J$1)</f>
        <v>-</v>
      </c>
      <c r="G13" s="58"/>
      <c r="H13" s="7" t="str">
        <f>IF(A13&lt;&gt;0,ROUND(E13*F13,2),$J$1)</f>
        <v>-</v>
      </c>
      <c r="I13" s="69"/>
    </row>
    <row r="14" spans="1:10" x14ac:dyDescent="0.2">
      <c r="A14" s="1080"/>
      <c r="B14" s="1081"/>
      <c r="C14" s="1081"/>
      <c r="D14" s="844" t="str">
        <f>IF(A14&lt;&gt;0,VLOOKUP(A14,Materiales,2,FALSE),$J$1)</f>
        <v>-</v>
      </c>
      <c r="E14" s="12"/>
      <c r="F14" s="58" t="str">
        <f>IF(A14&lt;&gt;0,VLOOKUP(A14,Materiales,6,FALSE),$J$1)</f>
        <v>-</v>
      </c>
      <c r="G14" s="58"/>
      <c r="H14" s="7" t="str">
        <f>IF(A14&lt;&gt;0,ROUND(E14*F14,2),$J$1)</f>
        <v>-</v>
      </c>
      <c r="I14" s="69"/>
    </row>
    <row r="15" spans="1:10" x14ac:dyDescent="0.2">
      <c r="A15" s="1080"/>
      <c r="B15" s="1081"/>
      <c r="C15" s="1081"/>
      <c r="D15" s="844" t="str">
        <f>IF(A15&lt;&gt;0,VLOOKUP(A15,Materiales,2,FALSE),$J$1)</f>
        <v>-</v>
      </c>
      <c r="E15" s="12"/>
      <c r="F15" s="58" t="str">
        <f>IF(A15&lt;&gt;0,VLOOKUP(A15,Materiales,6,FALSE),$J$1)</f>
        <v>-</v>
      </c>
      <c r="G15" s="58"/>
      <c r="H15" s="7" t="str">
        <f>IF(A15&lt;&gt;0,ROUND(E15*F15,2),$J$1)</f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080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69"/>
    </row>
    <row r="20" spans="1:9" x14ac:dyDescent="0.2">
      <c r="A20" s="1080"/>
      <c r="B20" s="1081"/>
      <c r="C20" s="1081"/>
      <c r="D20" s="844" t="str">
        <f t="shared" si="0"/>
        <v>-</v>
      </c>
      <c r="E20" s="12"/>
      <c r="F20" s="58" t="str">
        <f>IF(A20&lt;&gt;0,VLOOKUP(A20,Materiales,5,FALSE),$J$1)</f>
        <v>-</v>
      </c>
      <c r="G20" s="58"/>
      <c r="H20" s="7" t="str">
        <f t="shared" si="2"/>
        <v>-</v>
      </c>
      <c r="I20" s="69"/>
    </row>
    <row r="21" spans="1:9" x14ac:dyDescent="0.2">
      <c r="A21" s="1080"/>
      <c r="B21" s="1081"/>
      <c r="C21" s="1081"/>
      <c r="D21" s="844" t="str">
        <f t="shared" si="0"/>
        <v>-</v>
      </c>
      <c r="E21" s="12"/>
      <c r="F21" s="58" t="str">
        <f>IF(A21&lt;&gt;0,VLOOKUP(A21,Materiales,5,FALSE),$J$1)</f>
        <v>-</v>
      </c>
      <c r="G21" s="58"/>
      <c r="H21" s="7" t="str">
        <f t="shared" si="2"/>
        <v>-</v>
      </c>
      <c r="I21" s="73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 t="shared" ref="F26:F32" si="3">IF(A26&lt;&gt;0,VLOOKUP(A26,Equipos,6,FALSE),$J$1)</f>
        <v>3710</v>
      </c>
      <c r="G26" s="14">
        <v>0.05</v>
      </c>
      <c r="H26" s="7">
        <f t="shared" ref="H26:H32" si="4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080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69"/>
    </row>
    <row r="31" spans="1:9" x14ac:dyDescent="0.2">
      <c r="A31" s="1080"/>
      <c r="B31" s="1081"/>
      <c r="C31" s="1081"/>
      <c r="D31" s="33"/>
      <c r="E31" s="33"/>
      <c r="F31" s="12" t="str">
        <f t="shared" si="3"/>
        <v>-</v>
      </c>
      <c r="G31" s="14"/>
      <c r="H31" s="7" t="str">
        <f t="shared" si="4"/>
        <v>-</v>
      </c>
      <c r="I31" s="69"/>
    </row>
    <row r="32" spans="1:9" x14ac:dyDescent="0.2">
      <c r="A32" s="1080"/>
      <c r="B32" s="1081"/>
      <c r="C32" s="1081"/>
      <c r="D32" s="33"/>
      <c r="E32" s="33"/>
      <c r="F32" s="12" t="str">
        <f t="shared" si="3"/>
        <v>-</v>
      </c>
      <c r="G32" s="14"/>
      <c r="H32" s="7" t="str">
        <f t="shared" si="4"/>
        <v>-</v>
      </c>
      <c r="I32" s="73"/>
    </row>
    <row r="33" spans="1:9" x14ac:dyDescent="0.2">
      <c r="A33" s="853" t="s">
        <v>2221</v>
      </c>
      <c r="B33" s="854"/>
      <c r="C33" s="854"/>
      <c r="D33" s="3"/>
      <c r="E33" s="872"/>
      <c r="F33" s="872"/>
      <c r="G33" s="872"/>
      <c r="H33" s="873"/>
      <c r="I33" s="24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6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72"/>
    </row>
    <row r="37" spans="1:9" x14ac:dyDescent="0.2">
      <c r="A37" s="944"/>
      <c r="B37" s="1105" t="s">
        <v>2226</v>
      </c>
      <c r="C37" s="1298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0"/>
      <c r="B38" s="1211"/>
      <c r="C38" s="1212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44"/>
    </row>
    <row r="39" spans="1:9" x14ac:dyDescent="0.2">
      <c r="A39" s="1210"/>
      <c r="B39" s="1211"/>
      <c r="C39" s="1212"/>
      <c r="D39" s="46" t="str">
        <f>IF(A39&lt;&gt;0,VLOOKUP(A39,Transporte,8,FALSE),$J$1)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0"/>
      <c r="B40" s="1211"/>
      <c r="C40" s="1212"/>
      <c r="D40" s="46" t="str">
        <f>IF(A40&lt;&gt;0,VLOOKUP(A40,Transporte,8,FALSE),$J$1)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215"/>
      <c r="B42" s="1216"/>
      <c r="C42" s="1217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4"/>
    </row>
    <row r="43" spans="1:9" x14ac:dyDescent="0.2">
      <c r="A43" s="1215"/>
      <c r="B43" s="1216"/>
      <c r="C43" s="1217"/>
      <c r="D43" s="61" t="str">
        <f>IF(A32&lt;&gt;0,VLOOKUP(A43,Transporte,8,FALSE),$J$1)</f>
        <v>-</v>
      </c>
      <c r="E43" s="61"/>
      <c r="F43" s="15" t="str">
        <f t="shared" si="5"/>
        <v>-</v>
      </c>
      <c r="G43" s="12"/>
      <c r="H43" s="7" t="str">
        <f t="shared" si="6"/>
        <v>-</v>
      </c>
      <c r="I43" s="346"/>
    </row>
    <row r="44" spans="1:9" x14ac:dyDescent="0.2">
      <c r="A44" s="1106" t="s">
        <v>2228</v>
      </c>
      <c r="B44" s="1107"/>
      <c r="C44" s="1107"/>
      <c r="D44" s="1107"/>
      <c r="E44" s="1107"/>
      <c r="F44" s="1107"/>
      <c r="G44" s="1107"/>
      <c r="H44" s="110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49.12</v>
      </c>
      <c r="G48" s="1083"/>
      <c r="H48" s="7">
        <f>IF(A48&lt;&gt;0,ROUND(D48/F48,2),$J$1)</f>
        <v>4861.93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080"/>
      <c r="B50" s="1081"/>
      <c r="C50" s="1081"/>
      <c r="D50" s="1082" t="str">
        <f>IF(A50&lt;&gt;0,VLOOKUP(A50,Cuadrillas,7,FALSE),$J$1)</f>
        <v>-</v>
      </c>
      <c r="E50" s="1082"/>
      <c r="F50" s="1083"/>
      <c r="G50" s="1083"/>
      <c r="H50" s="7" t="str">
        <f>IF(A50&lt;&gt;0,ROUND(D50/F50,2),$J$1)</f>
        <v>-</v>
      </c>
      <c r="I50" s="69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080"/>
      <c r="B52" s="1081"/>
      <c r="C52" s="1081"/>
      <c r="D52" s="1082" t="str">
        <f>IF(A52&lt;&gt;0,VLOOKUP(A52,Cuadrillas,7,FALSE),$J$1)</f>
        <v>-</v>
      </c>
      <c r="E52" s="1082"/>
      <c r="F52" s="1083"/>
      <c r="G52" s="1083"/>
      <c r="H52" s="7" t="str">
        <f>IF(A52&lt;&gt;0,ROUND(D52/F52,2),$J$1)</f>
        <v>-</v>
      </c>
      <c r="I52" s="69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242">
        <f>SUM(H48:H52)</f>
        <v>4861.93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4861.93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2">
    <mergeCell ref="A1:C1"/>
    <mergeCell ref="B37:C37"/>
    <mergeCell ref="B41:C41"/>
    <mergeCell ref="F48:G48"/>
    <mergeCell ref="A46:I46"/>
    <mergeCell ref="H1:I1"/>
    <mergeCell ref="A28:C28"/>
    <mergeCell ref="A29:C29"/>
    <mergeCell ref="D48:E48"/>
    <mergeCell ref="A47:C47"/>
    <mergeCell ref="A48:C48"/>
    <mergeCell ref="D47:E47"/>
    <mergeCell ref="A30:C30"/>
    <mergeCell ref="A31:C31"/>
    <mergeCell ref="A44:H44"/>
    <mergeCell ref="A45:I45"/>
    <mergeCell ref="D52:E52"/>
    <mergeCell ref="F49:G49"/>
    <mergeCell ref="A49:C49"/>
    <mergeCell ref="A55:H55"/>
    <mergeCell ref="D49:E49"/>
    <mergeCell ref="F47:G47"/>
    <mergeCell ref="A54:I54"/>
    <mergeCell ref="A53:H53"/>
    <mergeCell ref="A59:G59"/>
    <mergeCell ref="H59:I59"/>
    <mergeCell ref="A50:C50"/>
    <mergeCell ref="A51:C51"/>
    <mergeCell ref="D50:E50"/>
    <mergeCell ref="F50:G50"/>
    <mergeCell ref="A52:C52"/>
    <mergeCell ref="D51:E51"/>
    <mergeCell ref="A58:C58"/>
    <mergeCell ref="D58:E58"/>
    <mergeCell ref="F58:I58"/>
    <mergeCell ref="F52:G52"/>
    <mergeCell ref="F51:G51"/>
    <mergeCell ref="A43:C43"/>
    <mergeCell ref="A56:H56"/>
    <mergeCell ref="A57:G57"/>
    <mergeCell ref="A32:C32"/>
    <mergeCell ref="A8:C8"/>
    <mergeCell ref="A9:C9"/>
    <mergeCell ref="A10:C10"/>
    <mergeCell ref="A11:C11"/>
    <mergeCell ref="A12:C12"/>
    <mergeCell ref="A17:C17"/>
    <mergeCell ref="A26:C26"/>
    <mergeCell ref="A27:C27"/>
    <mergeCell ref="A18:C18"/>
    <mergeCell ref="A19:C19"/>
    <mergeCell ref="A20:C20"/>
    <mergeCell ref="A21:C21"/>
    <mergeCell ref="C5:I5"/>
    <mergeCell ref="A38:C38"/>
    <mergeCell ref="A39:C39"/>
    <mergeCell ref="A40:C40"/>
    <mergeCell ref="A42:C42"/>
    <mergeCell ref="A16:C16"/>
    <mergeCell ref="A13:C13"/>
    <mergeCell ref="A14:C14"/>
    <mergeCell ref="A15:C15"/>
  </mergeCells>
  <phoneticPr fontId="0" type="noConversion"/>
  <dataValidations disablePrompts="1"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3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3EDA00"/>
    <pageSetUpPr fitToPage="1"/>
  </sheetPr>
  <dimension ref="A1:N47"/>
  <sheetViews>
    <sheetView view="pageBreakPreview" zoomScaleNormal="100" zoomScaleSheetLayoutView="100" workbookViewId="0">
      <selection activeCell="D22" sqref="D22:G22"/>
    </sheetView>
  </sheetViews>
  <sheetFormatPr baseColWidth="10" defaultColWidth="9.140625" defaultRowHeight="12.75" x14ac:dyDescent="0.2"/>
  <cols>
    <col min="1" max="1" width="30.28515625" style="1" customWidth="1"/>
    <col min="2" max="2" width="3.28515625" style="1" customWidth="1"/>
    <col min="3" max="3" width="8" style="1" customWidth="1"/>
    <col min="4" max="4" width="2.5703125" style="1" customWidth="1"/>
    <col min="5" max="5" width="3.28515625" style="1" customWidth="1"/>
    <col min="6" max="6" width="12.28515625" style="1" customWidth="1"/>
    <col min="7" max="7" width="15.140625" style="122" customWidth="1"/>
    <col min="8" max="8" width="17.7109375" style="146" customWidth="1"/>
    <col min="9" max="9" width="16" style="122" customWidth="1"/>
    <col min="10" max="16384" width="9.140625" style="1"/>
  </cols>
  <sheetData>
    <row r="1" spans="1:14" customFormat="1" x14ac:dyDescent="0.2">
      <c r="A1" s="166"/>
      <c r="B1" s="167"/>
      <c r="C1" s="167"/>
      <c r="D1" s="135"/>
      <c r="E1" s="168"/>
      <c r="F1" s="168"/>
      <c r="G1" s="168"/>
      <c r="H1" s="182"/>
      <c r="I1" s="182"/>
      <c r="J1" s="168"/>
      <c r="K1" s="168"/>
      <c r="L1" s="168"/>
      <c r="M1" s="1"/>
      <c r="N1" s="1"/>
    </row>
    <row r="2" spans="1:14" customFormat="1" x14ac:dyDescent="0.2">
      <c r="A2" s="166"/>
      <c r="B2" s="167"/>
      <c r="C2" s="167"/>
      <c r="D2" s="135"/>
      <c r="E2" s="168"/>
      <c r="F2" s="168"/>
      <c r="G2" s="168"/>
      <c r="H2" s="168"/>
      <c r="I2" s="135"/>
      <c r="J2" s="168"/>
      <c r="K2" s="168"/>
      <c r="L2" s="168"/>
      <c r="M2" s="181"/>
      <c r="N2" s="181"/>
    </row>
    <row r="3" spans="1:14" customFormat="1" x14ac:dyDescent="0.2">
      <c r="A3" s="986" t="str">
        <f>+'Datos entrada'!B11</f>
        <v>CORREGIMIENTO DE LAS MESAS-MUNICIPIO DETABLON DE GOMES (N)</v>
      </c>
      <c r="B3" s="986"/>
      <c r="C3" s="986"/>
      <c r="D3" s="986"/>
      <c r="E3" s="986"/>
      <c r="F3" s="986"/>
      <c r="G3" s="986"/>
      <c r="H3" s="986"/>
      <c r="I3" s="986"/>
      <c r="J3" s="168"/>
      <c r="K3" s="168"/>
      <c r="L3" s="168"/>
      <c r="M3" s="181"/>
      <c r="N3" s="181"/>
    </row>
    <row r="4" spans="1:14" customFormat="1" x14ac:dyDescent="0.2">
      <c r="A4" s="166"/>
      <c r="B4" s="167"/>
      <c r="C4" s="167"/>
      <c r="D4" s="135"/>
      <c r="E4" s="168"/>
      <c r="F4" s="168"/>
      <c r="G4" s="168"/>
      <c r="H4" s="168"/>
      <c r="I4" s="135"/>
      <c r="J4" s="168"/>
      <c r="K4" s="168"/>
      <c r="L4" s="168"/>
      <c r="M4" s="169"/>
    </row>
    <row r="5" spans="1:14" customFormat="1" ht="36.75" customHeight="1" x14ac:dyDescent="0.2">
      <c r="A5" s="987" t="str">
        <f>+'Datos entrada'!B3</f>
        <v>OPTIMIZACIÓN Y AMPLIACIÓN DE LA RED ALCANTARILLADO DEL CORREGIMIENTO DE LAS MESAS, MUNICIPIO DE EL TABLON DE GOMEZ – DEPARTAMENTO DE NARIÑO.</v>
      </c>
      <c r="B5" s="987"/>
      <c r="C5" s="987"/>
      <c r="D5" s="987"/>
      <c r="E5" s="987"/>
      <c r="F5" s="987"/>
      <c r="G5" s="987"/>
      <c r="H5" s="987"/>
      <c r="I5" s="987"/>
      <c r="J5" s="1"/>
      <c r="K5" s="168"/>
      <c r="L5" s="168"/>
      <c r="M5" s="169"/>
    </row>
    <row r="6" spans="1:14" customFormat="1" x14ac:dyDescent="0.2">
      <c r="A6" s="190"/>
      <c r="B6" s="985"/>
      <c r="C6" s="985"/>
      <c r="D6" s="985"/>
      <c r="E6" s="985"/>
      <c r="F6" s="985"/>
      <c r="G6" s="985"/>
      <c r="H6" s="985"/>
      <c r="I6" s="985"/>
      <c r="J6" s="168"/>
      <c r="K6" s="168"/>
      <c r="L6" s="168"/>
      <c r="M6" s="169"/>
    </row>
    <row r="7" spans="1:14" s="9" customFormat="1" x14ac:dyDescent="0.2">
      <c r="A7" s="994" t="s">
        <v>24</v>
      </c>
      <c r="B7" s="994"/>
      <c r="C7" s="994"/>
      <c r="D7" s="994"/>
      <c r="E7" s="994"/>
      <c r="F7" s="994"/>
      <c r="G7" s="994"/>
      <c r="H7" s="994"/>
      <c r="I7" s="994"/>
    </row>
    <row r="8" spans="1:14" s="9" customFormat="1" x14ac:dyDescent="0.2">
      <c r="A8" s="123"/>
      <c r="B8" s="124"/>
      <c r="C8" s="124"/>
      <c r="D8" s="125"/>
      <c r="E8" s="125"/>
      <c r="F8" s="125"/>
      <c r="G8" s="126"/>
      <c r="H8" s="144"/>
      <c r="I8" s="126"/>
    </row>
    <row r="9" spans="1:14" s="9" customFormat="1" ht="25.5" customHeight="1" x14ac:dyDescent="0.2">
      <c r="A9" s="32" t="s">
        <v>25</v>
      </c>
      <c r="B9" s="30"/>
      <c r="C9" s="30"/>
      <c r="D9" s="31">
        <f>+Salarios!B19</f>
        <v>820857</v>
      </c>
      <c r="E9" s="31"/>
      <c r="F9" s="31"/>
      <c r="G9" s="148"/>
      <c r="H9" s="145"/>
      <c r="I9" s="119"/>
    </row>
    <row r="10" spans="1:14" x14ac:dyDescent="0.2">
      <c r="A10" s="134" t="s">
        <v>26</v>
      </c>
      <c r="B10" s="131" t="s">
        <v>27</v>
      </c>
      <c r="C10" s="129"/>
      <c r="D10" s="129"/>
      <c r="E10" s="130"/>
      <c r="F10" s="991" t="s">
        <v>28</v>
      </c>
      <c r="G10" s="992"/>
      <c r="H10" s="992"/>
      <c r="I10" s="993"/>
    </row>
    <row r="11" spans="1:14" ht="13.5" customHeight="1" x14ac:dyDescent="0.2">
      <c r="A11" s="20" t="s">
        <v>29</v>
      </c>
      <c r="B11" s="988">
        <f>HLOOKUP(A11,Salarios,7,FALSE)</f>
        <v>131049.82005000001</v>
      </c>
      <c r="C11" s="995"/>
      <c r="D11" s="995"/>
      <c r="E11" s="996"/>
      <c r="F11" s="988">
        <f>HLOOKUP(A11,Salarios,4,FALSE)</f>
        <v>48512.648699999991</v>
      </c>
      <c r="G11" s="989"/>
      <c r="H11" s="989"/>
      <c r="I11" s="990"/>
    </row>
    <row r="12" spans="1:14" x14ac:dyDescent="0.2">
      <c r="A12" s="20" t="s">
        <v>30</v>
      </c>
      <c r="B12" s="988">
        <f>HLOOKUP(A12,Salarios,7,FALSE)</f>
        <v>144154.80205500001</v>
      </c>
      <c r="C12" s="995"/>
      <c r="D12" s="995"/>
      <c r="E12" s="996"/>
      <c r="F12" s="988">
        <f>HLOOKUP(A12,Salarios,4,FALSE)</f>
        <v>53363.913569999997</v>
      </c>
      <c r="G12" s="989"/>
      <c r="H12" s="989"/>
      <c r="I12" s="990"/>
    </row>
    <row r="13" spans="1:14" x14ac:dyDescent="0.2">
      <c r="A13" s="20" t="s">
        <v>31</v>
      </c>
      <c r="B13" s="988">
        <f>HLOOKUP(A13,Salarios,7,FALSE)</f>
        <v>150707.29305750001</v>
      </c>
      <c r="C13" s="995"/>
      <c r="D13" s="995"/>
      <c r="E13" s="996"/>
      <c r="F13" s="988">
        <f>HLOOKUP(A13,Salarios,4,FALSE)</f>
        <v>55789.546004999989</v>
      </c>
      <c r="G13" s="989"/>
      <c r="H13" s="989"/>
      <c r="I13" s="990"/>
    </row>
    <row r="14" spans="1:14" x14ac:dyDescent="0.2">
      <c r="A14" s="20" t="s">
        <v>32</v>
      </c>
      <c r="B14" s="988">
        <f>HLOOKUP(A14,Salarios,7,FALSE)</f>
        <v>157259.78406000001</v>
      </c>
      <c r="C14" s="995"/>
      <c r="D14" s="995"/>
      <c r="E14" s="996"/>
      <c r="F14" s="988">
        <f>HLOOKUP(A14,Salarios,4,FALSE)</f>
        <v>58215.178439999989</v>
      </c>
      <c r="G14" s="989"/>
      <c r="H14" s="989"/>
      <c r="I14" s="990"/>
    </row>
    <row r="15" spans="1:14" x14ac:dyDescent="0.2">
      <c r="A15" s="20" t="s">
        <v>33</v>
      </c>
      <c r="B15" s="988">
        <f>HLOOKUP(A15,Salarios,7,FALSE)</f>
        <v>174296.26066649999</v>
      </c>
      <c r="C15" s="995"/>
      <c r="D15" s="995"/>
      <c r="E15" s="996"/>
      <c r="F15" s="988">
        <f>HLOOKUP(A15,Salarios,4,FALSE)</f>
        <v>64521.822770999999</v>
      </c>
      <c r="G15" s="989"/>
      <c r="H15" s="989"/>
      <c r="I15" s="990"/>
    </row>
    <row r="16" spans="1:14" x14ac:dyDescent="0.2">
      <c r="A16" s="20"/>
      <c r="B16" s="840"/>
      <c r="C16" s="841"/>
      <c r="D16" s="841"/>
      <c r="E16" s="841"/>
      <c r="F16" s="143"/>
      <c r="G16" s="147" t="s">
        <v>34</v>
      </c>
      <c r="H16" s="147" t="s">
        <v>35</v>
      </c>
      <c r="I16" s="147" t="s">
        <v>36</v>
      </c>
    </row>
    <row r="17" spans="1:9" x14ac:dyDescent="0.2">
      <c r="A17" s="20" t="s">
        <v>37</v>
      </c>
      <c r="B17" s="840"/>
      <c r="C17" s="841"/>
      <c r="D17" s="841"/>
      <c r="E17" s="841">
        <v>2</v>
      </c>
      <c r="F17" s="793" t="s">
        <v>38</v>
      </c>
      <c r="G17" s="121">
        <f>+ROUND(I17*H17+I17,2)</f>
        <v>102846.82</v>
      </c>
      <c r="H17" s="794">
        <f>+'Datos entrada'!D13</f>
        <v>0.06</v>
      </c>
      <c r="I17" s="795">
        <f>+F11*E17</f>
        <v>97025.297399999981</v>
      </c>
    </row>
    <row r="18" spans="1:9" x14ac:dyDescent="0.2">
      <c r="A18" s="2" t="s">
        <v>39</v>
      </c>
      <c r="B18" s="4"/>
      <c r="C18" s="5"/>
      <c r="D18" s="5"/>
      <c r="E18" s="5">
        <v>3</v>
      </c>
      <c r="F18" s="6" t="s">
        <v>38</v>
      </c>
      <c r="G18" s="121">
        <f t="shared" ref="G18:G32" si="0">ROUND(I18*H18+I18,2)</f>
        <v>154270.22</v>
      </c>
      <c r="H18" s="149">
        <f>+'Datos entrada'!D13</f>
        <v>0.06</v>
      </c>
      <c r="I18" s="120">
        <f>F11*E18</f>
        <v>145537.94609999997</v>
      </c>
    </row>
    <row r="19" spans="1:9" x14ac:dyDescent="0.2">
      <c r="A19" s="2" t="s">
        <v>40</v>
      </c>
      <c r="B19" s="4">
        <v>1</v>
      </c>
      <c r="C19" s="5" t="s">
        <v>41</v>
      </c>
      <c r="D19" s="5"/>
      <c r="E19" s="5">
        <v>2</v>
      </c>
      <c r="F19" s="6" t="s">
        <v>38</v>
      </c>
      <c r="G19" s="121">
        <f t="shared" si="0"/>
        <v>252044.31</v>
      </c>
      <c r="H19" s="149">
        <f>+'Datos entrada'!D14</f>
        <v>0.06</v>
      </c>
      <c r="I19" s="120">
        <f>F12*E19+B11*B19</f>
        <v>237777.64718999999</v>
      </c>
    </row>
    <row r="20" spans="1:9" x14ac:dyDescent="0.2">
      <c r="A20" s="2" t="s">
        <v>42</v>
      </c>
      <c r="B20" s="4"/>
      <c r="C20" s="5"/>
      <c r="D20" s="5"/>
      <c r="E20" s="5">
        <v>1</v>
      </c>
      <c r="F20" s="6" t="s">
        <v>38</v>
      </c>
      <c r="G20" s="121">
        <f t="shared" si="0"/>
        <v>51423.41</v>
      </c>
      <c r="H20" s="149">
        <f>+'Datos entrada'!D14</f>
        <v>0.06</v>
      </c>
      <c r="I20" s="120">
        <f>F11*E20</f>
        <v>48512.648699999991</v>
      </c>
    </row>
    <row r="21" spans="1:9" x14ac:dyDescent="0.2">
      <c r="A21" s="36" t="s">
        <v>43</v>
      </c>
      <c r="B21" s="4">
        <v>1</v>
      </c>
      <c r="C21" s="103" t="s">
        <v>41</v>
      </c>
      <c r="D21" s="5" t="s">
        <v>44</v>
      </c>
      <c r="E21" s="5">
        <v>1</v>
      </c>
      <c r="F21" s="104" t="s">
        <v>38</v>
      </c>
      <c r="G21" s="121">
        <f t="shared" si="0"/>
        <v>190336.22</v>
      </c>
      <c r="H21" s="149">
        <f>+H18</f>
        <v>0.06</v>
      </c>
      <c r="I21" s="120">
        <f>+B21*B11+E21*F11</f>
        <v>179562.46875</v>
      </c>
    </row>
    <row r="22" spans="1:9" x14ac:dyDescent="0.2">
      <c r="A22" s="36" t="s">
        <v>45</v>
      </c>
      <c r="B22" s="4"/>
      <c r="C22" s="5"/>
      <c r="D22" s="5"/>
      <c r="E22" s="5">
        <v>2</v>
      </c>
      <c r="F22" s="6" t="s">
        <v>38</v>
      </c>
      <c r="G22" s="121">
        <f t="shared" si="0"/>
        <v>102846.82</v>
      </c>
      <c r="H22" s="149">
        <f>+H21</f>
        <v>0.06</v>
      </c>
      <c r="I22" s="120">
        <f>F11*E22</f>
        <v>97025.297399999981</v>
      </c>
    </row>
    <row r="23" spans="1:9" x14ac:dyDescent="0.2">
      <c r="A23" s="2" t="s">
        <v>46</v>
      </c>
      <c r="B23" s="4">
        <v>1</v>
      </c>
      <c r="C23" s="5" t="s">
        <v>47</v>
      </c>
      <c r="D23" s="5" t="s">
        <v>44</v>
      </c>
      <c r="E23" s="5">
        <v>3</v>
      </c>
      <c r="F23" s="6" t="s">
        <v>38</v>
      </c>
      <c r="G23" s="121">
        <f t="shared" si="0"/>
        <v>293183.03000000003</v>
      </c>
      <c r="H23" s="149">
        <f t="shared" ref="H23:H42" si="1">+H22</f>
        <v>0.06</v>
      </c>
      <c r="I23" s="120">
        <f>B11*B23+F11*E23</f>
        <v>276587.76614999998</v>
      </c>
    </row>
    <row r="24" spans="1:9" x14ac:dyDescent="0.2">
      <c r="A24" s="2" t="s">
        <v>48</v>
      </c>
      <c r="B24" s="4">
        <v>2</v>
      </c>
      <c r="C24" s="5" t="s">
        <v>47</v>
      </c>
      <c r="D24" s="5" t="s">
        <v>44</v>
      </c>
      <c r="E24" s="5">
        <v>1</v>
      </c>
      <c r="F24" s="6" t="s">
        <v>38</v>
      </c>
      <c r="G24" s="121">
        <f t="shared" si="0"/>
        <v>329249.03000000003</v>
      </c>
      <c r="H24" s="149">
        <f t="shared" si="1"/>
        <v>0.06</v>
      </c>
      <c r="I24" s="120">
        <f>B11*B24+F11*E24</f>
        <v>310612.28879999998</v>
      </c>
    </row>
    <row r="25" spans="1:9" x14ac:dyDescent="0.2">
      <c r="A25" s="2" t="s">
        <v>49</v>
      </c>
      <c r="B25" s="4">
        <v>2</v>
      </c>
      <c r="C25" s="5" t="s">
        <v>47</v>
      </c>
      <c r="D25" s="5" t="s">
        <v>44</v>
      </c>
      <c r="E25" s="5">
        <v>3</v>
      </c>
      <c r="F25" s="6" t="s">
        <v>38</v>
      </c>
      <c r="G25" s="121">
        <f t="shared" si="0"/>
        <v>432095.84</v>
      </c>
      <c r="H25" s="149">
        <f t="shared" si="1"/>
        <v>0.06</v>
      </c>
      <c r="I25" s="120">
        <f>B11*B25+F11*E25</f>
        <v>407637.58620000002</v>
      </c>
    </row>
    <row r="26" spans="1:9" x14ac:dyDescent="0.2">
      <c r="A26" s="803" t="s">
        <v>50</v>
      </c>
      <c r="B26" s="809">
        <v>1</v>
      </c>
      <c r="C26" s="810" t="s">
        <v>47</v>
      </c>
      <c r="D26" s="810" t="s">
        <v>44</v>
      </c>
      <c r="E26" s="810">
        <v>3</v>
      </c>
      <c r="F26" s="811" t="s">
        <v>38</v>
      </c>
      <c r="G26" s="812">
        <f t="shared" si="0"/>
        <v>322501.34000000003</v>
      </c>
      <c r="H26" s="813">
        <f t="shared" si="1"/>
        <v>0.06</v>
      </c>
      <c r="I26" s="814">
        <f>B12*B26+F12*E26</f>
        <v>304246.54276500002</v>
      </c>
    </row>
    <row r="27" spans="1:9" x14ac:dyDescent="0.2">
      <c r="A27" s="803" t="s">
        <v>51</v>
      </c>
      <c r="B27" s="809">
        <v>2</v>
      </c>
      <c r="C27" s="810" t="s">
        <v>47</v>
      </c>
      <c r="D27" s="810" t="s">
        <v>44</v>
      </c>
      <c r="E27" s="810">
        <v>2</v>
      </c>
      <c r="F27" s="811" t="s">
        <v>38</v>
      </c>
      <c r="G27" s="812">
        <f t="shared" si="0"/>
        <v>418739.68</v>
      </c>
      <c r="H27" s="813">
        <f t="shared" si="1"/>
        <v>0.06</v>
      </c>
      <c r="I27" s="814">
        <f>B12*B27+F12*E27</f>
        <v>395037.43125000002</v>
      </c>
    </row>
    <row r="28" spans="1:9" x14ac:dyDescent="0.2">
      <c r="A28" s="36" t="s">
        <v>52</v>
      </c>
      <c r="B28" s="4">
        <v>1</v>
      </c>
      <c r="C28" s="103" t="s">
        <v>47</v>
      </c>
      <c r="D28" s="103" t="s">
        <v>44</v>
      </c>
      <c r="E28" s="5">
        <v>4</v>
      </c>
      <c r="F28" s="104" t="s">
        <v>38</v>
      </c>
      <c r="G28" s="121">
        <f t="shared" si="0"/>
        <v>413527.73</v>
      </c>
      <c r="H28" s="149">
        <f t="shared" si="1"/>
        <v>0.06</v>
      </c>
      <c r="I28" s="120">
        <f>+B28*B14+E28*F14</f>
        <v>390120.49781999993</v>
      </c>
    </row>
    <row r="29" spans="1:9" x14ac:dyDescent="0.2">
      <c r="A29" s="36" t="s">
        <v>53</v>
      </c>
      <c r="B29" s="4">
        <v>1</v>
      </c>
      <c r="C29" s="5" t="s">
        <v>47</v>
      </c>
      <c r="D29" s="5" t="s">
        <v>44</v>
      </c>
      <c r="E29" s="5">
        <v>1</v>
      </c>
      <c r="F29" s="6" t="s">
        <v>38</v>
      </c>
      <c r="G29" s="121">
        <f t="shared" si="0"/>
        <v>228403.46</v>
      </c>
      <c r="H29" s="149">
        <f t="shared" si="1"/>
        <v>0.06</v>
      </c>
      <c r="I29" s="120">
        <f>+B29*B14+E29*F14</f>
        <v>215474.96249999999</v>
      </c>
    </row>
    <row r="30" spans="1:9" x14ac:dyDescent="0.2">
      <c r="A30" s="36" t="s">
        <v>54</v>
      </c>
      <c r="B30" s="4">
        <v>1</v>
      </c>
      <c r="C30" s="5" t="s">
        <v>47</v>
      </c>
      <c r="D30" s="5" t="s">
        <v>44</v>
      </c>
      <c r="E30" s="5">
        <v>3</v>
      </c>
      <c r="F30" s="6" t="s">
        <v>38</v>
      </c>
      <c r="G30" s="121">
        <f t="shared" si="0"/>
        <v>293183.03000000003</v>
      </c>
      <c r="H30" s="149">
        <f t="shared" si="1"/>
        <v>0.06</v>
      </c>
      <c r="I30" s="120">
        <f>B11*B30+F11*E30</f>
        <v>276587.76614999998</v>
      </c>
    </row>
    <row r="31" spans="1:9" x14ac:dyDescent="0.2">
      <c r="A31" s="37" t="s">
        <v>55</v>
      </c>
      <c r="B31" s="4">
        <v>1</v>
      </c>
      <c r="C31" s="103" t="s">
        <v>47</v>
      </c>
      <c r="D31" s="103" t="s">
        <v>44</v>
      </c>
      <c r="E31" s="5">
        <v>6</v>
      </c>
      <c r="F31" s="104" t="s">
        <v>38</v>
      </c>
      <c r="G31" s="121">
        <f t="shared" si="0"/>
        <v>447453.25</v>
      </c>
      <c r="H31" s="149">
        <f t="shared" si="1"/>
        <v>0.06</v>
      </c>
      <c r="I31" s="142">
        <f>+B11*B31+E31*F11</f>
        <v>422125.71224999998</v>
      </c>
    </row>
    <row r="32" spans="1:9" x14ac:dyDescent="0.2">
      <c r="A32" s="37" t="s">
        <v>56</v>
      </c>
      <c r="B32" s="4">
        <v>1</v>
      </c>
      <c r="C32" s="103" t="s">
        <v>47</v>
      </c>
      <c r="D32" s="103" t="s">
        <v>44</v>
      </c>
      <c r="E32" s="5">
        <v>1</v>
      </c>
      <c r="F32" s="104" t="s">
        <v>38</v>
      </c>
      <c r="G32" s="121">
        <f t="shared" si="0"/>
        <v>209369.84</v>
      </c>
      <c r="H32" s="149">
        <f t="shared" si="1"/>
        <v>0.06</v>
      </c>
      <c r="I32" s="121">
        <f>+B32*B12+E32*F12</f>
        <v>197518.71562500001</v>
      </c>
    </row>
    <row r="33" spans="1:9" x14ac:dyDescent="0.2">
      <c r="A33" s="37" t="s">
        <v>57</v>
      </c>
      <c r="B33" s="4">
        <v>1</v>
      </c>
      <c r="C33" s="103" t="s">
        <v>47</v>
      </c>
      <c r="D33" s="103" t="s">
        <v>44</v>
      </c>
      <c r="E33" s="5">
        <v>1</v>
      </c>
      <c r="F33" s="104" t="s">
        <v>38</v>
      </c>
      <c r="G33" s="121">
        <f>+B33*B14+E33*F14</f>
        <v>215474.96249999999</v>
      </c>
      <c r="H33" s="149">
        <f t="shared" si="1"/>
        <v>0.06</v>
      </c>
      <c r="I33" s="121">
        <f>+B33*B13+E33*F13</f>
        <v>206496.83906249999</v>
      </c>
    </row>
    <row r="34" spans="1:9" x14ac:dyDescent="0.2">
      <c r="A34" s="37" t="s">
        <v>58</v>
      </c>
      <c r="B34" s="4">
        <v>1</v>
      </c>
      <c r="C34" s="103" t="s">
        <v>59</v>
      </c>
      <c r="D34" s="103" t="s">
        <v>44</v>
      </c>
      <c r="E34" s="5">
        <v>1</v>
      </c>
      <c r="F34" s="104" t="s">
        <v>38</v>
      </c>
      <c r="G34" s="121">
        <f>+B34*B15+E34*F15</f>
        <v>238818.0834375</v>
      </c>
      <c r="H34" s="149">
        <f t="shared" si="1"/>
        <v>0.06</v>
      </c>
      <c r="I34" s="121">
        <f>+B34*B15+E34*F15</f>
        <v>238818.0834375</v>
      </c>
    </row>
    <row r="35" spans="1:9" x14ac:dyDescent="0.2">
      <c r="A35" s="2" t="s">
        <v>60</v>
      </c>
      <c r="B35" s="4">
        <v>1</v>
      </c>
      <c r="C35" s="5" t="s">
        <v>47</v>
      </c>
      <c r="D35" s="5" t="s">
        <v>44</v>
      </c>
      <c r="E35" s="5">
        <v>2</v>
      </c>
      <c r="F35" s="6" t="s">
        <v>38</v>
      </c>
      <c r="G35" s="121">
        <f t="shared" ref="G35:G42" si="2">ROUND(I35*H35+I35,2)</f>
        <v>290111.55</v>
      </c>
      <c r="H35" s="149">
        <f>+H32</f>
        <v>0.06</v>
      </c>
      <c r="I35" s="120">
        <f>B14*B35+F14*E35</f>
        <v>273690.14093999995</v>
      </c>
    </row>
    <row r="36" spans="1:9" x14ac:dyDescent="0.2">
      <c r="A36" s="2" t="s">
        <v>61</v>
      </c>
      <c r="B36" s="4">
        <v>2</v>
      </c>
      <c r="C36" s="5" t="s">
        <v>47</v>
      </c>
      <c r="D36" s="5" t="s">
        <v>44</v>
      </c>
      <c r="E36" s="5">
        <v>1</v>
      </c>
      <c r="F36" s="6" t="s">
        <v>38</v>
      </c>
      <c r="G36" s="121">
        <f t="shared" si="2"/>
        <v>378636.38</v>
      </c>
      <c r="H36" s="149">
        <f t="shared" si="1"/>
        <v>0.06</v>
      </c>
      <c r="I36" s="120">
        <f>B36*B13+E36*F13</f>
        <v>357204.13212000002</v>
      </c>
    </row>
    <row r="37" spans="1:9" x14ac:dyDescent="0.2">
      <c r="A37" s="2" t="s">
        <v>62</v>
      </c>
      <c r="B37" s="4">
        <v>2</v>
      </c>
      <c r="C37" s="5" t="s">
        <v>47</v>
      </c>
      <c r="D37" s="5" t="s">
        <v>44</v>
      </c>
      <c r="E37" s="5">
        <v>1</v>
      </c>
      <c r="F37" s="6" t="s">
        <v>38</v>
      </c>
      <c r="G37" s="121">
        <f t="shared" si="2"/>
        <v>329249.03000000003</v>
      </c>
      <c r="H37" s="149">
        <f t="shared" si="1"/>
        <v>0.06</v>
      </c>
      <c r="I37" s="120">
        <f>B37*B11+E37*F11</f>
        <v>310612.28879999998</v>
      </c>
    </row>
    <row r="38" spans="1:9" x14ac:dyDescent="0.2">
      <c r="A38" s="2" t="s">
        <v>63</v>
      </c>
      <c r="B38" s="4">
        <v>3</v>
      </c>
      <c r="C38" s="5" t="s">
        <v>47</v>
      </c>
      <c r="D38" s="5" t="s">
        <v>44</v>
      </c>
      <c r="E38" s="5">
        <v>4</v>
      </c>
      <c r="F38" s="6" t="s">
        <v>38</v>
      </c>
      <c r="G38" s="121">
        <f t="shared" si="2"/>
        <v>715796.87</v>
      </c>
      <c r="H38" s="149">
        <f t="shared" si="1"/>
        <v>0.06</v>
      </c>
      <c r="I38" s="120">
        <f>B38*B13+F13*E38</f>
        <v>675280.06319249992</v>
      </c>
    </row>
    <row r="39" spans="1:9" x14ac:dyDescent="0.2">
      <c r="A39" s="2" t="s">
        <v>64</v>
      </c>
      <c r="B39" s="4">
        <v>2</v>
      </c>
      <c r="C39" s="5" t="s">
        <v>47</v>
      </c>
      <c r="D39" s="5" t="s">
        <v>44</v>
      </c>
      <c r="E39" s="5">
        <v>2</v>
      </c>
      <c r="F39" s="6" t="s">
        <v>38</v>
      </c>
      <c r="G39" s="159">
        <f t="shared" si="2"/>
        <v>456806.92</v>
      </c>
      <c r="H39" s="463">
        <f t="shared" si="1"/>
        <v>0.06</v>
      </c>
      <c r="I39" s="120">
        <f>B39*B14+F14*E39</f>
        <v>430949.92499999999</v>
      </c>
    </row>
    <row r="40" spans="1:9" x14ac:dyDescent="0.2">
      <c r="A40" s="2" t="s">
        <v>65</v>
      </c>
      <c r="B40" s="4">
        <v>2</v>
      </c>
      <c r="C40" s="5" t="s">
        <v>66</v>
      </c>
      <c r="D40" s="5"/>
      <c r="E40" s="5"/>
      <c r="F40" s="6"/>
      <c r="G40" s="159">
        <f t="shared" si="2"/>
        <v>369508.07</v>
      </c>
      <c r="H40" s="463">
        <f t="shared" si="1"/>
        <v>0.06</v>
      </c>
      <c r="I40" s="120">
        <f>B40*B15+F15*E40</f>
        <v>348592.52133299998</v>
      </c>
    </row>
    <row r="41" spans="1:9" x14ac:dyDescent="0.2">
      <c r="A41" s="2" t="s">
        <v>67</v>
      </c>
      <c r="B41" s="4"/>
      <c r="C41" s="5"/>
      <c r="D41" s="5"/>
      <c r="E41" s="5"/>
      <c r="F41" s="6"/>
      <c r="G41" s="159">
        <f t="shared" si="2"/>
        <v>265000</v>
      </c>
      <c r="H41" s="463">
        <f>+H39</f>
        <v>0.06</v>
      </c>
      <c r="I41" s="120">
        <v>250000</v>
      </c>
    </row>
    <row r="42" spans="1:9" x14ac:dyDescent="0.2">
      <c r="A42" s="2" t="s">
        <v>68</v>
      </c>
      <c r="B42" s="4"/>
      <c r="C42" s="5"/>
      <c r="D42" s="5"/>
      <c r="E42" s="5"/>
      <c r="F42" s="6"/>
      <c r="G42" s="159">
        <f t="shared" si="2"/>
        <v>127200</v>
      </c>
      <c r="H42" s="463">
        <f t="shared" si="1"/>
        <v>0.06</v>
      </c>
      <c r="I42" s="120">
        <v>120000</v>
      </c>
    </row>
    <row r="43" spans="1:9" ht="13.5" thickBot="1" x14ac:dyDescent="0.25"/>
    <row r="44" spans="1:9" ht="13.5" thickTop="1" x14ac:dyDescent="0.2">
      <c r="A44" s="983" t="str">
        <f>+'Datos entrada'!$B$5</f>
        <v>INGENIERO CIVIL HEBER EDUARDO YEPES VILLOTA</v>
      </c>
      <c r="B44" s="983"/>
      <c r="C44" s="983"/>
      <c r="D44" s="983"/>
      <c r="E44" s="983"/>
      <c r="F44" s="983"/>
      <c r="G44" s="983"/>
      <c r="H44" s="983"/>
      <c r="I44" s="983"/>
    </row>
    <row r="45" spans="1:9" x14ac:dyDescent="0.2">
      <c r="A45" s="984"/>
      <c r="B45" s="984"/>
      <c r="C45" s="984"/>
      <c r="D45" s="984"/>
      <c r="E45" s="984"/>
      <c r="F45" s="984"/>
      <c r="G45" s="984"/>
      <c r="H45" s="984"/>
      <c r="I45" s="984"/>
    </row>
    <row r="46" spans="1:9" x14ac:dyDescent="0.2">
      <c r="A46" s="984"/>
      <c r="B46" s="984"/>
      <c r="C46" s="984"/>
      <c r="D46" s="984"/>
      <c r="E46" s="984"/>
      <c r="F46" s="984"/>
      <c r="G46" s="984"/>
      <c r="H46" s="984"/>
      <c r="I46" s="984"/>
    </row>
    <row r="47" spans="1:9" x14ac:dyDescent="0.2">
      <c r="A47" s="984"/>
      <c r="B47" s="984"/>
      <c r="C47" s="984"/>
      <c r="D47" s="984"/>
      <c r="E47" s="984"/>
      <c r="F47" s="984"/>
      <c r="G47" s="984"/>
      <c r="H47" s="984"/>
      <c r="I47" s="984"/>
    </row>
  </sheetData>
  <customSheetViews>
    <customSheetView guid="{93F324B6-F965-4669-93FF-DBB148734A46}" fitToPage="1" topLeftCell="A4">
      <selection activeCell="A11" sqref="A11:I11"/>
      <pageMargins left="0" right="0" top="0" bottom="0" header="0" footer="0"/>
      <pageSetup scale="80" orientation="portrait" errors="blank" horizontalDpi="300" verticalDpi="300" r:id="rId1"/>
      <headerFooter alignWithMargins="0"/>
    </customSheetView>
  </customSheetViews>
  <mergeCells count="16">
    <mergeCell ref="A44:I47"/>
    <mergeCell ref="B6:I6"/>
    <mergeCell ref="A3:I3"/>
    <mergeCell ref="A5:I5"/>
    <mergeCell ref="F14:I14"/>
    <mergeCell ref="F10:I10"/>
    <mergeCell ref="F15:I15"/>
    <mergeCell ref="A7:I7"/>
    <mergeCell ref="B15:E15"/>
    <mergeCell ref="B11:E11"/>
    <mergeCell ref="B12:E12"/>
    <mergeCell ref="B13:E13"/>
    <mergeCell ref="B14:E14"/>
    <mergeCell ref="F11:I11"/>
    <mergeCell ref="F12:I12"/>
    <mergeCell ref="F13:I13"/>
  </mergeCells>
  <phoneticPr fontId="0" type="noConversion"/>
  <dataValidations count="1">
    <dataValidation type="list" allowBlank="1" showInputMessage="1" showErrorMessage="1" sqref="A11:A17">
      <formula1>List_cuadrillas</formula1>
    </dataValidation>
  </dataValidations>
  <pageMargins left="0.98425196850393704" right="0.78740157480314965" top="1.3779527559055118" bottom="0.98425196850393704" header="0" footer="0"/>
  <pageSetup scale="79" orientation="portrait" errors="blank" horizontalDpi="300" verticalDpi="300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FF00"/>
    <pageSetUpPr fitToPage="1"/>
  </sheetPr>
  <dimension ref="A1:K62"/>
  <sheetViews>
    <sheetView view="pageBreakPreview" topLeftCell="A40" zoomScale="85" zoomScaleNormal="100" zoomScaleSheetLayoutView="85" workbookViewId="0">
      <selection activeCell="A37" sqref="A37:C37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20.25" thickTop="1" x14ac:dyDescent="0.2">
      <c r="A1" s="1131"/>
      <c r="B1" s="1220"/>
      <c r="C1" s="1220"/>
      <c r="D1" s="93"/>
      <c r="E1" s="93"/>
      <c r="F1" s="93"/>
      <c r="G1" s="93"/>
      <c r="H1" s="1129"/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33.7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47" t="s">
        <v>2297</v>
      </c>
      <c r="C5" s="1227" t="s">
        <v>2307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155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2305</v>
      </c>
      <c r="G7" s="254"/>
      <c r="H7" s="879" t="s">
        <v>2216</v>
      </c>
      <c r="I7" s="72"/>
    </row>
    <row r="8" spans="1:10" x14ac:dyDescent="0.2">
      <c r="A8" s="1215" t="s">
        <v>210</v>
      </c>
      <c r="B8" s="1216"/>
      <c r="C8" s="1217"/>
      <c r="D8" s="851" t="e">
        <f t="shared" ref="D8:D18" si="0">IF(A8&lt;&gt;0,VLOOKUP(A8,Materiales,2,FALSE),$J$1)</f>
        <v>#REF!</v>
      </c>
      <c r="E8" s="12">
        <v>300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158</v>
      </c>
      <c r="B9" s="1216"/>
      <c r="C9" s="1217"/>
      <c r="D9" s="851" t="e">
        <f t="shared" si="0"/>
        <v>#REF!</v>
      </c>
      <c r="E9" s="13">
        <v>0.47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 t="s">
        <v>401</v>
      </c>
      <c r="B10" s="1216"/>
      <c r="C10" s="1217"/>
      <c r="D10" s="851" t="e">
        <f t="shared" si="0"/>
        <v>#REF!</v>
      </c>
      <c r="E10" s="13">
        <v>0.95</v>
      </c>
      <c r="F10" s="21" t="e">
        <f>IF(A10&lt;&gt;0,VLOOKUP(A10,Materiales,6,FALSE),$J$1)</f>
        <v>#REF!</v>
      </c>
      <c r="G10" s="22"/>
      <c r="H10" s="8" t="e">
        <f t="shared" si="1"/>
        <v>#REF!</v>
      </c>
      <c r="I10" s="69"/>
    </row>
    <row r="11" spans="1:10" x14ac:dyDescent="0.2">
      <c r="A11" s="1215" t="s">
        <v>139</v>
      </c>
      <c r="B11" s="1216"/>
      <c r="C11" s="1217"/>
      <c r="D11" s="851" t="e">
        <f t="shared" si="0"/>
        <v>#REF!</v>
      </c>
      <c r="E11" s="12">
        <v>160</v>
      </c>
      <c r="F11" s="21" t="e">
        <f>IF(A11&lt;&gt;0,VLOOKUP(A11,Materiales,6,FALSE),$J$1)</f>
        <v>#REF!</v>
      </c>
      <c r="G11" s="22"/>
      <c r="H11" s="8" t="e">
        <f t="shared" si="1"/>
        <v>#REF!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5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742</v>
      </c>
      <c r="I23" s="69"/>
    </row>
    <row r="24" spans="1:9" x14ac:dyDescent="0.2">
      <c r="A24" s="871" t="s">
        <v>478</v>
      </c>
      <c r="B24" s="872"/>
      <c r="C24" s="873"/>
      <c r="D24" s="26">
        <v>2</v>
      </c>
      <c r="E24" s="28"/>
      <c r="F24" s="12">
        <f t="shared" si="3"/>
        <v>63600</v>
      </c>
      <c r="G24" s="14">
        <v>1</v>
      </c>
      <c r="H24" s="8">
        <f t="shared" si="4"/>
        <v>31800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32542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12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69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69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12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69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55</v>
      </c>
      <c r="B45" s="1216"/>
      <c r="C45" s="1217"/>
      <c r="D45" s="1225">
        <f>IF(A45&lt;&gt;0,VLOOKUP(A45,Cuadrillas,7,FALSE),$J$1)</f>
        <v>447453.25</v>
      </c>
      <c r="E45" s="1226"/>
      <c r="F45" s="1221">
        <v>5</v>
      </c>
      <c r="G45" s="1222"/>
      <c r="H45" s="8">
        <f>IF(A45&lt;&gt;0,ROUND(D45/F45,2),$J$1)</f>
        <v>89490.65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89490.65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89490.65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4.25" thickTop="1" thickBot="1" x14ac:dyDescent="0.25"/>
    <row r="58" spans="1:11" ht="13.5" thickTop="1" x14ac:dyDescent="0.2">
      <c r="A58" s="983" t="str">
        <f>+'Datos entrada'!$B$5</f>
        <v>INGENIERO CIVIL HEBER EDUARDO YEPES VILLOTA</v>
      </c>
      <c r="B58" s="983"/>
      <c r="C58" s="983"/>
      <c r="D58" s="983"/>
      <c r="E58" s="983"/>
      <c r="F58" s="983"/>
      <c r="G58" s="983"/>
      <c r="H58" s="983"/>
      <c r="I58" s="983"/>
    </row>
    <row r="59" spans="1:11" x14ac:dyDescent="0.2">
      <c r="A59" s="984"/>
      <c r="B59" s="984"/>
      <c r="C59" s="984"/>
      <c r="D59" s="984"/>
      <c r="E59" s="984"/>
      <c r="F59" s="984"/>
      <c r="G59" s="984"/>
      <c r="H59" s="984"/>
      <c r="I59" s="984"/>
    </row>
    <row r="60" spans="1:11" x14ac:dyDescent="0.2">
      <c r="A60" s="984"/>
      <c r="B60" s="984"/>
      <c r="C60" s="984"/>
      <c r="D60" s="984"/>
      <c r="E60" s="984"/>
      <c r="F60" s="984"/>
      <c r="G60" s="984"/>
      <c r="H60" s="984"/>
      <c r="I60" s="984"/>
    </row>
    <row r="61" spans="1:11" x14ac:dyDescent="0.2">
      <c r="A61" s="984"/>
      <c r="B61" s="984"/>
      <c r="C61" s="984"/>
      <c r="D61" s="984"/>
      <c r="E61" s="984"/>
      <c r="F61" s="984"/>
      <c r="G61" s="984"/>
      <c r="H61" s="984"/>
      <c r="I61" s="984"/>
    </row>
    <row r="62" spans="1:11" x14ac:dyDescent="0.2">
      <c r="A62" s="1234"/>
      <c r="B62" s="1234"/>
      <c r="C62" s="1234"/>
      <c r="D62" s="1234"/>
    </row>
  </sheetData>
  <customSheetViews>
    <customSheetView guid="{93F324B6-F965-4669-93FF-DBB148734A46}" fitToPage="1">
      <selection activeCell="L4" sqref="L4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3">
    <mergeCell ref="A4:E4"/>
    <mergeCell ref="A10:C10"/>
    <mergeCell ref="A9:C9"/>
    <mergeCell ref="A54:G54"/>
    <mergeCell ref="A47:C47"/>
    <mergeCell ref="A48:C48"/>
    <mergeCell ref="A52:H52"/>
    <mergeCell ref="A51:I51"/>
    <mergeCell ref="A50:H50"/>
    <mergeCell ref="F46:G46"/>
    <mergeCell ref="A46:C46"/>
    <mergeCell ref="D46:E46"/>
    <mergeCell ref="A1:C1"/>
    <mergeCell ref="B34:C34"/>
    <mergeCell ref="B38:C38"/>
    <mergeCell ref="A45:C45"/>
    <mergeCell ref="A41:H41"/>
    <mergeCell ref="H1:I1"/>
    <mergeCell ref="A42:I42"/>
    <mergeCell ref="F44:G44"/>
    <mergeCell ref="F45:G45"/>
    <mergeCell ref="A43:I43"/>
    <mergeCell ref="D44:E44"/>
    <mergeCell ref="D45:E45"/>
    <mergeCell ref="A44:C44"/>
    <mergeCell ref="A11:C11"/>
    <mergeCell ref="A8:C8"/>
    <mergeCell ref="C5:I5"/>
    <mergeCell ref="A62:D62"/>
    <mergeCell ref="A56:G56"/>
    <mergeCell ref="D49:E49"/>
    <mergeCell ref="D47:E47"/>
    <mergeCell ref="D48:E48"/>
    <mergeCell ref="F48:G48"/>
    <mergeCell ref="A55:C55"/>
    <mergeCell ref="D55:E55"/>
    <mergeCell ref="F49:G49"/>
    <mergeCell ref="F55:I55"/>
    <mergeCell ref="A53:H53"/>
    <mergeCell ref="H56:I56"/>
    <mergeCell ref="F47:G47"/>
    <mergeCell ref="A49:C49"/>
    <mergeCell ref="A58:I61"/>
  </mergeCells>
  <phoneticPr fontId="0" type="noConversion"/>
  <dataValidations count="5">
    <dataValidation type="list" allowBlank="1" showInputMessage="1" showErrorMessage="1" sqref="A9:A18 B12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C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2" orientation="portrait" blackAndWhite="1" errors="blank" r:id="rId2"/>
  <headerFooter alignWithMargins="0">
    <oddFooter xml:space="preserve">&amp;C  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186</v>
      </c>
      <c r="B8" s="1081"/>
      <c r="C8" s="1081"/>
      <c r="D8" s="844" t="e">
        <f t="shared" ref="D8:D21" si="0">IF(A8&lt;&gt;0,VLOOKUP(A8,Materiales,2,FALSE),$J$1)</f>
        <v>#REF!</v>
      </c>
      <c r="E8" s="12">
        <v>1.03</v>
      </c>
      <c r="F8" s="58" t="e">
        <f t="shared" ref="F8:F18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>IF(A11&lt;&gt;0,VLOOKUP(A11,Materiales,2,FALSE),$J$1)</f>
        <v>-</v>
      </c>
      <c r="E11" s="12"/>
      <c r="F11" s="58" t="str">
        <f>IF(A11&lt;&gt;0,VLOOKUP(A11,Materiales,6,FALSE),$J$1)</f>
        <v>-</v>
      </c>
      <c r="G11" s="58"/>
      <c r="H11" s="7" t="str">
        <f>IF(A11&lt;&gt;0,ROUND(E11*F11,2),$J$1)</f>
        <v>-</v>
      </c>
      <c r="I11" s="69"/>
    </row>
    <row r="12" spans="1:10" x14ac:dyDescent="0.2">
      <c r="A12" s="1080"/>
      <c r="B12" s="1081"/>
      <c r="C12" s="1081"/>
      <c r="D12" s="844" t="str">
        <f>IF(A12&lt;&gt;0,VLOOKUP(A12,Materiales,2,FALSE),$J$1)</f>
        <v>-</v>
      </c>
      <c r="E12" s="12"/>
      <c r="F12" s="58" t="str">
        <f>IF(A12&lt;&gt;0,VLOOKUP(A12,Materiales,6,FALSE),$J$1)</f>
        <v>-</v>
      </c>
      <c r="G12" s="58"/>
      <c r="H12" s="7" t="str">
        <f>IF(A12&lt;&gt;0,ROUND(E12*F12,2),$J$1)</f>
        <v>-</v>
      </c>
      <c r="I12" s="69"/>
    </row>
    <row r="13" spans="1:10" x14ac:dyDescent="0.2">
      <c r="A13" s="1080"/>
      <c r="B13" s="1081"/>
      <c r="C13" s="1081"/>
      <c r="D13" s="844" t="str">
        <f>IF(A13&lt;&gt;0,VLOOKUP(A13,Materiales,2,FALSE),$J$1)</f>
        <v>-</v>
      </c>
      <c r="E13" s="12"/>
      <c r="F13" s="58" t="str">
        <f>IF(A13&lt;&gt;0,VLOOKUP(A13,Materiales,6,FALSE),$J$1)</f>
        <v>-</v>
      </c>
      <c r="G13" s="58"/>
      <c r="H13" s="7" t="str">
        <f>IF(A13&lt;&gt;0,ROUND(E13*F13,2),$J$1)</f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080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69"/>
    </row>
    <row r="20" spans="1:9" x14ac:dyDescent="0.2">
      <c r="A20" s="1080"/>
      <c r="B20" s="1081"/>
      <c r="C20" s="1081"/>
      <c r="D20" s="844" t="str">
        <f t="shared" si="0"/>
        <v>-</v>
      </c>
      <c r="E20" s="12"/>
      <c r="F20" s="58" t="str">
        <f>IF(A20&lt;&gt;0,VLOOKUP(A20,Materiales,5,FALSE),$J$1)</f>
        <v>-</v>
      </c>
      <c r="G20" s="58"/>
      <c r="H20" s="7" t="str">
        <f t="shared" si="2"/>
        <v>-</v>
      </c>
      <c r="I20" s="69"/>
    </row>
    <row r="21" spans="1:9" x14ac:dyDescent="0.2">
      <c r="A21" s="1080"/>
      <c r="B21" s="1081"/>
      <c r="C21" s="1081"/>
      <c r="D21" s="844" t="str">
        <f t="shared" si="0"/>
        <v>-</v>
      </c>
      <c r="E21" s="12"/>
      <c r="F21" s="58" t="str">
        <f>IF(A21&lt;&gt;0,VLOOKUP(A21,Materiales,5,FALSE),$J$1)</f>
        <v>-</v>
      </c>
      <c r="G21" s="58"/>
      <c r="H21" s="7" t="str">
        <f t="shared" si="2"/>
        <v>-</v>
      </c>
      <c r="I21" s="73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 t="shared" ref="F26:F32" si="3">IF(A26&lt;&gt;0,VLOOKUP(A26,Equipos,6,FALSE),$J$1)</f>
        <v>3710</v>
      </c>
      <c r="G26" s="14">
        <v>0.05</v>
      </c>
      <c r="H26" s="7">
        <f t="shared" ref="H26:H32" si="4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080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69"/>
    </row>
    <row r="31" spans="1:9" x14ac:dyDescent="0.2">
      <c r="A31" s="1080"/>
      <c r="B31" s="1081"/>
      <c r="C31" s="1081"/>
      <c r="D31" s="33"/>
      <c r="E31" s="33"/>
      <c r="F31" s="12" t="str">
        <f t="shared" si="3"/>
        <v>-</v>
      </c>
      <c r="G31" s="14"/>
      <c r="H31" s="7" t="str">
        <f t="shared" si="4"/>
        <v>-</v>
      </c>
      <c r="I31" s="69"/>
    </row>
    <row r="32" spans="1:9" x14ac:dyDescent="0.2">
      <c r="A32" s="1080"/>
      <c r="B32" s="1081"/>
      <c r="C32" s="1081"/>
      <c r="D32" s="33"/>
      <c r="E32" s="33"/>
      <c r="F32" s="12" t="str">
        <f t="shared" si="3"/>
        <v>-</v>
      </c>
      <c r="G32" s="14"/>
      <c r="H32" s="7" t="str">
        <f t="shared" si="4"/>
        <v>-</v>
      </c>
      <c r="I32" s="73"/>
    </row>
    <row r="33" spans="1:9" x14ac:dyDescent="0.2">
      <c r="A33" s="853" t="s">
        <v>2221</v>
      </c>
      <c r="B33" s="854"/>
      <c r="C33" s="854"/>
      <c r="D33" s="3"/>
      <c r="E33" s="872"/>
      <c r="F33" s="872"/>
      <c r="G33" s="872"/>
      <c r="H33" s="873"/>
      <c r="I33" s="24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6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72"/>
    </row>
    <row r="37" spans="1:9" x14ac:dyDescent="0.2">
      <c r="A37" s="944"/>
      <c r="B37" s="1105" t="s">
        <v>2226</v>
      </c>
      <c r="C37" s="1298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0"/>
      <c r="B38" s="1211"/>
      <c r="C38" s="1212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44"/>
    </row>
    <row r="39" spans="1:9" x14ac:dyDescent="0.2">
      <c r="A39" s="1210"/>
      <c r="B39" s="1211"/>
      <c r="C39" s="1212"/>
      <c r="D39" s="46" t="str">
        <f>IF(A39&lt;&gt;0,VLOOKUP(A39,Transporte,8,FALSE),$J$1)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0"/>
      <c r="B40" s="1211"/>
      <c r="C40" s="1212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4"/>
    </row>
    <row r="43" spans="1:9" x14ac:dyDescent="0.2">
      <c r="A43" s="1086"/>
      <c r="B43" s="1087"/>
      <c r="C43" s="1119"/>
      <c r="D43" s="61" t="str">
        <f>IF(A32&lt;&gt;0,VLOOKUP(A43,Transporte,8,FALSE),$J$1)</f>
        <v>-</v>
      </c>
      <c r="E43" s="61"/>
      <c r="F43" s="15" t="str">
        <f t="shared" si="5"/>
        <v>-</v>
      </c>
      <c r="G43" s="12"/>
      <c r="H43" s="7" t="str">
        <f t="shared" si="6"/>
        <v>-</v>
      </c>
      <c r="I43" s="346"/>
    </row>
    <row r="44" spans="1:9" x14ac:dyDescent="0.2">
      <c r="A44" s="1106" t="s">
        <v>2228</v>
      </c>
      <c r="B44" s="1107"/>
      <c r="C44" s="1107"/>
      <c r="D44" s="1107"/>
      <c r="E44" s="1107"/>
      <c r="F44" s="1107"/>
      <c r="G44" s="1107"/>
      <c r="H44" s="110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42.98</v>
      </c>
      <c r="G48" s="1083"/>
      <c r="H48" s="7">
        <f>IF(A48&lt;&gt;0,ROUND(D48/F48,2),$J$1)</f>
        <v>5556.49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080"/>
      <c r="B50" s="1081"/>
      <c r="C50" s="1081"/>
      <c r="D50" s="1082" t="str">
        <f>IF(A50&lt;&gt;0,VLOOKUP(A50,Cuadrillas,7,FALSE),$J$1)</f>
        <v>-</v>
      </c>
      <c r="E50" s="1082"/>
      <c r="F50" s="1083"/>
      <c r="G50" s="1083"/>
      <c r="H50" s="7" t="str">
        <f>IF(A50&lt;&gt;0,ROUND(D50/F50,2),$J$1)</f>
        <v>-</v>
      </c>
      <c r="I50" s="69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080"/>
      <c r="B52" s="1081"/>
      <c r="C52" s="1081"/>
      <c r="D52" s="1082" t="str">
        <f>IF(A52&lt;&gt;0,VLOOKUP(A52,Cuadrillas,7,FALSE),$J$1)</f>
        <v>-</v>
      </c>
      <c r="E52" s="1082"/>
      <c r="F52" s="1083"/>
      <c r="G52" s="1083"/>
      <c r="H52" s="7" t="str">
        <f>IF(A52&lt;&gt;0,ROUND(D52/F52,2),$J$1)</f>
        <v>-</v>
      </c>
      <c r="I52" s="69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242">
        <f>SUM(H48:H52)</f>
        <v>5556.49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5556.49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2">
    <mergeCell ref="A11:C11"/>
    <mergeCell ref="A12:C12"/>
    <mergeCell ref="A13:C13"/>
    <mergeCell ref="A21:C21"/>
    <mergeCell ref="F49:G49"/>
    <mergeCell ref="A49:C49"/>
    <mergeCell ref="A32:C32"/>
    <mergeCell ref="D49:E49"/>
    <mergeCell ref="B37:C37"/>
    <mergeCell ref="B41:C41"/>
    <mergeCell ref="A38:C38"/>
    <mergeCell ref="A39:C39"/>
    <mergeCell ref="A40:C40"/>
    <mergeCell ref="A30:C30"/>
    <mergeCell ref="A31:C31"/>
    <mergeCell ref="A42:C42"/>
    <mergeCell ref="A43:C43"/>
    <mergeCell ref="F58:I58"/>
    <mergeCell ref="A54:I54"/>
    <mergeCell ref="A53:H53"/>
    <mergeCell ref="A44:H44"/>
    <mergeCell ref="F52:G52"/>
    <mergeCell ref="A45:I45"/>
    <mergeCell ref="F47:G47"/>
    <mergeCell ref="F48:G48"/>
    <mergeCell ref="D48:E48"/>
    <mergeCell ref="A47:C47"/>
    <mergeCell ref="A48:C48"/>
    <mergeCell ref="D47:E47"/>
    <mergeCell ref="A46:I46"/>
    <mergeCell ref="A20:C20"/>
    <mergeCell ref="A59:G59"/>
    <mergeCell ref="H59:I59"/>
    <mergeCell ref="A50:C50"/>
    <mergeCell ref="A51:C51"/>
    <mergeCell ref="D50:E50"/>
    <mergeCell ref="F50:G50"/>
    <mergeCell ref="A52:C52"/>
    <mergeCell ref="D51:E51"/>
    <mergeCell ref="F51:G51"/>
    <mergeCell ref="D52:E52"/>
    <mergeCell ref="A57:G57"/>
    <mergeCell ref="A55:H55"/>
    <mergeCell ref="A56:H56"/>
    <mergeCell ref="A58:C58"/>
    <mergeCell ref="D58:E58"/>
    <mergeCell ref="C5:I5"/>
    <mergeCell ref="H1:I1"/>
    <mergeCell ref="A28:C28"/>
    <mergeCell ref="A29:C29"/>
    <mergeCell ref="A8:C8"/>
    <mergeCell ref="A9:C9"/>
    <mergeCell ref="A10:C10"/>
    <mergeCell ref="A14:C14"/>
    <mergeCell ref="A15:C15"/>
    <mergeCell ref="A1:C1"/>
    <mergeCell ref="A16:C16"/>
    <mergeCell ref="A17:C17"/>
    <mergeCell ref="A26:C26"/>
    <mergeCell ref="A27:C27"/>
    <mergeCell ref="A18:C18"/>
    <mergeCell ref="A19:C19"/>
  </mergeCells>
  <phoneticPr fontId="0" type="noConversion"/>
  <dataValidations disablePrompts="1"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3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143</v>
      </c>
      <c r="B8" s="1081"/>
      <c r="C8" s="1081"/>
      <c r="D8" s="844" t="e">
        <f t="shared" ref="D8:D21" si="0">IF(A8&lt;&gt;0,VLOOKUP(A8,Materiales,2,FALSE),$J$1)</f>
        <v>#REF!</v>
      </c>
      <c r="E8" s="12">
        <v>2.06</v>
      </c>
      <c r="F8" s="58" t="e">
        <f t="shared" ref="F8:F18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>IF(A13&lt;&gt;0,VLOOKUP(A13,Materiales,2,FALSE),$J$1)</f>
        <v>-</v>
      </c>
      <c r="E13" s="12"/>
      <c r="F13" s="58" t="str">
        <f>IF(A13&lt;&gt;0,VLOOKUP(A13,Materiales,6,FALSE),$J$1)</f>
        <v>-</v>
      </c>
      <c r="G13" s="58"/>
      <c r="H13" s="7" t="str">
        <f>IF(A13&lt;&gt;0,ROUND(E13*F13,2),$J$1)</f>
        <v>-</v>
      </c>
      <c r="I13" s="69"/>
    </row>
    <row r="14" spans="1:10" x14ac:dyDescent="0.2">
      <c r="A14" s="1080"/>
      <c r="B14" s="1081"/>
      <c r="C14" s="1081"/>
      <c r="D14" s="844" t="str">
        <f>IF(A14&lt;&gt;0,VLOOKUP(A14,Materiales,2,FALSE),$J$1)</f>
        <v>-</v>
      </c>
      <c r="E14" s="12"/>
      <c r="F14" s="58" t="str">
        <f>IF(A14&lt;&gt;0,VLOOKUP(A14,Materiales,6,FALSE),$J$1)</f>
        <v>-</v>
      </c>
      <c r="G14" s="58"/>
      <c r="H14" s="7" t="str">
        <f>IF(A14&lt;&gt;0,ROUND(E14*F14,2),$J$1)</f>
        <v>-</v>
      </c>
      <c r="I14" s="69"/>
    </row>
    <row r="15" spans="1:10" x14ac:dyDescent="0.2">
      <c r="A15" s="1080"/>
      <c r="B15" s="1081"/>
      <c r="C15" s="1081"/>
      <c r="D15" s="844" t="str">
        <f>IF(A15&lt;&gt;0,VLOOKUP(A15,Materiales,2,FALSE),$J$1)</f>
        <v>-</v>
      </c>
      <c r="E15" s="12"/>
      <c r="F15" s="58" t="str">
        <f>IF(A15&lt;&gt;0,VLOOKUP(A15,Materiales,6,FALSE),$J$1)</f>
        <v>-</v>
      </c>
      <c r="G15" s="58"/>
      <c r="H15" s="7" t="str">
        <f>IF(A15&lt;&gt;0,ROUND(E15*F15,2),$J$1)</f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080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69"/>
    </row>
    <row r="20" spans="1:9" x14ac:dyDescent="0.2">
      <c r="A20" s="1080"/>
      <c r="B20" s="1081"/>
      <c r="C20" s="1081"/>
      <c r="D20" s="844" t="str">
        <f t="shared" si="0"/>
        <v>-</v>
      </c>
      <c r="E20" s="12"/>
      <c r="F20" s="58" t="str">
        <f>IF(A20&lt;&gt;0,VLOOKUP(A20,Materiales,5,FALSE),$J$1)</f>
        <v>-</v>
      </c>
      <c r="G20" s="58"/>
      <c r="H20" s="7" t="str">
        <f t="shared" si="2"/>
        <v>-</v>
      </c>
      <c r="I20" s="69"/>
    </row>
    <row r="21" spans="1:9" x14ac:dyDescent="0.2">
      <c r="A21" s="1080"/>
      <c r="B21" s="1081"/>
      <c r="C21" s="1081"/>
      <c r="D21" s="844" t="str">
        <f t="shared" si="0"/>
        <v>-</v>
      </c>
      <c r="E21" s="12"/>
      <c r="F21" s="58" t="str">
        <f>IF(A21&lt;&gt;0,VLOOKUP(A21,Materiales,5,FALSE),$J$1)</f>
        <v>-</v>
      </c>
      <c r="G21" s="58"/>
      <c r="H21" s="7" t="str">
        <f t="shared" si="2"/>
        <v>-</v>
      </c>
      <c r="I21" s="73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 t="shared" ref="F26:F32" si="3">IF(A26&lt;&gt;0,VLOOKUP(A26,Equipos,6,FALSE),$J$1)</f>
        <v>3710</v>
      </c>
      <c r="G26" s="14">
        <v>0.05</v>
      </c>
      <c r="H26" s="7">
        <f t="shared" ref="H26:H32" si="4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080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69"/>
    </row>
    <row r="31" spans="1:9" x14ac:dyDescent="0.2">
      <c r="A31" s="1080"/>
      <c r="B31" s="1081"/>
      <c r="C31" s="1081"/>
      <c r="D31" s="33"/>
      <c r="E31" s="33"/>
      <c r="F31" s="12" t="str">
        <f t="shared" si="3"/>
        <v>-</v>
      </c>
      <c r="G31" s="14"/>
      <c r="H31" s="7" t="str">
        <f t="shared" si="4"/>
        <v>-</v>
      </c>
      <c r="I31" s="69"/>
    </row>
    <row r="32" spans="1:9" x14ac:dyDescent="0.2">
      <c r="A32" s="1080"/>
      <c r="B32" s="1081"/>
      <c r="C32" s="1081"/>
      <c r="D32" s="33"/>
      <c r="E32" s="33"/>
      <c r="F32" s="12" t="str">
        <f t="shared" si="3"/>
        <v>-</v>
      </c>
      <c r="G32" s="14"/>
      <c r="H32" s="7" t="str">
        <f t="shared" si="4"/>
        <v>-</v>
      </c>
      <c r="I32" s="73"/>
    </row>
    <row r="33" spans="1:9" x14ac:dyDescent="0.2">
      <c r="A33" s="853" t="s">
        <v>2221</v>
      </c>
      <c r="B33" s="854"/>
      <c r="C33" s="854"/>
      <c r="D33" s="3"/>
      <c r="E33" s="872"/>
      <c r="F33" s="872"/>
      <c r="G33" s="872"/>
      <c r="H33" s="873"/>
      <c r="I33" s="24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6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72"/>
    </row>
    <row r="37" spans="1:9" x14ac:dyDescent="0.2">
      <c r="A37" s="944"/>
      <c r="B37" s="1105" t="s">
        <v>2226</v>
      </c>
      <c r="C37" s="1298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889"/>
      <c r="B38" s="872"/>
      <c r="C38" s="873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44"/>
    </row>
    <row r="39" spans="1:9" x14ac:dyDescent="0.2">
      <c r="A39" s="871"/>
      <c r="B39" s="872"/>
      <c r="C39" s="873"/>
      <c r="D39" s="46" t="str">
        <f>IF(A39&lt;&gt;0,VLOOKUP(A39,Transporte,8,FALSE),$J$1)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IF(A40&lt;&gt;0,VLOOKUP(A40,Transporte,8,FALSE),$J$1)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871"/>
      <c r="B42" s="872"/>
      <c r="C42" s="873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4"/>
    </row>
    <row r="43" spans="1:9" x14ac:dyDescent="0.2">
      <c r="A43" s="871"/>
      <c r="B43" s="872"/>
      <c r="C43" s="873"/>
      <c r="D43" s="61" t="str">
        <f>IF(A32&lt;&gt;0,VLOOKUP(A43,Transporte,8,FALSE),$J$1)</f>
        <v>-</v>
      </c>
      <c r="E43" s="61"/>
      <c r="F43" s="15" t="str">
        <f t="shared" si="5"/>
        <v>-</v>
      </c>
      <c r="G43" s="12"/>
      <c r="H43" s="7" t="str">
        <f t="shared" si="6"/>
        <v>-</v>
      </c>
      <c r="I43" s="346"/>
    </row>
    <row r="44" spans="1:9" x14ac:dyDescent="0.2">
      <c r="A44" s="1106" t="s">
        <v>2228</v>
      </c>
      <c r="B44" s="1107"/>
      <c r="C44" s="1107"/>
      <c r="D44" s="1107"/>
      <c r="E44" s="1107"/>
      <c r="F44" s="1107"/>
      <c r="G44" s="1107"/>
      <c r="H44" s="110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83.2</v>
      </c>
      <c r="G48" s="1083"/>
      <c r="H48" s="7">
        <f>IF(A48&lt;&gt;0,ROUND(D48/F48,2),$J$1)</f>
        <v>2870.41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080"/>
      <c r="B50" s="1081"/>
      <c r="C50" s="1081"/>
      <c r="D50" s="1082" t="str">
        <f>IF(A50&lt;&gt;0,VLOOKUP(A50,Cuadrillas,7,FALSE),$J$1)</f>
        <v>-</v>
      </c>
      <c r="E50" s="1082"/>
      <c r="F50" s="1083"/>
      <c r="G50" s="1083"/>
      <c r="H50" s="7" t="str">
        <f>IF(A50&lt;&gt;0,ROUND(D50/F50,2),$J$1)</f>
        <v>-</v>
      </c>
      <c r="I50" s="69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080"/>
      <c r="B52" s="1081"/>
      <c r="C52" s="1081"/>
      <c r="D52" s="1082" t="str">
        <f>IF(A52&lt;&gt;0,VLOOKUP(A52,Cuadrillas,7,FALSE),$J$1)</f>
        <v>-</v>
      </c>
      <c r="E52" s="1082"/>
      <c r="F52" s="1083"/>
      <c r="G52" s="1083"/>
      <c r="H52" s="7" t="str">
        <f>IF(A52&lt;&gt;0,ROUND(D52/F52,2),$J$1)</f>
        <v>-</v>
      </c>
      <c r="I52" s="69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242">
        <f>SUM(H48:H52)</f>
        <v>2870.41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2870.41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:C1"/>
    <mergeCell ref="B37:C37"/>
    <mergeCell ref="A32:C32"/>
    <mergeCell ref="A8:C8"/>
    <mergeCell ref="A9:C9"/>
    <mergeCell ref="A10:C10"/>
    <mergeCell ref="A11:C11"/>
    <mergeCell ref="A12:C12"/>
    <mergeCell ref="A17:C17"/>
    <mergeCell ref="A26:C26"/>
    <mergeCell ref="A27:C27"/>
    <mergeCell ref="A18:C18"/>
    <mergeCell ref="A19:C19"/>
    <mergeCell ref="A20:C20"/>
    <mergeCell ref="A21:C21"/>
    <mergeCell ref="A16:C16"/>
    <mergeCell ref="H1:I1"/>
    <mergeCell ref="A28:C28"/>
    <mergeCell ref="A29:C29"/>
    <mergeCell ref="D48:E48"/>
    <mergeCell ref="A47:C47"/>
    <mergeCell ref="A48:C48"/>
    <mergeCell ref="D47:E47"/>
    <mergeCell ref="A30:C30"/>
    <mergeCell ref="A31:C31"/>
    <mergeCell ref="A44:H44"/>
    <mergeCell ref="A45:I45"/>
    <mergeCell ref="F47:G47"/>
    <mergeCell ref="C5:I5"/>
    <mergeCell ref="A14:C14"/>
    <mergeCell ref="A15:C15"/>
    <mergeCell ref="A4:E4"/>
    <mergeCell ref="D51:E51"/>
    <mergeCell ref="A58:C58"/>
    <mergeCell ref="D58:E58"/>
    <mergeCell ref="F58:I58"/>
    <mergeCell ref="F52:G52"/>
    <mergeCell ref="F51:G51"/>
    <mergeCell ref="A56:H56"/>
    <mergeCell ref="A57:G57"/>
    <mergeCell ref="D52:E52"/>
    <mergeCell ref="A55:H55"/>
    <mergeCell ref="A13:C13"/>
    <mergeCell ref="A59:G59"/>
    <mergeCell ref="F49:G49"/>
    <mergeCell ref="A49:C49"/>
    <mergeCell ref="D49:E49"/>
    <mergeCell ref="A54:I54"/>
    <mergeCell ref="A53:H53"/>
    <mergeCell ref="B41:C41"/>
    <mergeCell ref="F48:G48"/>
    <mergeCell ref="A46:I46"/>
    <mergeCell ref="H59:I59"/>
    <mergeCell ref="A50:C50"/>
    <mergeCell ref="A51:C51"/>
    <mergeCell ref="D50:E50"/>
    <mergeCell ref="F50:G50"/>
    <mergeCell ref="A52:C52"/>
  </mergeCells>
  <phoneticPr fontId="0" type="noConversion"/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 B38:C40 B42:C43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3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9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132"/>
      <c r="C1" s="1132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192</v>
      </c>
      <c r="B8" s="1081"/>
      <c r="C8" s="1081"/>
      <c r="D8" s="844" t="e">
        <f t="shared" ref="D8:D21" si="0">IF(A8&lt;&gt;0,VLOOKUP(A8,Materiales,2,FALSE),$J$1)</f>
        <v>#REF!</v>
      </c>
      <c r="E8" s="12">
        <v>2.06</v>
      </c>
      <c r="F8" s="58" t="e">
        <f t="shared" ref="F8:F18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>IF(A15&lt;&gt;0,VLOOKUP(A15,Materiales,2,FALSE),$J$1)</f>
        <v>-</v>
      </c>
      <c r="E15" s="12"/>
      <c r="F15" s="58" t="str">
        <f>IF(A15&lt;&gt;0,VLOOKUP(A15,Materiales,6,FALSE),$J$1)</f>
        <v>-</v>
      </c>
      <c r="G15" s="58"/>
      <c r="H15" s="7" t="str">
        <f>IF(A15&lt;&gt;0,ROUND(E15*F15,2),$J$1)</f>
        <v>-</v>
      </c>
      <c r="I15" s="69"/>
    </row>
    <row r="16" spans="1:10" x14ac:dyDescent="0.2">
      <c r="A16" s="1080"/>
      <c r="B16" s="1081"/>
      <c r="C16" s="1081"/>
      <c r="D16" s="844" t="str">
        <f>IF(A16&lt;&gt;0,VLOOKUP(A16,Materiales,2,FALSE),$J$1)</f>
        <v>-</v>
      </c>
      <c r="E16" s="12"/>
      <c r="F16" s="58" t="str">
        <f>IF(A16&lt;&gt;0,VLOOKUP(A16,Materiales,5,FALSE),$J$1)</f>
        <v>-</v>
      </c>
      <c r="G16" s="58"/>
      <c r="H16" s="7" t="str">
        <f>IF(A16&lt;&gt;0,ROUND(E16*F16,2),$J$1)</f>
        <v>-</v>
      </c>
      <c r="I16" s="69"/>
    </row>
    <row r="17" spans="1:9" x14ac:dyDescent="0.2">
      <c r="A17" s="1080"/>
      <c r="B17" s="1081"/>
      <c r="C17" s="1081"/>
      <c r="D17" s="844" t="str">
        <f>IF(A17&lt;&gt;0,VLOOKUP(A17,Materiales,2,FALSE),$J$1)</f>
        <v>-</v>
      </c>
      <c r="E17" s="12"/>
      <c r="F17" s="58" t="str">
        <f>IF(A17&lt;&gt;0,VLOOKUP(A17,Materiales,5,FALSE),$J$1)</f>
        <v>-</v>
      </c>
      <c r="G17" s="58"/>
      <c r="H17" s="7" t="str">
        <f>IF(A17&lt;&gt;0,ROUND(E17*F17,2),$J$1)</f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080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69"/>
    </row>
    <row r="20" spans="1:9" x14ac:dyDescent="0.2">
      <c r="A20" s="1080"/>
      <c r="B20" s="1081"/>
      <c r="C20" s="1081"/>
      <c r="D20" s="844" t="str">
        <f t="shared" si="0"/>
        <v>-</v>
      </c>
      <c r="E20" s="12"/>
      <c r="F20" s="58" t="str">
        <f>IF(A20&lt;&gt;0,VLOOKUP(A20,Materiales,5,FALSE),$J$1)</f>
        <v>-</v>
      </c>
      <c r="G20" s="58"/>
      <c r="H20" s="7" t="str">
        <f t="shared" si="2"/>
        <v>-</v>
      </c>
      <c r="I20" s="69"/>
    </row>
    <row r="21" spans="1:9" x14ac:dyDescent="0.2">
      <c r="A21" s="1080"/>
      <c r="B21" s="1081"/>
      <c r="C21" s="1081"/>
      <c r="D21" s="844" t="str">
        <f t="shared" si="0"/>
        <v>-</v>
      </c>
      <c r="E21" s="12"/>
      <c r="F21" s="58" t="str">
        <f>IF(A21&lt;&gt;0,VLOOKUP(A21,Materiales,5,FALSE),$J$1)</f>
        <v>-</v>
      </c>
      <c r="G21" s="58"/>
      <c r="H21" s="7" t="str">
        <f t="shared" si="2"/>
        <v>-</v>
      </c>
      <c r="I21" s="73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 t="shared" ref="F26:F32" si="3">IF(A26&lt;&gt;0,VLOOKUP(A26,Equipos,6,FALSE),$J$1)</f>
        <v>3710</v>
      </c>
      <c r="G26" s="14">
        <v>0.05</v>
      </c>
      <c r="H26" s="7">
        <f t="shared" ref="H26:H32" si="4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080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69"/>
    </row>
    <row r="31" spans="1:9" x14ac:dyDescent="0.2">
      <c r="A31" s="1080"/>
      <c r="B31" s="1081"/>
      <c r="C31" s="1081"/>
      <c r="D31" s="33"/>
      <c r="E31" s="33"/>
      <c r="F31" s="12" t="str">
        <f t="shared" si="3"/>
        <v>-</v>
      </c>
      <c r="G31" s="14"/>
      <c r="H31" s="7" t="str">
        <f t="shared" si="4"/>
        <v>-</v>
      </c>
      <c r="I31" s="69"/>
    </row>
    <row r="32" spans="1:9" x14ac:dyDescent="0.2">
      <c r="A32" s="1080"/>
      <c r="B32" s="1081"/>
      <c r="C32" s="1081"/>
      <c r="D32" s="33"/>
      <c r="E32" s="33"/>
      <c r="F32" s="12" t="str">
        <f t="shared" si="3"/>
        <v>-</v>
      </c>
      <c r="G32" s="14"/>
      <c r="H32" s="7" t="str">
        <f t="shared" si="4"/>
        <v>-</v>
      </c>
      <c r="I32" s="73"/>
    </row>
    <row r="33" spans="1:9" x14ac:dyDescent="0.2">
      <c r="A33" s="853" t="s">
        <v>2221</v>
      </c>
      <c r="B33" s="854"/>
      <c r="C33" s="854"/>
      <c r="D33" s="3"/>
      <c r="E33" s="872"/>
      <c r="F33" s="872"/>
      <c r="G33" s="872"/>
      <c r="H33" s="873"/>
      <c r="I33" s="24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6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72"/>
    </row>
    <row r="37" spans="1:9" x14ac:dyDescent="0.2">
      <c r="A37" s="944"/>
      <c r="B37" s="1105" t="s">
        <v>2226</v>
      </c>
      <c r="C37" s="1298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0"/>
      <c r="B38" s="1211"/>
      <c r="C38" s="1212"/>
      <c r="D38" s="46"/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44"/>
    </row>
    <row r="39" spans="1:9" x14ac:dyDescent="0.2">
      <c r="A39" s="1210"/>
      <c r="B39" s="1211"/>
      <c r="C39" s="1212"/>
      <c r="D39" s="46" t="str">
        <f>IF(A39&lt;&gt;0,VLOOKUP(A39,Transporte,8,FALSE),$J$1)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0"/>
      <c r="B40" s="1211"/>
      <c r="C40" s="1212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215"/>
      <c r="B42" s="1216"/>
      <c r="C42" s="1217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4"/>
    </row>
    <row r="43" spans="1:9" x14ac:dyDescent="0.2">
      <c r="A43" s="1215"/>
      <c r="B43" s="1216"/>
      <c r="C43" s="1217"/>
      <c r="D43" s="61" t="str">
        <f>IF(A32&lt;&gt;0,VLOOKUP(A43,Transporte,8,FALSE),$J$1)</f>
        <v>-</v>
      </c>
      <c r="E43" s="61"/>
      <c r="F43" s="15" t="str">
        <f t="shared" si="5"/>
        <v>-</v>
      </c>
      <c r="G43" s="12"/>
      <c r="H43" s="7" t="str">
        <f t="shared" si="6"/>
        <v>-</v>
      </c>
      <c r="I43" s="346"/>
    </row>
    <row r="44" spans="1:9" x14ac:dyDescent="0.2">
      <c r="A44" s="1106" t="s">
        <v>2228</v>
      </c>
      <c r="B44" s="1107"/>
      <c r="C44" s="1107"/>
      <c r="D44" s="1107"/>
      <c r="E44" s="1107"/>
      <c r="F44" s="1107"/>
      <c r="G44" s="1107"/>
      <c r="H44" s="110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68.760000000000005</v>
      </c>
      <c r="G48" s="1083"/>
      <c r="H48" s="7">
        <f>IF(A48&lt;&gt;0,ROUND(D48/F48,2),$J$1)</f>
        <v>3473.21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080"/>
      <c r="B50" s="1081"/>
      <c r="C50" s="1081"/>
      <c r="D50" s="1082" t="str">
        <f>IF(A50&lt;&gt;0,VLOOKUP(A50,Cuadrillas,7,FALSE),$J$1)</f>
        <v>-</v>
      </c>
      <c r="E50" s="1082"/>
      <c r="F50" s="1083"/>
      <c r="G50" s="1083"/>
      <c r="H50" s="7" t="str">
        <f>IF(A50&lt;&gt;0,ROUND(D50/F50,2),$J$1)</f>
        <v>-</v>
      </c>
      <c r="I50" s="69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080"/>
      <c r="B52" s="1081"/>
      <c r="C52" s="1081"/>
      <c r="D52" s="1082" t="str">
        <f>IF(A52&lt;&gt;0,VLOOKUP(A52,Cuadrillas,7,FALSE),$J$1)</f>
        <v>-</v>
      </c>
      <c r="E52" s="1082"/>
      <c r="F52" s="1083"/>
      <c r="G52" s="1083"/>
      <c r="H52" s="7" t="str">
        <f>IF(A52&lt;&gt;0,ROUND(D52/F52,2),$J$1)</f>
        <v>-</v>
      </c>
      <c r="I52" s="69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242">
        <f>SUM(H48:H52)</f>
        <v>3473.21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3473.21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2">
    <mergeCell ref="A15:C15"/>
    <mergeCell ref="A16:C16"/>
    <mergeCell ref="A17:C17"/>
    <mergeCell ref="A21:C21"/>
    <mergeCell ref="F49:G49"/>
    <mergeCell ref="A49:C49"/>
    <mergeCell ref="A32:C32"/>
    <mergeCell ref="D49:E49"/>
    <mergeCell ref="B37:C37"/>
    <mergeCell ref="B41:C41"/>
    <mergeCell ref="A38:C38"/>
    <mergeCell ref="A39:C39"/>
    <mergeCell ref="A40:C40"/>
    <mergeCell ref="A30:C30"/>
    <mergeCell ref="A31:C31"/>
    <mergeCell ref="A42:C42"/>
    <mergeCell ref="A43:C43"/>
    <mergeCell ref="F58:I58"/>
    <mergeCell ref="A54:I54"/>
    <mergeCell ref="A53:H53"/>
    <mergeCell ref="A44:H44"/>
    <mergeCell ref="F52:G52"/>
    <mergeCell ref="A45:I45"/>
    <mergeCell ref="F47:G47"/>
    <mergeCell ref="F48:G48"/>
    <mergeCell ref="D48:E48"/>
    <mergeCell ref="A47:C47"/>
    <mergeCell ref="A48:C48"/>
    <mergeCell ref="D47:E47"/>
    <mergeCell ref="A46:I46"/>
    <mergeCell ref="A20:C20"/>
    <mergeCell ref="A59:G59"/>
    <mergeCell ref="H59:I59"/>
    <mergeCell ref="A50:C50"/>
    <mergeCell ref="A51:C51"/>
    <mergeCell ref="D50:E50"/>
    <mergeCell ref="F50:G50"/>
    <mergeCell ref="A52:C52"/>
    <mergeCell ref="D51:E51"/>
    <mergeCell ref="F51:G51"/>
    <mergeCell ref="D52:E52"/>
    <mergeCell ref="A57:G57"/>
    <mergeCell ref="A55:H55"/>
    <mergeCell ref="A56:H56"/>
    <mergeCell ref="A58:C58"/>
    <mergeCell ref="D58:E58"/>
    <mergeCell ref="C5:I5"/>
    <mergeCell ref="H1:I1"/>
    <mergeCell ref="A28:C28"/>
    <mergeCell ref="A29:C29"/>
    <mergeCell ref="A8:C8"/>
    <mergeCell ref="A9:C9"/>
    <mergeCell ref="A10:C10"/>
    <mergeCell ref="A11:C11"/>
    <mergeCell ref="A12:C12"/>
    <mergeCell ref="A1:C1"/>
    <mergeCell ref="A13:C13"/>
    <mergeCell ref="A14:C14"/>
    <mergeCell ref="A26:C26"/>
    <mergeCell ref="A27:C27"/>
    <mergeCell ref="A18:C18"/>
    <mergeCell ref="A19:C19"/>
  </mergeCells>
  <phoneticPr fontId="0" type="noConversion"/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3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1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080" t="s">
        <v>191</v>
      </c>
      <c r="B8" s="1081"/>
      <c r="C8" s="1081"/>
      <c r="D8" s="844" t="e">
        <f>IF(A8&lt;&gt;0,VLOOKUP(A8,Materiales,2,FALSE),$J$1)</f>
        <v>#REF!</v>
      </c>
      <c r="E8" s="12">
        <v>2.06</v>
      </c>
      <c r="F8" s="58" t="e">
        <f>IF(A8&lt;&gt;0,VLOOKUP(A8,Materiales,6,FALSE),$J$1)</f>
        <v>#REF!</v>
      </c>
      <c r="G8" s="58"/>
      <c r="H8" s="7" t="e">
        <f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>
        <f>IF(A9&lt;&gt;0,VLOOKUP(A9,Materiales,2,FALSE),$J$1)</f>
        <v>0</v>
      </c>
      <c r="E9" s="12"/>
      <c r="F9" s="58">
        <f>IF(A9&lt;&gt;0,VLOOKUP(A9,Materiales,6,FALSE),$J$1)</f>
        <v>0</v>
      </c>
      <c r="G9" s="58"/>
      <c r="H9" s="7">
        <f>IF(A9&lt;&gt;0,ROUND(E9*F9,2),$J$1)</f>
        <v>0</v>
      </c>
      <c r="I9" s="69"/>
    </row>
    <row r="10" spans="1:10" x14ac:dyDescent="0.2">
      <c r="A10" s="1213"/>
      <c r="B10" s="1214"/>
      <c r="C10" s="1214"/>
      <c r="D10" s="844">
        <f>IF(A10&lt;&gt;0,VLOOKUP(A10,Materiales,2,FALSE),$J$1)</f>
        <v>0</v>
      </c>
      <c r="E10" s="12"/>
      <c r="F10" s="58">
        <f>IF(A10&lt;&gt;0,VLOOKUP(A10,Materiales,6,FALSE),$J$1)</f>
        <v>0</v>
      </c>
      <c r="G10" s="58"/>
      <c r="H10" s="7"/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ref="H11:H21" si="0">IF(A11&lt;&gt;0,ROUND(E11*F11,2),$J$1)</f>
        <v>0</v>
      </c>
      <c r="I11" s="69"/>
    </row>
    <row r="12" spans="1:10" x14ac:dyDescent="0.2">
      <c r="A12" s="1210"/>
      <c r="B12" s="1211"/>
      <c r="C12" s="1212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213"/>
      <c r="B13" s="1214"/>
      <c r="C13" s="1214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213"/>
      <c r="B14" s="1214"/>
      <c r="C14" s="1214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213"/>
      <c r="B15" s="1214"/>
      <c r="C15" s="1214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213"/>
      <c r="B16" s="1214"/>
      <c r="C16" s="1214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213"/>
      <c r="B17" s="1214"/>
      <c r="C17" s="1214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213"/>
      <c r="B18" s="1214"/>
      <c r="C18" s="1214"/>
      <c r="D18" s="844"/>
      <c r="E18" s="12"/>
      <c r="F18" s="58"/>
      <c r="G18" s="58"/>
      <c r="H18" s="7">
        <f t="shared" si="0"/>
        <v>0</v>
      </c>
      <c r="I18" s="69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>
        <f>IF(A27&lt;&gt;0,VLOOKUP(A27,Equipos,6,FALSE),$J$1)</f>
        <v>0</v>
      </c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206"/>
      <c r="C35" s="207"/>
      <c r="D35" s="902"/>
      <c r="E35" s="902"/>
      <c r="F35" s="902"/>
      <c r="G35" s="902"/>
      <c r="H35" s="902"/>
      <c r="I35" s="903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871"/>
      <c r="B38" s="872"/>
      <c r="C38" s="873"/>
      <c r="D38" s="46">
        <f>IF(A38&lt;&gt;0,VLOOKUP(A38,Transporte,8,FALSE),$J$1)</f>
        <v>0</v>
      </c>
      <c r="E38" s="47"/>
      <c r="F38" s="15">
        <f t="shared" ref="F38:F43" si="2">IF(A38&lt;&gt;0,VLOOKUP(A38,Transporte,2,FALSE),$J$1)</f>
        <v>0</v>
      </c>
      <c r="G38" s="12"/>
      <c r="H38" s="7">
        <f t="shared" ref="H38:H43" si="3">IF(A38&lt;&gt;0,D38/F38*G38,$J$1)</f>
        <v>0</v>
      </c>
      <c r="I38" s="344"/>
    </row>
    <row r="39" spans="1:9" x14ac:dyDescent="0.2">
      <c r="A39" s="871"/>
      <c r="B39" s="872"/>
      <c r="C39" s="873"/>
      <c r="D39" s="46">
        <f>IF(A39&lt;&gt;0,VLOOKUP(A39,Transporte,8,FALSE),$J$1)</f>
        <v>0</v>
      </c>
      <c r="E39" s="47"/>
      <c r="F39" s="15">
        <f t="shared" si="2"/>
        <v>0</v>
      </c>
      <c r="G39" s="12"/>
      <c r="H39" s="7">
        <f t="shared" si="3"/>
        <v>0</v>
      </c>
      <c r="I39" s="344"/>
    </row>
    <row r="40" spans="1:9" x14ac:dyDescent="0.2">
      <c r="B40" s="872"/>
      <c r="C40" s="873"/>
      <c r="D40" s="46">
        <f>IF(A40&lt;&gt;0,VLOOKUP(A40,Transporte,8,FALSE),$J$1)</f>
        <v>0</v>
      </c>
      <c r="E40" s="47"/>
      <c r="F40" s="15">
        <f t="shared" si="2"/>
        <v>0</v>
      </c>
      <c r="G40" s="12"/>
      <c r="H40" s="7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896"/>
      <c r="B42" s="893"/>
      <c r="C42" s="894"/>
      <c r="D42" s="46">
        <f>IF(A42&lt;&gt;0,VLOOKUP(A42,Transporte,8,FALSE),$J$1)</f>
        <v>0</v>
      </c>
      <c r="E42" s="47"/>
      <c r="F42" s="15">
        <f t="shared" si="2"/>
        <v>0</v>
      </c>
      <c r="G42" s="12"/>
      <c r="H42" s="7">
        <f t="shared" si="3"/>
        <v>0</v>
      </c>
      <c r="I42" s="379"/>
    </row>
    <row r="43" spans="1:9" x14ac:dyDescent="0.2">
      <c r="A43" s="401"/>
      <c r="B43" s="375"/>
      <c r="C43" s="376"/>
      <c r="D43" s="46">
        <f>IF(A43&lt;&gt;0,VLOOKUP(A43,Transporte,8,FALSE),$J$1)</f>
        <v>0</v>
      </c>
      <c r="E43" s="47"/>
      <c r="F43" s="15">
        <f t="shared" si="2"/>
        <v>0</v>
      </c>
      <c r="G43" s="12"/>
      <c r="H43" s="7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394" t="s">
        <v>554</v>
      </c>
      <c r="B46" s="1395"/>
      <c r="C46" s="1395"/>
      <c r="D46" s="1395"/>
      <c r="E46" s="1395"/>
      <c r="F46" s="1395"/>
      <c r="G46" s="1395"/>
      <c r="H46" s="1395"/>
      <c r="I46" s="1396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57.311216305323143</v>
      </c>
      <c r="G48" s="1083"/>
      <c r="H48" s="7">
        <f>IF(A48&lt;&gt;0,ROUND(D48/F48,2),$J$1)</f>
        <v>4167.04</v>
      </c>
      <c r="I48" s="69"/>
    </row>
    <row r="49" spans="1:9" x14ac:dyDescent="0.2">
      <c r="A49" s="1256"/>
      <c r="B49" s="1257"/>
      <c r="C49" s="1257"/>
      <c r="D49" s="1350">
        <f>IF(A49&lt;&gt;0,VLOOKUP(A49,Cuadrillas,7,FALSE),$J$1)</f>
        <v>0</v>
      </c>
      <c r="E49" s="1350"/>
      <c r="F49" s="1351"/>
      <c r="G49" s="1351"/>
      <c r="H49" s="171">
        <f>IF(A49&lt;&gt;0,ROUND(D49/F49,2),$J$1)</f>
        <v>0</v>
      </c>
      <c r="I49" s="297"/>
    </row>
    <row r="50" spans="1:9" x14ac:dyDescent="0.2">
      <c r="A50" s="1080"/>
      <c r="B50" s="1081"/>
      <c r="C50" s="1081"/>
      <c r="D50" s="1350">
        <f>IF(A50&lt;&gt;0,VLOOKUP(A50,Cuadrillas,7,FALSE),$J$1)</f>
        <v>0</v>
      </c>
      <c r="E50" s="1350"/>
      <c r="F50" s="1351"/>
      <c r="G50" s="1351"/>
      <c r="H50" s="171">
        <f>IF(A50&lt;&gt;0,ROUND(D50/F50,2),$J$1)</f>
        <v>0</v>
      </c>
      <c r="I50" s="69"/>
    </row>
    <row r="51" spans="1:9" x14ac:dyDescent="0.2">
      <c r="A51" s="1256"/>
      <c r="B51" s="1257"/>
      <c r="C51" s="1257"/>
      <c r="D51" s="1350">
        <f>IF(A51&lt;&gt;0,VLOOKUP(A51,Cuadrillas,7,FALSE),$J$1)</f>
        <v>0</v>
      </c>
      <c r="E51" s="1350"/>
      <c r="F51" s="1351"/>
      <c r="G51" s="1351"/>
      <c r="H51" s="171">
        <f>IF(A51&lt;&gt;0,ROUND(D51/F51,2),$J$1)</f>
        <v>0</v>
      </c>
      <c r="I51" s="301"/>
    </row>
    <row r="52" spans="1:9" x14ac:dyDescent="0.2">
      <c r="A52" s="1256"/>
      <c r="B52" s="1257"/>
      <c r="C52" s="1257"/>
      <c r="D52" s="1350">
        <f>IF(A52&lt;&gt;0,VLOOKUP(A52,Cuadrillas,7,FALSE),$J$1)</f>
        <v>0</v>
      </c>
      <c r="E52" s="1350"/>
      <c r="F52" s="1351"/>
      <c r="G52" s="1351"/>
      <c r="H52" s="171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4167.04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4167.04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:C1"/>
    <mergeCell ref="B37:C37"/>
    <mergeCell ref="B41:C41"/>
    <mergeCell ref="A2:I2"/>
    <mergeCell ref="A3:I3"/>
    <mergeCell ref="H1:I1"/>
    <mergeCell ref="A12:C12"/>
    <mergeCell ref="A26:C26"/>
    <mergeCell ref="A16:C16"/>
    <mergeCell ref="A17:C17"/>
    <mergeCell ref="A19:C19"/>
    <mergeCell ref="A21:C21"/>
    <mergeCell ref="A14:C14"/>
    <mergeCell ref="A20:C20"/>
    <mergeCell ref="A18:C18"/>
    <mergeCell ref="C5:I5"/>
    <mergeCell ref="D48:E48"/>
    <mergeCell ref="A47:C47"/>
    <mergeCell ref="F52:G52"/>
    <mergeCell ref="F51:G51"/>
    <mergeCell ref="A48:C48"/>
    <mergeCell ref="D47:E47"/>
    <mergeCell ref="A49:C49"/>
    <mergeCell ref="F47:G47"/>
    <mergeCell ref="F48:G48"/>
    <mergeCell ref="D52:E52"/>
    <mergeCell ref="A55:H55"/>
    <mergeCell ref="A54:I54"/>
    <mergeCell ref="A8:C8"/>
    <mergeCell ref="A9:C9"/>
    <mergeCell ref="A10:C10"/>
    <mergeCell ref="A46:I46"/>
    <mergeCell ref="A30:C30"/>
    <mergeCell ref="A31:C31"/>
    <mergeCell ref="A27:C27"/>
    <mergeCell ref="A11:C11"/>
    <mergeCell ref="A13:C13"/>
    <mergeCell ref="A15:C15"/>
    <mergeCell ref="A32:C32"/>
    <mergeCell ref="A28:C28"/>
    <mergeCell ref="A29:C29"/>
    <mergeCell ref="A45:I45"/>
    <mergeCell ref="A53:H53"/>
    <mergeCell ref="D49:E49"/>
    <mergeCell ref="F49:G49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</mergeCells>
  <phoneticPr fontId="0" type="noConversion"/>
  <dataValidations count="5">
    <dataValidation type="list" allowBlank="1" showInputMessage="1" showErrorMessage="1" sqref="A26:A32 B38:C40 B42:C43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39 A41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2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080" t="s">
        <v>143</v>
      </c>
      <c r="B8" s="1081"/>
      <c r="C8" s="1081"/>
      <c r="D8" s="844" t="e">
        <f>IF(A8&lt;&gt;0,VLOOKUP(A8,Materiales,2,FALSE),$J$1)</f>
        <v>#REF!</v>
      </c>
      <c r="E8" s="12">
        <v>3.09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/>
      <c r="E9" s="12"/>
      <c r="F9" s="58"/>
      <c r="G9" s="58"/>
      <c r="H9" s="7">
        <f t="shared" si="0"/>
        <v>0</v>
      </c>
      <c r="I9" s="69"/>
    </row>
    <row r="10" spans="1:10" x14ac:dyDescent="0.2">
      <c r="A10" s="1213"/>
      <c r="B10" s="1214"/>
      <c r="C10" s="1214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210"/>
      <c r="B12" s="1211"/>
      <c r="C12" s="1212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213"/>
      <c r="B13" s="1214"/>
      <c r="C13" s="1214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213"/>
      <c r="B14" s="1214"/>
      <c r="C14" s="1214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213"/>
      <c r="B15" s="1214"/>
      <c r="C15" s="1214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213"/>
      <c r="B16" s="1214"/>
      <c r="C16" s="1214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213"/>
      <c r="B17" s="1214"/>
      <c r="C17" s="1214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84"/>
      <c r="B18" s="1385"/>
      <c r="C18" s="1386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2">IF(A38&lt;&gt;0,VLOOKUP(A38,Transporte,2,FALSE),$J$1)</f>
        <v>0</v>
      </c>
      <c r="G38" s="12"/>
      <c r="H38" s="7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2"/>
        <v>0</v>
      </c>
      <c r="G39" s="12"/>
      <c r="H39" s="7">
        <f t="shared" si="3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2"/>
        <v>0</v>
      </c>
      <c r="G40" s="12"/>
      <c r="H40" s="7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2"/>
        <v>0</v>
      </c>
      <c r="G42" s="12"/>
      <c r="H42" s="7">
        <f t="shared" si="3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2"/>
        <v>0</v>
      </c>
      <c r="G43" s="12"/>
      <c r="H43" s="7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83.2</v>
      </c>
      <c r="G48" s="1083"/>
      <c r="H48" s="7">
        <f>IF(A48&lt;&gt;0,ROUND(D48/F48,2),$J$1)</f>
        <v>2870.41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2870.41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2870.41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D48:E48"/>
    <mergeCell ref="A47:C47"/>
    <mergeCell ref="A48:C48"/>
    <mergeCell ref="D47:E47"/>
    <mergeCell ref="A30:C30"/>
    <mergeCell ref="A31:C31"/>
    <mergeCell ref="A32:C32"/>
    <mergeCell ref="A45:I45"/>
    <mergeCell ref="F47:G47"/>
    <mergeCell ref="F48:G48"/>
    <mergeCell ref="A46:I46"/>
    <mergeCell ref="B37:C37"/>
    <mergeCell ref="B41:C41"/>
    <mergeCell ref="A38:C38"/>
    <mergeCell ref="A39:C39"/>
    <mergeCell ref="A40:C40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F52:G52"/>
    <mergeCell ref="F51:G51"/>
    <mergeCell ref="D52:E52"/>
    <mergeCell ref="A57:G57"/>
    <mergeCell ref="A55:H55"/>
    <mergeCell ref="A58:C58"/>
    <mergeCell ref="D58:E58"/>
    <mergeCell ref="F58:I58"/>
    <mergeCell ref="A26:C26"/>
    <mergeCell ref="A27:C27"/>
    <mergeCell ref="A16:C16"/>
    <mergeCell ref="A17:C17"/>
    <mergeCell ref="A19:C19"/>
    <mergeCell ref="A21:C21"/>
    <mergeCell ref="A18:C18"/>
    <mergeCell ref="A20:C20"/>
    <mergeCell ref="F49:G49"/>
    <mergeCell ref="A49:C49"/>
    <mergeCell ref="D49:E49"/>
    <mergeCell ref="A54:I54"/>
    <mergeCell ref="A53:H53"/>
    <mergeCell ref="A28:C28"/>
    <mergeCell ref="A42:C42"/>
    <mergeCell ref="H1:I1"/>
    <mergeCell ref="A12:C12"/>
    <mergeCell ref="A15:C15"/>
    <mergeCell ref="A8:C8"/>
    <mergeCell ref="A9:C9"/>
    <mergeCell ref="A10:C10"/>
    <mergeCell ref="A11:C11"/>
    <mergeCell ref="A13:C13"/>
    <mergeCell ref="A14:C14"/>
    <mergeCell ref="A1:C1"/>
    <mergeCell ref="A43:C43"/>
    <mergeCell ref="A2:I2"/>
    <mergeCell ref="A3:I3"/>
    <mergeCell ref="A29:C29"/>
    <mergeCell ref="C5:I5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3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080" t="s">
        <v>192</v>
      </c>
      <c r="B8" s="1081"/>
      <c r="C8" s="1081"/>
      <c r="D8" s="844" t="e">
        <f>IF(A8&lt;&gt;0,VLOOKUP(A8,Materiales,2,FALSE),$J$1)</f>
        <v>#REF!</v>
      </c>
      <c r="E8" s="12">
        <v>3.09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>
        <f>IF(A9&lt;&gt;0,VLOOKUP(A9,Materiales,2,FALSE),$J$1)</f>
        <v>0</v>
      </c>
      <c r="E9" s="12"/>
      <c r="F9" s="58">
        <f>IF(A9&lt;&gt;0,VLOOKUP(A9,Materiales,6,FALSE),$J$1)</f>
        <v>0</v>
      </c>
      <c r="G9" s="58"/>
      <c r="H9" s="7">
        <f t="shared" si="0"/>
        <v>0</v>
      </c>
      <c r="I9" s="69"/>
    </row>
    <row r="10" spans="1:10" x14ac:dyDescent="0.2">
      <c r="A10" s="1213"/>
      <c r="B10" s="1214"/>
      <c r="C10" s="1214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210"/>
      <c r="B12" s="1211"/>
      <c r="C12" s="1212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213"/>
      <c r="B13" s="1214"/>
      <c r="C13" s="1214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213"/>
      <c r="B14" s="1214"/>
      <c r="C14" s="1214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213"/>
      <c r="B15" s="1214"/>
      <c r="C15" s="1214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213"/>
      <c r="B16" s="1214"/>
      <c r="C16" s="1214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213"/>
      <c r="B17" s="1214"/>
      <c r="C17" s="1214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84"/>
      <c r="B18" s="1385"/>
      <c r="C18" s="1386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2">IF(A38&lt;&gt;0,VLOOKUP(A38,Transporte,2,FALSE),$J$1)</f>
        <v>0</v>
      </c>
      <c r="G38" s="12"/>
      <c r="H38" s="7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2"/>
        <v>0</v>
      </c>
      <c r="G39" s="12"/>
      <c r="H39" s="7">
        <f t="shared" si="3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2"/>
        <v>0</v>
      </c>
      <c r="G40" s="12"/>
      <c r="H40" s="7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2"/>
        <v>0</v>
      </c>
      <c r="G42" s="12"/>
      <c r="H42" s="7">
        <f t="shared" si="3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2"/>
        <v>0</v>
      </c>
      <c r="G43" s="12"/>
      <c r="H43" s="7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57.31</v>
      </c>
      <c r="G48" s="1083"/>
      <c r="H48" s="7">
        <f>IF(A48&lt;&gt;0,ROUND(D48/F48,2),$J$1)</f>
        <v>4167.13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4167.13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4167.13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48:C48"/>
    <mergeCell ref="D47:E47"/>
    <mergeCell ref="A49:C49"/>
    <mergeCell ref="A1:C1"/>
    <mergeCell ref="B37:C37"/>
    <mergeCell ref="B41:C41"/>
    <mergeCell ref="A2:I2"/>
    <mergeCell ref="A3:I3"/>
    <mergeCell ref="H1:I1"/>
    <mergeCell ref="A12:C12"/>
    <mergeCell ref="A26:C26"/>
    <mergeCell ref="A15:C15"/>
    <mergeCell ref="A16:C16"/>
    <mergeCell ref="A19:C19"/>
    <mergeCell ref="A21:C21"/>
    <mergeCell ref="A14:C14"/>
    <mergeCell ref="A8:C8"/>
    <mergeCell ref="A9:C9"/>
    <mergeCell ref="A10:C10"/>
    <mergeCell ref="A46:I46"/>
    <mergeCell ref="A30:C30"/>
    <mergeCell ref="A31:C31"/>
    <mergeCell ref="A27:C27"/>
    <mergeCell ref="A11:C11"/>
    <mergeCell ref="A13:C13"/>
    <mergeCell ref="A32:C32"/>
    <mergeCell ref="A28:C28"/>
    <mergeCell ref="A29:C29"/>
    <mergeCell ref="A18:C18"/>
    <mergeCell ref="A20:C20"/>
    <mergeCell ref="A17:C17"/>
    <mergeCell ref="A53:H53"/>
    <mergeCell ref="D49:E49"/>
    <mergeCell ref="A38:C38"/>
    <mergeCell ref="A39:C39"/>
    <mergeCell ref="A40:C40"/>
    <mergeCell ref="A42:C42"/>
    <mergeCell ref="A43:C43"/>
    <mergeCell ref="A45:I45"/>
    <mergeCell ref="F47:G47"/>
    <mergeCell ref="F48:G48"/>
    <mergeCell ref="D52:E52"/>
    <mergeCell ref="F49:G49"/>
    <mergeCell ref="D48:E48"/>
    <mergeCell ref="A47:C47"/>
    <mergeCell ref="F52:G52"/>
    <mergeCell ref="F51:G51"/>
    <mergeCell ref="C5:I5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  <mergeCell ref="A55:H55"/>
    <mergeCell ref="A54:I54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080" t="s">
        <v>191</v>
      </c>
      <c r="B8" s="1081"/>
      <c r="C8" s="1081"/>
      <c r="D8" s="847" t="e">
        <f>IF(A8&lt;&gt;0,VLOOKUP(A8,Materiales,2,FALSE),$J$1)</f>
        <v>#REF!</v>
      </c>
      <c r="E8" s="12">
        <v>3.09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7"/>
      <c r="E9" s="12"/>
      <c r="F9" s="58"/>
      <c r="G9" s="58"/>
      <c r="H9" s="7">
        <f t="shared" si="0"/>
        <v>0</v>
      </c>
      <c r="I9" s="69"/>
    </row>
    <row r="10" spans="1:10" x14ac:dyDescent="0.2">
      <c r="A10" s="1213"/>
      <c r="B10" s="1214"/>
      <c r="C10" s="1214"/>
      <c r="D10" s="847"/>
      <c r="E10" s="12"/>
      <c r="F10" s="58"/>
      <c r="G10" s="58"/>
      <c r="H10" s="7">
        <f t="shared" si="0"/>
        <v>0</v>
      </c>
      <c r="I10" s="69"/>
    </row>
    <row r="11" spans="1:10" x14ac:dyDescent="0.2">
      <c r="A11" s="1213"/>
      <c r="B11" s="1214"/>
      <c r="C11" s="1214"/>
      <c r="D11" s="847"/>
      <c r="E11" s="12"/>
      <c r="F11" s="58"/>
      <c r="G11" s="58"/>
      <c r="H11" s="7">
        <f t="shared" si="0"/>
        <v>0</v>
      </c>
      <c r="I11" s="69"/>
    </row>
    <row r="12" spans="1:10" x14ac:dyDescent="0.2">
      <c r="A12" s="1215"/>
      <c r="B12" s="1216"/>
      <c r="C12" s="1217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68"/>
      <c r="B18" s="1379"/>
      <c r="C18" s="1380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452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2">IF(A38&lt;&gt;0,VLOOKUP(A38,Transporte,2,FALSE),$J$1)</f>
        <v>0</v>
      </c>
      <c r="G38" s="12"/>
      <c r="H38" s="7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2"/>
        <v>0</v>
      </c>
      <c r="G39" s="12"/>
      <c r="H39" s="7">
        <f t="shared" si="3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2"/>
        <v>0</v>
      </c>
      <c r="G40" s="12"/>
      <c r="H40" s="7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2"/>
        <v>0</v>
      </c>
      <c r="G42" s="12"/>
      <c r="H42" s="7">
        <f t="shared" si="3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2"/>
        <v>0</v>
      </c>
      <c r="G43" s="12"/>
      <c r="H43" s="7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49.12</v>
      </c>
      <c r="G48" s="1083"/>
      <c r="H48" s="7">
        <f>IF(A48&lt;&gt;0,ROUND(D48/F48,2),$J$1)</f>
        <v>4861.93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4861.93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4861.93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B37:C37"/>
    <mergeCell ref="B41:C41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A58:C58"/>
    <mergeCell ref="D58:E58"/>
    <mergeCell ref="F58:I58"/>
    <mergeCell ref="F52:G52"/>
    <mergeCell ref="A45:I45"/>
    <mergeCell ref="F47:G47"/>
    <mergeCell ref="F48:G48"/>
    <mergeCell ref="F51:G51"/>
    <mergeCell ref="A46:I46"/>
    <mergeCell ref="A47:C47"/>
    <mergeCell ref="D52:E52"/>
    <mergeCell ref="F49:G49"/>
    <mergeCell ref="A49:C49"/>
    <mergeCell ref="D49:E49"/>
    <mergeCell ref="D48:E48"/>
    <mergeCell ref="A13:C13"/>
    <mergeCell ref="A14:C14"/>
    <mergeCell ref="A54:I54"/>
    <mergeCell ref="A53:H53"/>
    <mergeCell ref="A57:G57"/>
    <mergeCell ref="A55:H55"/>
    <mergeCell ref="A28:C28"/>
    <mergeCell ref="A29:C29"/>
    <mergeCell ref="A48:C48"/>
    <mergeCell ref="D47:E47"/>
    <mergeCell ref="A30:C30"/>
    <mergeCell ref="A31:C31"/>
    <mergeCell ref="A32:C32"/>
    <mergeCell ref="A15:C15"/>
    <mergeCell ref="A26:C26"/>
    <mergeCell ref="A27:C27"/>
    <mergeCell ref="A16:C16"/>
    <mergeCell ref="A19:C19"/>
    <mergeCell ref="A21:C21"/>
    <mergeCell ref="A18:C18"/>
    <mergeCell ref="A20:C20"/>
    <mergeCell ref="A17:C17"/>
    <mergeCell ref="A2:I2"/>
    <mergeCell ref="A3:I3"/>
    <mergeCell ref="H1:I1"/>
    <mergeCell ref="A12:C12"/>
    <mergeCell ref="C5:I5"/>
    <mergeCell ref="A8:C8"/>
    <mergeCell ref="A9:C9"/>
    <mergeCell ref="A10:C10"/>
    <mergeCell ref="A11:C11"/>
    <mergeCell ref="A1:C1"/>
    <mergeCell ref="A38:C38"/>
    <mergeCell ref="A39:C39"/>
    <mergeCell ref="A40:C40"/>
    <mergeCell ref="A42:C42"/>
    <mergeCell ref="A43:C43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080" t="s">
        <v>143</v>
      </c>
      <c r="B8" s="1081"/>
      <c r="C8" s="1081"/>
      <c r="D8" s="844" t="e">
        <f>IF(A8&lt;&gt;0,VLOOKUP(A8,Materiales,2,FALSE),$J$1)</f>
        <v>#REF!</v>
      </c>
      <c r="E8" s="12">
        <v>4.12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/>
      <c r="E9" s="12"/>
      <c r="F9" s="58"/>
      <c r="G9" s="58"/>
      <c r="H9" s="7">
        <f t="shared" si="0"/>
        <v>0</v>
      </c>
      <c r="I9" s="69"/>
    </row>
    <row r="10" spans="1:10" x14ac:dyDescent="0.2">
      <c r="A10" s="1213"/>
      <c r="B10" s="1214"/>
      <c r="C10" s="1214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210"/>
      <c r="B12" s="1211"/>
      <c r="C12" s="1212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213"/>
      <c r="B13" s="1214"/>
      <c r="C13" s="1214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213"/>
      <c r="B14" s="1214"/>
      <c r="C14" s="1214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213"/>
      <c r="B15" s="1214"/>
      <c r="C15" s="1214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213"/>
      <c r="B16" s="1214"/>
      <c r="C16" s="1214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213"/>
      <c r="B17" s="1214"/>
      <c r="C17" s="1214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213"/>
      <c r="B18" s="1214"/>
      <c r="C18" s="1214"/>
      <c r="D18" s="844"/>
      <c r="E18" s="12"/>
      <c r="F18" s="58"/>
      <c r="G18" s="58"/>
      <c r="H18" s="7">
        <f t="shared" si="0"/>
        <v>0</v>
      </c>
      <c r="I18" s="69"/>
    </row>
    <row r="19" spans="1:9" x14ac:dyDescent="0.2">
      <c r="A19" s="1384"/>
      <c r="B19" s="1385"/>
      <c r="C19" s="1386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97"/>
      <c r="B20" s="1398"/>
      <c r="C20" s="1398"/>
      <c r="D20" s="369"/>
      <c r="E20" s="370"/>
      <c r="F20" s="371"/>
      <c r="G20" s="371"/>
      <c r="H20" s="372">
        <f t="shared" si="0"/>
        <v>0</v>
      </c>
      <c r="I20" s="297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2">IF(A38&lt;&gt;0,VLOOKUP(A38,Transporte,2,FALSE),$J$1)</f>
        <v>0</v>
      </c>
      <c r="G38" s="12"/>
      <c r="H38" s="7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2"/>
        <v>0</v>
      </c>
      <c r="G39" s="12"/>
      <c r="H39" s="7">
        <f t="shared" si="3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2"/>
        <v>0</v>
      </c>
      <c r="G40" s="12"/>
      <c r="H40" s="7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2"/>
        <v>0</v>
      </c>
      <c r="G42" s="12"/>
      <c r="H42" s="7">
        <f t="shared" si="3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2"/>
        <v>0</v>
      </c>
      <c r="G43" s="12"/>
      <c r="H43" s="7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57.31</v>
      </c>
      <c r="G48" s="1083"/>
      <c r="H48" s="7">
        <f>IF(A48&lt;&gt;0,ROUND(D48/F48,2),$J$1)</f>
        <v>4167.13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4167.13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4167.13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B37:C37"/>
    <mergeCell ref="B41:C41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A58:C58"/>
    <mergeCell ref="D58:E58"/>
    <mergeCell ref="F58:I58"/>
    <mergeCell ref="F52:G52"/>
    <mergeCell ref="A45:I45"/>
    <mergeCell ref="F47:G47"/>
    <mergeCell ref="F48:G48"/>
    <mergeCell ref="F51:G51"/>
    <mergeCell ref="A46:I46"/>
    <mergeCell ref="A47:C47"/>
    <mergeCell ref="D52:E52"/>
    <mergeCell ref="F49:G49"/>
    <mergeCell ref="A49:C49"/>
    <mergeCell ref="D49:E49"/>
    <mergeCell ref="D48:E48"/>
    <mergeCell ref="A13:C13"/>
    <mergeCell ref="A14:C14"/>
    <mergeCell ref="A54:I54"/>
    <mergeCell ref="A53:H53"/>
    <mergeCell ref="A57:G57"/>
    <mergeCell ref="A55:H55"/>
    <mergeCell ref="A28:C28"/>
    <mergeCell ref="A29:C29"/>
    <mergeCell ref="A48:C48"/>
    <mergeCell ref="D47:E47"/>
    <mergeCell ref="A30:C30"/>
    <mergeCell ref="A31:C31"/>
    <mergeCell ref="A32:C32"/>
    <mergeCell ref="A15:C15"/>
    <mergeCell ref="A26:C26"/>
    <mergeCell ref="A27:C27"/>
    <mergeCell ref="A16:C16"/>
    <mergeCell ref="A17:C17"/>
    <mergeCell ref="A20:C20"/>
    <mergeCell ref="A21:C21"/>
    <mergeCell ref="A19:C19"/>
    <mergeCell ref="A18:C18"/>
    <mergeCell ref="A2:I2"/>
    <mergeCell ref="A3:I3"/>
    <mergeCell ref="H1:I1"/>
    <mergeCell ref="A12:C12"/>
    <mergeCell ref="C5:I5"/>
    <mergeCell ref="A8:C8"/>
    <mergeCell ref="A9:C9"/>
    <mergeCell ref="A10:C10"/>
    <mergeCell ref="A11:C11"/>
    <mergeCell ref="A1:C1"/>
    <mergeCell ref="A38:C38"/>
    <mergeCell ref="A39:C39"/>
    <mergeCell ref="A40:C40"/>
    <mergeCell ref="A42:C42"/>
    <mergeCell ref="A43:C43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16" t="s">
        <v>192</v>
      </c>
      <c r="B8" s="1117"/>
      <c r="C8" s="1118"/>
      <c r="D8" s="844" t="e">
        <f>IF(A8&lt;&gt;0,VLOOKUP(A8,Materiales,2,FALSE),$J$1)</f>
        <v>#REF!</v>
      </c>
      <c r="E8" s="12">
        <v>4.12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/>
      <c r="E9" s="12"/>
      <c r="F9" s="58"/>
      <c r="G9" s="58"/>
      <c r="H9" s="7">
        <f t="shared" si="0"/>
        <v>0</v>
      </c>
      <c r="I9" s="69"/>
    </row>
    <row r="10" spans="1:10" x14ac:dyDescent="0.2">
      <c r="A10" s="1213"/>
      <c r="B10" s="1214"/>
      <c r="C10" s="1214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210"/>
      <c r="B12" s="1211"/>
      <c r="C12" s="1212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213"/>
      <c r="B13" s="1214"/>
      <c r="C13" s="1214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213"/>
      <c r="B14" s="1214"/>
      <c r="C14" s="1214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213"/>
      <c r="B15" s="1214"/>
      <c r="C15" s="1214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213"/>
      <c r="B16" s="1214"/>
      <c r="C16" s="1214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213"/>
      <c r="B17" s="1214"/>
      <c r="C17" s="1214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84"/>
      <c r="B18" s="1385"/>
      <c r="C18" s="1386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97"/>
      <c r="B19" s="1398"/>
      <c r="C19" s="1398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2">IF(A38&lt;&gt;0,VLOOKUP(A38,Transporte,2,FALSE),$J$1)</f>
        <v>0</v>
      </c>
      <c r="G38" s="12"/>
      <c r="H38" s="7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2"/>
        <v>0</v>
      </c>
      <c r="G39" s="12"/>
      <c r="H39" s="7">
        <f t="shared" si="3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2"/>
        <v>0</v>
      </c>
      <c r="G40" s="12"/>
      <c r="H40" s="7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2"/>
        <v>0</v>
      </c>
      <c r="G42" s="12"/>
      <c r="H42" s="7">
        <f t="shared" si="3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2"/>
        <v>0</v>
      </c>
      <c r="G43" s="12"/>
      <c r="H43" s="7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42.98</v>
      </c>
      <c r="G48" s="1083"/>
      <c r="H48" s="7">
        <f>IF(A48&lt;&gt;0,ROUND(D48/F48,2),$J$1)</f>
        <v>5556.49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5556.49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5556.49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2:I2"/>
    <mergeCell ref="A3:I3"/>
    <mergeCell ref="H1:I1"/>
    <mergeCell ref="A12:C12"/>
    <mergeCell ref="C5:I5"/>
    <mergeCell ref="A8:C8"/>
    <mergeCell ref="A9:C9"/>
    <mergeCell ref="A10:C10"/>
    <mergeCell ref="A11:C11"/>
    <mergeCell ref="A1:C1"/>
    <mergeCell ref="A14:C14"/>
    <mergeCell ref="A27:C27"/>
    <mergeCell ref="A15:C15"/>
    <mergeCell ref="A16:C16"/>
    <mergeCell ref="A19:C19"/>
    <mergeCell ref="A21:C21"/>
    <mergeCell ref="A18:C18"/>
    <mergeCell ref="A20:C20"/>
    <mergeCell ref="A17:C17"/>
    <mergeCell ref="A26:C26"/>
    <mergeCell ref="A13:C13"/>
    <mergeCell ref="A59:G59"/>
    <mergeCell ref="H59:I59"/>
    <mergeCell ref="A50:C50"/>
    <mergeCell ref="A51:C51"/>
    <mergeCell ref="D50:E50"/>
    <mergeCell ref="A54:I54"/>
    <mergeCell ref="A53:H53"/>
    <mergeCell ref="A57:G57"/>
    <mergeCell ref="A55:H55"/>
    <mergeCell ref="F52:G52"/>
    <mergeCell ref="F51:G51"/>
    <mergeCell ref="A58:C58"/>
    <mergeCell ref="D58:E58"/>
    <mergeCell ref="F58:I58"/>
    <mergeCell ref="A52:C52"/>
    <mergeCell ref="D51:E51"/>
    <mergeCell ref="A56:H56"/>
    <mergeCell ref="A28:C28"/>
    <mergeCell ref="A29:C29"/>
    <mergeCell ref="D48:E48"/>
    <mergeCell ref="A47:C47"/>
    <mergeCell ref="A48:C48"/>
    <mergeCell ref="D47:E47"/>
    <mergeCell ref="A46:I46"/>
    <mergeCell ref="D52:E52"/>
    <mergeCell ref="F49:G49"/>
    <mergeCell ref="A49:C49"/>
    <mergeCell ref="D49:E49"/>
    <mergeCell ref="A45:I45"/>
    <mergeCell ref="A30:C30"/>
    <mergeCell ref="A31:C31"/>
    <mergeCell ref="A32:C32"/>
    <mergeCell ref="F50:G50"/>
    <mergeCell ref="F47:G47"/>
    <mergeCell ref="F48:G48"/>
    <mergeCell ref="B37:C37"/>
    <mergeCell ref="B41:C41"/>
    <mergeCell ref="A38:C38"/>
    <mergeCell ref="A39:C39"/>
    <mergeCell ref="A40:C40"/>
    <mergeCell ref="A42:C42"/>
    <mergeCell ref="A43:C43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16" t="s">
        <v>191</v>
      </c>
      <c r="B8" s="1117"/>
      <c r="C8" s="1118"/>
      <c r="D8" s="844" t="e">
        <f>IF(A8&lt;&gt;0,VLOOKUP(A8,Materiales,2,FALSE),$J$1)</f>
        <v>#REF!</v>
      </c>
      <c r="E8" s="12">
        <v>4.12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324"/>
      <c r="B9" s="1325"/>
      <c r="C9" s="1325"/>
      <c r="D9" s="844">
        <f>IF(A9&lt;&gt;0,VLOOKUP(A9,Materiales,2,FALSE),$J$1)</f>
        <v>0</v>
      </c>
      <c r="E9" s="12"/>
      <c r="F9" s="58"/>
      <c r="G9" s="58"/>
      <c r="H9" s="7">
        <f t="shared" si="0"/>
        <v>0</v>
      </c>
      <c r="I9" s="69"/>
    </row>
    <row r="10" spans="1:10" x14ac:dyDescent="0.2">
      <c r="A10" s="1324"/>
      <c r="B10" s="1325"/>
      <c r="C10" s="1325"/>
      <c r="D10" s="844">
        <f>IF(A10&lt;&gt;0,VLOOKUP(A10,Materiales,2,FALSE),$J$1)</f>
        <v>0</v>
      </c>
      <c r="E10" s="12"/>
      <c r="F10" s="58"/>
      <c r="G10" s="58"/>
      <c r="H10" s="7">
        <f t="shared" si="0"/>
        <v>0</v>
      </c>
      <c r="I10" s="69"/>
    </row>
    <row r="11" spans="1:10" x14ac:dyDescent="0.2">
      <c r="A11" s="1324"/>
      <c r="B11" s="1325"/>
      <c r="C11" s="1325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213"/>
      <c r="B12" s="1214"/>
      <c r="C12" s="1214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213"/>
      <c r="B13" s="1214"/>
      <c r="C13" s="1214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213"/>
      <c r="B14" s="1214"/>
      <c r="C14" s="1214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213"/>
      <c r="B15" s="1214"/>
      <c r="C15" s="1214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213"/>
      <c r="B16" s="1214"/>
      <c r="C16" s="1214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213"/>
      <c r="B17" s="1214"/>
      <c r="C17" s="1214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84"/>
      <c r="B18" s="1385"/>
      <c r="C18" s="1386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97"/>
      <c r="B19" s="1398"/>
      <c r="C19" s="1398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2">IF(A38&lt;&gt;0,VLOOKUP(A38,Transporte,2,FALSE),$J$1)</f>
        <v>0</v>
      </c>
      <c r="G38" s="12"/>
      <c r="H38" s="7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2"/>
        <v>0</v>
      </c>
      <c r="G39" s="12"/>
      <c r="H39" s="7">
        <f t="shared" si="3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2"/>
        <v>0</v>
      </c>
      <c r="G40" s="12"/>
      <c r="H40" s="7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2"/>
        <v>0</v>
      </c>
      <c r="G42" s="12"/>
      <c r="H42" s="7">
        <f t="shared" si="3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2"/>
        <v>0</v>
      </c>
      <c r="G43" s="12"/>
      <c r="H43" s="7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38.200000000000003</v>
      </c>
      <c r="G48" s="1083"/>
      <c r="H48" s="7">
        <f>IF(A48&lt;&gt;0,ROUND(D48/F48,2),$J$1)</f>
        <v>6251.78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6251.78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6251.78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D48:E48"/>
    <mergeCell ref="A47:C47"/>
    <mergeCell ref="A48:C48"/>
    <mergeCell ref="D47:E47"/>
    <mergeCell ref="A30:C30"/>
    <mergeCell ref="A31:C31"/>
    <mergeCell ref="A32:C32"/>
    <mergeCell ref="A45:I45"/>
    <mergeCell ref="F47:G47"/>
    <mergeCell ref="F48:G48"/>
    <mergeCell ref="A46:I46"/>
    <mergeCell ref="B37:C37"/>
    <mergeCell ref="B41:C41"/>
    <mergeCell ref="A38:C38"/>
    <mergeCell ref="A39:C39"/>
    <mergeCell ref="A40:C40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F52:G52"/>
    <mergeCell ref="F51:G51"/>
    <mergeCell ref="D52:E52"/>
    <mergeCell ref="A57:G57"/>
    <mergeCell ref="A55:H55"/>
    <mergeCell ref="A58:C58"/>
    <mergeCell ref="D58:E58"/>
    <mergeCell ref="F58:I58"/>
    <mergeCell ref="A26:C26"/>
    <mergeCell ref="A27:C27"/>
    <mergeCell ref="A15:C15"/>
    <mergeCell ref="A16:C16"/>
    <mergeCell ref="A19:C19"/>
    <mergeCell ref="A21:C21"/>
    <mergeCell ref="A18:C18"/>
    <mergeCell ref="A20:C20"/>
    <mergeCell ref="A17:C17"/>
    <mergeCell ref="F49:G49"/>
    <mergeCell ref="A49:C49"/>
    <mergeCell ref="D49:E49"/>
    <mergeCell ref="A54:I54"/>
    <mergeCell ref="A53:H53"/>
    <mergeCell ref="A28:C28"/>
    <mergeCell ref="H1:I1"/>
    <mergeCell ref="A11:C11"/>
    <mergeCell ref="A14:C14"/>
    <mergeCell ref="A8:C8"/>
    <mergeCell ref="A9:C9"/>
    <mergeCell ref="A10:C10"/>
    <mergeCell ref="A12:C12"/>
    <mergeCell ref="A13:C13"/>
    <mergeCell ref="A1:C1"/>
    <mergeCell ref="A42:C42"/>
    <mergeCell ref="A43:C43"/>
    <mergeCell ref="A2:I2"/>
    <mergeCell ref="A3:I3"/>
    <mergeCell ref="A29:C29"/>
    <mergeCell ref="C5:I5"/>
  </mergeCells>
  <phoneticPr fontId="0" type="noConversion"/>
  <dataValidations count="5">
    <dataValidation type="list" allowBlank="1" showInputMessage="1" showErrorMessage="1" sqref="A12:A21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:A1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FF00"/>
    <pageSetUpPr fitToPage="1"/>
  </sheetPr>
  <dimension ref="A1:K62"/>
  <sheetViews>
    <sheetView view="pageBreakPreview" topLeftCell="A34" zoomScale="85" zoomScaleNormal="100" zoomScaleSheetLayoutView="85" workbookViewId="0">
      <selection activeCell="A37" sqref="A37:C37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20.25" thickTop="1" x14ac:dyDescent="0.2">
      <c r="A1" s="1131"/>
      <c r="B1" s="1220"/>
      <c r="C1" s="1220"/>
      <c r="D1" s="93"/>
      <c r="E1" s="93"/>
      <c r="F1" s="93"/>
      <c r="G1" s="93"/>
      <c r="H1" s="1129"/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35.2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47" t="s">
        <v>2297</v>
      </c>
      <c r="C5" s="1227" t="s">
        <v>2308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155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2305</v>
      </c>
      <c r="G7" s="254"/>
      <c r="H7" s="879" t="s">
        <v>2216</v>
      </c>
      <c r="I7" s="72"/>
    </row>
    <row r="8" spans="1:10" x14ac:dyDescent="0.2">
      <c r="A8" s="1215" t="s">
        <v>210</v>
      </c>
      <c r="B8" s="1216"/>
      <c r="C8" s="1217"/>
      <c r="D8" s="851" t="e">
        <f t="shared" ref="D8:D18" si="0">IF(A8&lt;&gt;0,VLOOKUP(A8,Materiales,2,FALSE),$J$1)</f>
        <v>#REF!</v>
      </c>
      <c r="E8" s="12">
        <v>320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158</v>
      </c>
      <c r="B9" s="1216"/>
      <c r="C9" s="1217"/>
      <c r="D9" s="851" t="e">
        <f t="shared" si="0"/>
        <v>#REF!</v>
      </c>
      <c r="E9" s="13">
        <v>0.72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 t="s">
        <v>401</v>
      </c>
      <c r="B10" s="1216"/>
      <c r="C10" s="1217"/>
      <c r="D10" s="851" t="e">
        <f t="shared" si="0"/>
        <v>#REF!</v>
      </c>
      <c r="E10" s="13">
        <v>0.72</v>
      </c>
      <c r="F10" s="21" t="e">
        <f>IF(A10&lt;&gt;0,VLOOKUP(A10,Materiales,6,FALSE),$J$1)</f>
        <v>#REF!</v>
      </c>
      <c r="G10" s="22"/>
      <c r="H10" s="8" t="e">
        <f t="shared" si="1"/>
        <v>#REF!</v>
      </c>
      <c r="I10" s="69"/>
    </row>
    <row r="11" spans="1:10" x14ac:dyDescent="0.2">
      <c r="A11" s="1215" t="s">
        <v>139</v>
      </c>
      <c r="B11" s="1216"/>
      <c r="C11" s="1217"/>
      <c r="D11" s="851" t="e">
        <f t="shared" si="0"/>
        <v>#REF!</v>
      </c>
      <c r="E11" s="12">
        <v>180</v>
      </c>
      <c r="F11" s="21" t="e">
        <f>IF(A11&lt;&gt;0,VLOOKUP(A11,Materiales,6,FALSE),$J$1)</f>
        <v>#REF!</v>
      </c>
      <c r="G11" s="22"/>
      <c r="H11" s="8" t="e">
        <f t="shared" si="1"/>
        <v>#REF!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5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>IF(A23&lt;&gt;0,ROUND((F23/D23)*G23,2),$J$1)</f>
        <v>742</v>
      </c>
      <c r="I23" s="69"/>
    </row>
    <row r="24" spans="1:9" x14ac:dyDescent="0.2">
      <c r="A24" s="871" t="s">
        <v>478</v>
      </c>
      <c r="B24" s="872"/>
      <c r="C24" s="873"/>
      <c r="D24" s="26">
        <v>2</v>
      </c>
      <c r="E24" s="28"/>
      <c r="F24" s="12">
        <f t="shared" si="3"/>
        <v>63600</v>
      </c>
      <c r="G24" s="14">
        <v>1</v>
      </c>
      <c r="H24" s="8">
        <f>IF(A24&lt;&gt;0,ROUND((F24/D24)*G24,2),$J$1)</f>
        <v>31800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>IF(A25&lt;&gt;0,ROUND((F25/D25)*G25,2),$J$1)</f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/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>IF(A27&lt;&gt;0,ROUND((F27/D27)*G27,2),$J$1)</f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>IF(A28&lt;&gt;0,ROUND((F28/D28)*G28,2),$J$1)</f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>IF(A29&lt;&gt;0,ROUND((F29/D29)*G29,2),$J$1)</f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32542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12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4">IF(A35&lt;&gt;0,VLOOKUP(A35,Transporte,2,FALSE),$J$1)</f>
        <v>-</v>
      </c>
      <c r="G35" s="12"/>
      <c r="H35" s="8" t="str">
        <f t="shared" ref="H35:H40" si="5">IF(A35&lt;&gt;0,D35/F35*G35,$J$1)</f>
        <v>-</v>
      </c>
      <c r="I35" s="69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4"/>
        <v>-</v>
      </c>
      <c r="G36" s="12"/>
      <c r="H36" s="8" t="str">
        <f t="shared" si="5"/>
        <v>-</v>
      </c>
      <c r="I36" s="69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4"/>
        <v>-</v>
      </c>
      <c r="G37" s="12"/>
      <c r="H37" s="8" t="str">
        <f t="shared" si="5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12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4"/>
        <v>-</v>
      </c>
      <c r="G39" s="12"/>
      <c r="H39" s="8" t="str">
        <f t="shared" si="5"/>
        <v>-</v>
      </c>
      <c r="I39" s="69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4"/>
        <v>-</v>
      </c>
      <c r="G40" s="12"/>
      <c r="H40" s="8" t="str">
        <f t="shared" si="5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55</v>
      </c>
      <c r="B45" s="1216"/>
      <c r="C45" s="1217"/>
      <c r="D45" s="1225">
        <f>IF(A45&lt;&gt;0,VLOOKUP(A45,Cuadrillas,7,FALSE),$J$1)</f>
        <v>447453.25</v>
      </c>
      <c r="E45" s="1226"/>
      <c r="F45" s="1221">
        <v>5</v>
      </c>
      <c r="G45" s="1222"/>
      <c r="H45" s="8">
        <f>IF(A45&lt;&gt;0,ROUND(D45/F45,2),$J$1)</f>
        <v>89490.65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89490.65</v>
      </c>
    </row>
    <row r="51" spans="1:11" x14ac:dyDescent="0.2">
      <c r="A51" s="1238"/>
      <c r="B51" s="1239"/>
      <c r="C51" s="1239"/>
      <c r="D51" s="1239"/>
      <c r="E51" s="1239"/>
      <c r="F51" s="1239"/>
      <c r="G51" s="1239"/>
      <c r="H51" s="1239"/>
      <c r="I51" s="1240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89490.65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4.25" thickTop="1" thickBot="1" x14ac:dyDescent="0.25"/>
    <row r="58" spans="1:11" ht="13.5" thickTop="1" x14ac:dyDescent="0.2">
      <c r="A58" s="983" t="str">
        <f>+'Datos entrada'!$B$5</f>
        <v>INGENIERO CIVIL HEBER EDUARDO YEPES VILLOTA</v>
      </c>
      <c r="B58" s="983"/>
      <c r="C58" s="983"/>
      <c r="D58" s="983"/>
      <c r="E58" s="983"/>
      <c r="F58" s="983"/>
      <c r="G58" s="983"/>
      <c r="H58" s="983"/>
      <c r="I58" s="983"/>
    </row>
    <row r="59" spans="1:11" x14ac:dyDescent="0.2">
      <c r="A59" s="984"/>
      <c r="B59" s="984"/>
      <c r="C59" s="984"/>
      <c r="D59" s="984"/>
      <c r="E59" s="984"/>
      <c r="F59" s="984"/>
      <c r="G59" s="984"/>
      <c r="H59" s="984"/>
      <c r="I59" s="984"/>
    </row>
    <row r="60" spans="1:11" x14ac:dyDescent="0.2">
      <c r="A60" s="984"/>
      <c r="B60" s="984"/>
      <c r="C60" s="984"/>
      <c r="D60" s="984"/>
      <c r="E60" s="984"/>
      <c r="F60" s="984"/>
      <c r="G60" s="984"/>
      <c r="H60" s="984"/>
      <c r="I60" s="984"/>
    </row>
    <row r="61" spans="1:11" x14ac:dyDescent="0.2">
      <c r="A61" s="984"/>
      <c r="B61" s="984"/>
      <c r="C61" s="984"/>
      <c r="D61" s="984"/>
      <c r="E61" s="984"/>
      <c r="F61" s="984"/>
      <c r="G61" s="984"/>
      <c r="H61" s="984"/>
      <c r="I61" s="984"/>
    </row>
    <row r="62" spans="1:11" x14ac:dyDescent="0.2">
      <c r="A62" s="1234"/>
      <c r="B62" s="1234"/>
      <c r="C62" s="1234"/>
      <c r="D62" s="1234"/>
    </row>
  </sheetData>
  <customSheetViews>
    <customSheetView guid="{93F324B6-F965-4669-93FF-DBB148734A46}" fitToPage="1">
      <selection activeCell="L4" sqref="L4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3">
    <mergeCell ref="H56:I56"/>
    <mergeCell ref="A58:I61"/>
    <mergeCell ref="A1:C1"/>
    <mergeCell ref="B34:C34"/>
    <mergeCell ref="B38:C38"/>
    <mergeCell ref="A41:H41"/>
    <mergeCell ref="A43:I43"/>
    <mergeCell ref="C5:I5"/>
    <mergeCell ref="A9:C9"/>
    <mergeCell ref="A10:C10"/>
    <mergeCell ref="A11:C11"/>
    <mergeCell ref="A8:C8"/>
    <mergeCell ref="H1:I1"/>
    <mergeCell ref="A4:E4"/>
    <mergeCell ref="A56:G56"/>
    <mergeCell ref="F46:G46"/>
    <mergeCell ref="A49:C49"/>
    <mergeCell ref="A55:C55"/>
    <mergeCell ref="D55:E55"/>
    <mergeCell ref="F55:I55"/>
    <mergeCell ref="A53:H53"/>
    <mergeCell ref="A48:C48"/>
    <mergeCell ref="A46:C46"/>
    <mergeCell ref="D46:E46"/>
    <mergeCell ref="A47:C47"/>
    <mergeCell ref="F47:G47"/>
    <mergeCell ref="D47:E47"/>
    <mergeCell ref="A62:D62"/>
    <mergeCell ref="D44:E44"/>
    <mergeCell ref="A42:I42"/>
    <mergeCell ref="F44:G44"/>
    <mergeCell ref="A44:C44"/>
    <mergeCell ref="A51:I51"/>
    <mergeCell ref="A50:H50"/>
    <mergeCell ref="F45:G45"/>
    <mergeCell ref="D45:E45"/>
    <mergeCell ref="A45:C45"/>
    <mergeCell ref="F49:G49"/>
    <mergeCell ref="D49:E49"/>
    <mergeCell ref="F48:G48"/>
    <mergeCell ref="D48:E48"/>
    <mergeCell ref="A54:G54"/>
    <mergeCell ref="A52:H52"/>
  </mergeCells>
  <phoneticPr fontId="0" type="noConversion"/>
  <dataValidations count="5">
    <dataValidation type="list" allowBlank="1" showInputMessage="1" showErrorMessage="1" sqref="A9:A18 B12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C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2" orientation="portrait" blackAndWhite="1" errors="blank" r:id="rId2"/>
  <headerFooter alignWithMargins="0">
    <oddFooter xml:space="preserve">&amp;C  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16" t="s">
        <v>189</v>
      </c>
      <c r="B8" s="1117"/>
      <c r="C8" s="1118"/>
      <c r="D8" s="844" t="e">
        <f>IF(A8&lt;&gt;0,VLOOKUP(A8,Materiales,2,FALSE),$J$1)</f>
        <v>#REF!</v>
      </c>
      <c r="E8" s="12">
        <v>4.12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/>
      <c r="E9" s="12"/>
      <c r="F9" s="58"/>
      <c r="G9" s="58"/>
      <c r="H9" s="7">
        <f t="shared" si="0"/>
        <v>0</v>
      </c>
      <c r="I9" s="69"/>
    </row>
    <row r="10" spans="1:10" x14ac:dyDescent="0.2">
      <c r="A10" s="1213"/>
      <c r="B10" s="1214"/>
      <c r="C10" s="1214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215"/>
      <c r="B12" s="1216"/>
      <c r="C12" s="1217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080"/>
      <c r="B18" s="1081"/>
      <c r="C18" s="1081"/>
      <c r="D18" s="844"/>
      <c r="E18" s="12"/>
      <c r="F18" s="58"/>
      <c r="G18" s="58"/>
      <c r="H18" s="7">
        <f t="shared" si="0"/>
        <v>0</v>
      </c>
      <c r="I18" s="69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2">IF(A38&lt;&gt;0,VLOOKUP(A38,Transporte,2,FALSE),$J$1)</f>
        <v>0</v>
      </c>
      <c r="G38" s="12"/>
      <c r="H38" s="7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2"/>
        <v>0</v>
      </c>
      <c r="G39" s="12"/>
      <c r="H39" s="7">
        <f t="shared" si="3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2"/>
        <v>0</v>
      </c>
      <c r="G40" s="12"/>
      <c r="H40" s="7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2"/>
        <v>0</v>
      </c>
      <c r="G42" s="12"/>
      <c r="H42" s="7">
        <f t="shared" si="3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2"/>
        <v>0</v>
      </c>
      <c r="G43" s="12"/>
      <c r="H43" s="7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34.39</v>
      </c>
      <c r="G48" s="1083"/>
      <c r="H48" s="7">
        <f>IF(A48&lt;&gt;0,ROUND(D48/F48,2),$J$1)</f>
        <v>6944.4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6944.4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6944.4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48:C48"/>
    <mergeCell ref="D47:E47"/>
    <mergeCell ref="A49:C49"/>
    <mergeCell ref="A1:C1"/>
    <mergeCell ref="B37:C37"/>
    <mergeCell ref="B41:C41"/>
    <mergeCell ref="A2:I2"/>
    <mergeCell ref="A3:I3"/>
    <mergeCell ref="H1:I1"/>
    <mergeCell ref="A12:C12"/>
    <mergeCell ref="A26:C26"/>
    <mergeCell ref="A16:C16"/>
    <mergeCell ref="A17:C17"/>
    <mergeCell ref="A19:C19"/>
    <mergeCell ref="A21:C21"/>
    <mergeCell ref="A14:C14"/>
    <mergeCell ref="A8:C8"/>
    <mergeCell ref="A9:C9"/>
    <mergeCell ref="A10:C10"/>
    <mergeCell ref="A46:I46"/>
    <mergeCell ref="A30:C30"/>
    <mergeCell ref="A31:C31"/>
    <mergeCell ref="A27:C27"/>
    <mergeCell ref="A11:C11"/>
    <mergeCell ref="A13:C13"/>
    <mergeCell ref="A15:C15"/>
    <mergeCell ref="A32:C32"/>
    <mergeCell ref="A28:C28"/>
    <mergeCell ref="A29:C29"/>
    <mergeCell ref="A20:C20"/>
    <mergeCell ref="A18:C18"/>
    <mergeCell ref="A53:H53"/>
    <mergeCell ref="D49:E49"/>
    <mergeCell ref="A38:C38"/>
    <mergeCell ref="A39:C39"/>
    <mergeCell ref="A40:C40"/>
    <mergeCell ref="A42:C42"/>
    <mergeCell ref="A43:C43"/>
    <mergeCell ref="A45:I45"/>
    <mergeCell ref="F47:G47"/>
    <mergeCell ref="F48:G48"/>
    <mergeCell ref="D52:E52"/>
    <mergeCell ref="F49:G49"/>
    <mergeCell ref="D48:E48"/>
    <mergeCell ref="A47:C47"/>
    <mergeCell ref="F52:G52"/>
    <mergeCell ref="F51:G51"/>
    <mergeCell ref="C5:I5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  <mergeCell ref="A55:H55"/>
    <mergeCell ref="A54:I54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16" t="s">
        <v>143</v>
      </c>
      <c r="B8" s="1117"/>
      <c r="C8" s="1118"/>
      <c r="D8" s="844" t="e">
        <f>IF(A8&lt;&gt;0,VLOOKUP(A8,Materiales,2,FALSE),$J$1)</f>
        <v>#REF!</v>
      </c>
      <c r="E8" s="12">
        <v>3.09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/>
      <c r="E9" s="12"/>
      <c r="F9" s="58"/>
      <c r="G9" s="58"/>
      <c r="H9" s="7">
        <f t="shared" si="0"/>
        <v>0</v>
      </c>
      <c r="I9" s="69"/>
    </row>
    <row r="10" spans="1:10" x14ac:dyDescent="0.2">
      <c r="A10" s="1213"/>
      <c r="B10" s="1214"/>
      <c r="C10" s="1214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215"/>
      <c r="B12" s="1216"/>
      <c r="C12" s="1217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68"/>
      <c r="B18" s="1379"/>
      <c r="C18" s="1380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2">IF(A38&lt;&gt;0,VLOOKUP(A38,Transporte,2,FALSE),$J$1)</f>
        <v>0</v>
      </c>
      <c r="G38" s="12"/>
      <c r="H38" s="7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2"/>
        <v>0</v>
      </c>
      <c r="G39" s="12"/>
      <c r="H39" s="7">
        <f t="shared" si="3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2"/>
        <v>0</v>
      </c>
      <c r="G40" s="12"/>
      <c r="H40" s="7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2"/>
        <v>0</v>
      </c>
      <c r="G42" s="12"/>
      <c r="H42" s="7">
        <f t="shared" si="3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2"/>
        <v>0</v>
      </c>
      <c r="G43" s="12"/>
      <c r="H43" s="7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57.31</v>
      </c>
      <c r="G48" s="1083"/>
      <c r="H48" s="7">
        <f>IF(A48&lt;&gt;0,ROUND(D48/F48,2),$J$1)</f>
        <v>4167.13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4167.13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4167.13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2:I2"/>
    <mergeCell ref="A3:I3"/>
    <mergeCell ref="H1:I1"/>
    <mergeCell ref="A12:C12"/>
    <mergeCell ref="C5:I5"/>
    <mergeCell ref="A8:C8"/>
    <mergeCell ref="A9:C9"/>
    <mergeCell ref="A10:C10"/>
    <mergeCell ref="A11:C11"/>
    <mergeCell ref="A1:C1"/>
    <mergeCell ref="A14:C14"/>
    <mergeCell ref="A27:C27"/>
    <mergeCell ref="A15:C15"/>
    <mergeCell ref="A16:C16"/>
    <mergeCell ref="A19:C19"/>
    <mergeCell ref="A21:C21"/>
    <mergeCell ref="A18:C18"/>
    <mergeCell ref="A20:C20"/>
    <mergeCell ref="A17:C17"/>
    <mergeCell ref="A26:C26"/>
    <mergeCell ref="A13:C13"/>
    <mergeCell ref="A59:G59"/>
    <mergeCell ref="H59:I59"/>
    <mergeCell ref="A50:C50"/>
    <mergeCell ref="A51:C51"/>
    <mergeCell ref="D50:E50"/>
    <mergeCell ref="A54:I54"/>
    <mergeCell ref="A53:H53"/>
    <mergeCell ref="A57:G57"/>
    <mergeCell ref="A55:H55"/>
    <mergeCell ref="F52:G52"/>
    <mergeCell ref="F51:G51"/>
    <mergeCell ref="A58:C58"/>
    <mergeCell ref="D58:E58"/>
    <mergeCell ref="F58:I58"/>
    <mergeCell ref="A52:C52"/>
    <mergeCell ref="D51:E51"/>
    <mergeCell ref="A56:H56"/>
    <mergeCell ref="A28:C28"/>
    <mergeCell ref="A29:C29"/>
    <mergeCell ref="D48:E48"/>
    <mergeCell ref="A47:C47"/>
    <mergeCell ref="A48:C48"/>
    <mergeCell ref="D47:E47"/>
    <mergeCell ref="A46:I46"/>
    <mergeCell ref="D52:E52"/>
    <mergeCell ref="F49:G49"/>
    <mergeCell ref="A49:C49"/>
    <mergeCell ref="D49:E49"/>
    <mergeCell ref="A45:I45"/>
    <mergeCell ref="A30:C30"/>
    <mergeCell ref="A31:C31"/>
    <mergeCell ref="A32:C32"/>
    <mergeCell ref="F50:G50"/>
    <mergeCell ref="F47:G47"/>
    <mergeCell ref="F48:G48"/>
    <mergeCell ref="B37:C37"/>
    <mergeCell ref="B41:C41"/>
    <mergeCell ref="A38:C38"/>
    <mergeCell ref="A39:C39"/>
    <mergeCell ref="A40:C40"/>
    <mergeCell ref="A42:C42"/>
    <mergeCell ref="A43:C43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16" t="s">
        <v>191</v>
      </c>
      <c r="B8" s="1117"/>
      <c r="C8" s="1118"/>
      <c r="D8" s="844" t="e">
        <f>IF(A8&lt;&gt;0,VLOOKUP(A8,Materiales,2,FALSE),$J$1)</f>
        <v>#REF!</v>
      </c>
      <c r="E8" s="12">
        <v>2.06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116" t="s">
        <v>143</v>
      </c>
      <c r="B9" s="1117"/>
      <c r="C9" s="1118"/>
      <c r="D9" s="844" t="e">
        <f>IF(A9&lt;&gt;0,VLOOKUP(A9,Materiales,2,FALSE),$J$1)</f>
        <v>#REF!</v>
      </c>
      <c r="E9" s="12">
        <v>1.03</v>
      </c>
      <c r="F9" s="58" t="e">
        <f>IF(A9&lt;&gt;0,VLOOKUP(A9,Materiales,6,FALSE),$J$1)</f>
        <v>#REF!</v>
      </c>
      <c r="G9" s="58"/>
      <c r="H9" s="7" t="e">
        <f t="shared" si="0"/>
        <v>#REF!</v>
      </c>
      <c r="I9" s="69"/>
    </row>
    <row r="10" spans="1:10" x14ac:dyDescent="0.2">
      <c r="A10" s="1213"/>
      <c r="B10" s="1214"/>
      <c r="C10" s="1214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213"/>
      <c r="B11" s="1214"/>
      <c r="C11" s="1214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215"/>
      <c r="B12" s="1216"/>
      <c r="C12" s="1217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368"/>
      <c r="B18" s="1379"/>
      <c r="C18" s="1380"/>
      <c r="D18" s="369"/>
      <c r="E18" s="370"/>
      <c r="F18" s="371"/>
      <c r="G18" s="371"/>
      <c r="H18" s="372">
        <f t="shared" si="0"/>
        <v>0</v>
      </c>
      <c r="I18" s="297"/>
    </row>
    <row r="19" spans="1:9" x14ac:dyDescent="0.2">
      <c r="A19" s="1370"/>
      <c r="B19" s="1371"/>
      <c r="C19" s="1371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368"/>
      <c r="B20" s="1352"/>
      <c r="C20" s="1353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285"/>
      <c r="B21" s="1286"/>
      <c r="C21" s="1286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452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 t="s">
        <v>44</v>
      </c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2">IF(A38&lt;&gt;0,VLOOKUP(A38,Transporte,2,FALSE),$J$1)</f>
        <v>0</v>
      </c>
      <c r="G38" s="12"/>
      <c r="H38" s="7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2"/>
        <v>0</v>
      </c>
      <c r="G39" s="12"/>
      <c r="H39" s="7">
        <f t="shared" si="3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2"/>
        <v>0</v>
      </c>
      <c r="G40" s="12"/>
      <c r="H40" s="7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2"/>
        <v>0</v>
      </c>
      <c r="G42" s="12"/>
      <c r="H42" s="7">
        <f t="shared" si="3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2"/>
        <v>0</v>
      </c>
      <c r="G43" s="12"/>
      <c r="H43" s="7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42.98</v>
      </c>
      <c r="G48" s="1083"/>
      <c r="H48" s="7">
        <f>IF(A48&lt;&gt;0,ROUND(D48/F48,2),$J$1)</f>
        <v>5556.49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5556.49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5556.49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2:I2"/>
    <mergeCell ref="A3:I3"/>
    <mergeCell ref="H1:I1"/>
    <mergeCell ref="A12:C12"/>
    <mergeCell ref="C5:I5"/>
    <mergeCell ref="A8:C8"/>
    <mergeCell ref="A9:C9"/>
    <mergeCell ref="A10:C10"/>
    <mergeCell ref="A11:C11"/>
    <mergeCell ref="A1:C1"/>
    <mergeCell ref="A14:C14"/>
    <mergeCell ref="A15:C15"/>
    <mergeCell ref="A27:C27"/>
    <mergeCell ref="A16:C16"/>
    <mergeCell ref="A19:C19"/>
    <mergeCell ref="A21:C21"/>
    <mergeCell ref="A18:C18"/>
    <mergeCell ref="A20:C20"/>
    <mergeCell ref="A17:C17"/>
    <mergeCell ref="A26:C26"/>
    <mergeCell ref="A13:C13"/>
    <mergeCell ref="A59:G59"/>
    <mergeCell ref="H59:I59"/>
    <mergeCell ref="A50:C50"/>
    <mergeCell ref="A51:C51"/>
    <mergeCell ref="D50:E50"/>
    <mergeCell ref="A54:I54"/>
    <mergeCell ref="A53:H53"/>
    <mergeCell ref="A57:G57"/>
    <mergeCell ref="A55:H55"/>
    <mergeCell ref="F52:G52"/>
    <mergeCell ref="F51:G51"/>
    <mergeCell ref="A58:C58"/>
    <mergeCell ref="D58:E58"/>
    <mergeCell ref="F58:I58"/>
    <mergeCell ref="A52:C52"/>
    <mergeCell ref="D51:E51"/>
    <mergeCell ref="A56:H56"/>
    <mergeCell ref="A28:C28"/>
    <mergeCell ref="A29:C29"/>
    <mergeCell ref="D48:E48"/>
    <mergeCell ref="A47:C47"/>
    <mergeCell ref="A48:C48"/>
    <mergeCell ref="D47:E47"/>
    <mergeCell ref="A46:I46"/>
    <mergeCell ref="D52:E52"/>
    <mergeCell ref="F49:G49"/>
    <mergeCell ref="A49:C49"/>
    <mergeCell ref="D49:E49"/>
    <mergeCell ref="A45:I45"/>
    <mergeCell ref="A30:C30"/>
    <mergeCell ref="A31:C31"/>
    <mergeCell ref="A32:C32"/>
    <mergeCell ref="F50:G50"/>
    <mergeCell ref="F47:G47"/>
    <mergeCell ref="F48:G48"/>
    <mergeCell ref="B37:C37"/>
    <mergeCell ref="B41:C41"/>
    <mergeCell ref="A38:C38"/>
    <mergeCell ref="A39:C39"/>
    <mergeCell ref="A40:C40"/>
    <mergeCell ref="A42:C42"/>
    <mergeCell ref="A43:C43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2">
    <tabColor rgb="FF3EDA00"/>
    <pageSetUpPr fitToPage="1"/>
  </sheetPr>
  <dimension ref="A1:K60"/>
  <sheetViews>
    <sheetView workbookViewId="0">
      <selection activeCell="L32" sqref="L32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16" t="s">
        <v>191</v>
      </c>
      <c r="B8" s="1117"/>
      <c r="C8" s="1118"/>
      <c r="D8" s="844" t="e">
        <f>IF(A8&lt;&gt;0,VLOOKUP(A8,Materiales,2,FALSE),$J$1)</f>
        <v>#REF!</v>
      </c>
      <c r="E8" s="12">
        <v>3.09</v>
      </c>
      <c r="F8" s="58" t="e">
        <f>IF(A8&lt;&gt;0,VLOOKUP(A8,Materiales,6,FALSE),$J$1)</f>
        <v>#REF!</v>
      </c>
      <c r="G8" s="58"/>
      <c r="H8" s="7" t="e">
        <f t="shared" ref="H8:H21" si="0">IF(A8&lt;&gt;0,ROUND(E8*F8,2),$J$1)</f>
        <v>#REF!</v>
      </c>
      <c r="I8" s="69"/>
    </row>
    <row r="9" spans="1:10" ht="12.75" customHeight="1" x14ac:dyDescent="0.2">
      <c r="A9" s="1116" t="s">
        <v>143</v>
      </c>
      <c r="B9" s="1117"/>
      <c r="C9" s="1118"/>
      <c r="D9" s="844" t="e">
        <f>IF(A9&lt;&gt;0,VLOOKUP(A9,Materiales,2,FALSE),$J$1)</f>
        <v>#REF!</v>
      </c>
      <c r="E9" s="12">
        <v>1.03</v>
      </c>
      <c r="F9" s="58" t="e">
        <f>IF(A9&lt;&gt;0,VLOOKUP(A9,Materiales,6,FALSE),$J$1)</f>
        <v>#REF!</v>
      </c>
      <c r="G9" s="58"/>
      <c r="H9" s="7" t="e">
        <f t="shared" si="0"/>
        <v>#REF!</v>
      </c>
      <c r="I9" s="69"/>
    </row>
    <row r="10" spans="1:10" x14ac:dyDescent="0.2">
      <c r="A10" s="1116"/>
      <c r="B10" s="1117"/>
      <c r="C10" s="1118"/>
      <c r="D10" s="844"/>
      <c r="E10" s="12"/>
      <c r="F10" s="58"/>
      <c r="G10" s="58"/>
      <c r="H10" s="7">
        <f t="shared" si="0"/>
        <v>0</v>
      </c>
      <c r="I10" s="69"/>
    </row>
    <row r="11" spans="1:10" x14ac:dyDescent="0.2">
      <c r="A11" s="1116"/>
      <c r="B11" s="1117"/>
      <c r="C11" s="1118"/>
      <c r="D11" s="844"/>
      <c r="E11" s="12"/>
      <c r="F11" s="58"/>
      <c r="G11" s="58"/>
      <c r="H11" s="7">
        <f t="shared" si="0"/>
        <v>0</v>
      </c>
      <c r="I11" s="69"/>
    </row>
    <row r="12" spans="1:10" x14ac:dyDescent="0.2">
      <c r="A12" s="1116"/>
      <c r="B12" s="1117"/>
      <c r="C12" s="1118"/>
      <c r="D12" s="844"/>
      <c r="E12" s="12"/>
      <c r="F12" s="58"/>
      <c r="G12" s="58"/>
      <c r="H12" s="7">
        <f t="shared" si="0"/>
        <v>0</v>
      </c>
      <c r="I12" s="69"/>
    </row>
    <row r="13" spans="1:10" x14ac:dyDescent="0.2">
      <c r="A13" s="1116"/>
      <c r="B13" s="1117"/>
      <c r="C13" s="1118"/>
      <c r="D13" s="844"/>
      <c r="E13" s="12"/>
      <c r="F13" s="58"/>
      <c r="G13" s="58"/>
      <c r="H13" s="7">
        <f t="shared" si="0"/>
        <v>0</v>
      </c>
      <c r="I13" s="69"/>
    </row>
    <row r="14" spans="1:10" x14ac:dyDescent="0.2">
      <c r="A14" s="1116"/>
      <c r="B14" s="1117"/>
      <c r="C14" s="1118"/>
      <c r="D14" s="844"/>
      <c r="E14" s="12"/>
      <c r="F14" s="58"/>
      <c r="G14" s="58"/>
      <c r="H14" s="7">
        <f t="shared" si="0"/>
        <v>0</v>
      </c>
      <c r="I14" s="69"/>
    </row>
    <row r="15" spans="1:10" x14ac:dyDescent="0.2">
      <c r="A15" s="1116"/>
      <c r="B15" s="1117"/>
      <c r="C15" s="1118"/>
      <c r="D15" s="844"/>
      <c r="E15" s="12"/>
      <c r="F15" s="58"/>
      <c r="G15" s="58"/>
      <c r="H15" s="7">
        <f t="shared" si="0"/>
        <v>0</v>
      </c>
      <c r="I15" s="69"/>
    </row>
    <row r="16" spans="1:10" x14ac:dyDescent="0.2">
      <c r="A16" s="1116"/>
      <c r="B16" s="1117"/>
      <c r="C16" s="1118"/>
      <c r="D16" s="844"/>
      <c r="E16" s="12"/>
      <c r="F16" s="58"/>
      <c r="G16" s="58"/>
      <c r="H16" s="7">
        <f t="shared" si="0"/>
        <v>0</v>
      </c>
      <c r="I16" s="69"/>
    </row>
    <row r="17" spans="1:9" x14ac:dyDescent="0.2">
      <c r="A17" s="1116"/>
      <c r="B17" s="1117"/>
      <c r="C17" s="1118"/>
      <c r="D17" s="844"/>
      <c r="E17" s="12"/>
      <c r="F17" s="58"/>
      <c r="G17" s="58"/>
      <c r="H17" s="7">
        <f t="shared" si="0"/>
        <v>0</v>
      </c>
      <c r="I17" s="69"/>
    </row>
    <row r="18" spans="1:9" x14ac:dyDescent="0.2">
      <c r="A18" s="1116"/>
      <c r="B18" s="1117"/>
      <c r="C18" s="1118"/>
      <c r="D18" s="844"/>
      <c r="E18" s="12"/>
      <c r="F18" s="58"/>
      <c r="G18" s="58"/>
      <c r="H18" s="7">
        <f t="shared" si="0"/>
        <v>0</v>
      </c>
      <c r="I18" s="69"/>
    </row>
    <row r="19" spans="1:9" x14ac:dyDescent="0.2">
      <c r="A19" s="1116"/>
      <c r="B19" s="1117"/>
      <c r="C19" s="1118"/>
      <c r="D19" s="369"/>
      <c r="E19" s="370"/>
      <c r="F19" s="371"/>
      <c r="G19" s="371"/>
      <c r="H19" s="372">
        <f t="shared" si="0"/>
        <v>0</v>
      </c>
      <c r="I19" s="297"/>
    </row>
    <row r="20" spans="1:9" x14ac:dyDescent="0.2">
      <c r="A20" s="1116"/>
      <c r="B20" s="1117"/>
      <c r="C20" s="1118"/>
      <c r="D20" s="351"/>
      <c r="E20" s="332"/>
      <c r="F20" s="352"/>
      <c r="G20" s="352"/>
      <c r="H20" s="334">
        <f t="shared" si="0"/>
        <v>0</v>
      </c>
      <c r="I20" s="325"/>
    </row>
    <row r="21" spans="1:9" x14ac:dyDescent="0.2">
      <c r="A21" s="1116"/>
      <c r="B21" s="1117"/>
      <c r="C21" s="1118"/>
      <c r="D21" s="326"/>
      <c r="E21" s="327"/>
      <c r="F21" s="328"/>
      <c r="G21" s="328"/>
      <c r="H21" s="329">
        <f t="shared" si="0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1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1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1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1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1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1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1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2">IF(A38&lt;&gt;0,VLOOKUP(A38,Transporte,2,FALSE),$J$1)</f>
        <v>0</v>
      </c>
      <c r="G38" s="12"/>
      <c r="H38" s="7">
        <f t="shared" ref="H38:H43" si="3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2"/>
        <v>0</v>
      </c>
      <c r="G39" s="12"/>
      <c r="H39" s="7">
        <f t="shared" si="3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2"/>
        <v>0</v>
      </c>
      <c r="G40" s="12"/>
      <c r="H40" s="7">
        <f t="shared" si="3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2"/>
        <v>0</v>
      </c>
      <c r="G42" s="12"/>
      <c r="H42" s="7">
        <f t="shared" si="3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2"/>
        <v>0</v>
      </c>
      <c r="G43" s="12"/>
      <c r="H43" s="7">
        <f t="shared" si="3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38.200000000000003</v>
      </c>
      <c r="G48" s="1083"/>
      <c r="H48" s="7">
        <f>IF(A48&lt;&gt;0,ROUND(D48/F48,2),$J$1)</f>
        <v>6251.78</v>
      </c>
      <c r="I48" s="69"/>
    </row>
    <row r="49" spans="1:11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11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11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11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11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6251.78</v>
      </c>
    </row>
    <row r="54" spans="1:11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11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  <c r="K55" s="1" t="s">
        <v>2235</v>
      </c>
    </row>
    <row r="56" spans="1:11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6251.78</v>
      </c>
    </row>
    <row r="57" spans="1:11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11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11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11" ht="13.5" thickTop="1" x14ac:dyDescent="0.2">
      <c r="I60" s="48"/>
    </row>
  </sheetData>
  <customSheetViews>
    <customSheetView guid="{93F324B6-F965-4669-93FF-DBB148734A46}" fitToPage="1" state="hidden">
      <selection activeCell="L32" sqref="L32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48:C48"/>
    <mergeCell ref="D47:E47"/>
    <mergeCell ref="A49:C49"/>
    <mergeCell ref="A1:C1"/>
    <mergeCell ref="B37:C37"/>
    <mergeCell ref="B41:C41"/>
    <mergeCell ref="A2:I2"/>
    <mergeCell ref="A3:I3"/>
    <mergeCell ref="H1:I1"/>
    <mergeCell ref="A12:C12"/>
    <mergeCell ref="A26:C26"/>
    <mergeCell ref="A16:C16"/>
    <mergeCell ref="A17:C17"/>
    <mergeCell ref="A19:C19"/>
    <mergeCell ref="A21:C21"/>
    <mergeCell ref="A14:C14"/>
    <mergeCell ref="A8:C8"/>
    <mergeCell ref="A9:C9"/>
    <mergeCell ref="A10:C10"/>
    <mergeCell ref="A46:I46"/>
    <mergeCell ref="A30:C30"/>
    <mergeCell ref="A31:C31"/>
    <mergeCell ref="A27:C27"/>
    <mergeCell ref="A11:C11"/>
    <mergeCell ref="A13:C13"/>
    <mergeCell ref="A15:C15"/>
    <mergeCell ref="A32:C32"/>
    <mergeCell ref="A28:C28"/>
    <mergeCell ref="A29:C29"/>
    <mergeCell ref="A20:C20"/>
    <mergeCell ref="A18:C18"/>
    <mergeCell ref="A53:H53"/>
    <mergeCell ref="D49:E49"/>
    <mergeCell ref="A38:C38"/>
    <mergeCell ref="A39:C39"/>
    <mergeCell ref="A40:C40"/>
    <mergeCell ref="A42:C42"/>
    <mergeCell ref="A43:C43"/>
    <mergeCell ref="A45:I45"/>
    <mergeCell ref="F47:G47"/>
    <mergeCell ref="F48:G48"/>
    <mergeCell ref="D52:E52"/>
    <mergeCell ref="F49:G49"/>
    <mergeCell ref="D48:E48"/>
    <mergeCell ref="A47:C47"/>
    <mergeCell ref="F52:G52"/>
    <mergeCell ref="F51:G51"/>
    <mergeCell ref="C5:I5"/>
    <mergeCell ref="A59:G59"/>
    <mergeCell ref="H59:I59"/>
    <mergeCell ref="A50:C50"/>
    <mergeCell ref="A51:C51"/>
    <mergeCell ref="D50:E50"/>
    <mergeCell ref="F50:G50"/>
    <mergeCell ref="A52:C52"/>
    <mergeCell ref="D51:E51"/>
    <mergeCell ref="D58:E58"/>
    <mergeCell ref="F58:I58"/>
    <mergeCell ref="A56:H56"/>
    <mergeCell ref="A58:C58"/>
    <mergeCell ref="A57:G57"/>
    <mergeCell ref="A55:H55"/>
    <mergeCell ref="A54:I54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16" t="s">
        <v>143</v>
      </c>
      <c r="B8" s="1117"/>
      <c r="C8" s="1118"/>
      <c r="D8" s="844" t="e">
        <f t="shared" ref="D8:D21" si="0">IF(A8&lt;&gt;0,VLOOKUP(A8,Materiales,2,FALSE),$J$1)</f>
        <v>#REF!</v>
      </c>
      <c r="E8" s="12">
        <v>5.15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116"/>
      <c r="B9" s="1117"/>
      <c r="C9" s="1118"/>
      <c r="D9" s="844">
        <f t="shared" si="0"/>
        <v>0</v>
      </c>
      <c r="E9" s="12"/>
      <c r="F9" s="58">
        <f t="shared" si="1"/>
        <v>0</v>
      </c>
      <c r="G9" s="58"/>
      <c r="H9" s="7">
        <f t="shared" si="2"/>
        <v>0</v>
      </c>
      <c r="I9" s="69"/>
    </row>
    <row r="10" spans="1:10" x14ac:dyDescent="0.2">
      <c r="A10" s="1116"/>
      <c r="B10" s="1117"/>
      <c r="C10" s="1118"/>
      <c r="D10" s="844">
        <f t="shared" si="0"/>
        <v>0</v>
      </c>
      <c r="E10" s="12"/>
      <c r="F10" s="58">
        <f t="shared" si="1"/>
        <v>0</v>
      </c>
      <c r="G10" s="58"/>
      <c r="H10" s="7">
        <f t="shared" si="2"/>
        <v>0</v>
      </c>
      <c r="I10" s="69"/>
    </row>
    <row r="11" spans="1:10" x14ac:dyDescent="0.2">
      <c r="A11" s="1116"/>
      <c r="B11" s="1117"/>
      <c r="C11" s="1118"/>
      <c r="D11" s="844">
        <f t="shared" si="0"/>
        <v>0</v>
      </c>
      <c r="E11" s="12"/>
      <c r="F11" s="58">
        <f t="shared" si="1"/>
        <v>0</v>
      </c>
      <c r="G11" s="58"/>
      <c r="H11" s="7">
        <f t="shared" si="2"/>
        <v>0</v>
      </c>
      <c r="I11" s="69"/>
    </row>
    <row r="12" spans="1:10" x14ac:dyDescent="0.2">
      <c r="A12" s="1116"/>
      <c r="B12" s="1117"/>
      <c r="C12" s="1118"/>
      <c r="D12" s="844">
        <f t="shared" si="0"/>
        <v>0</v>
      </c>
      <c r="E12" s="12"/>
      <c r="F12" s="58">
        <f t="shared" si="1"/>
        <v>0</v>
      </c>
      <c r="G12" s="58"/>
      <c r="H12" s="7">
        <f t="shared" si="2"/>
        <v>0</v>
      </c>
      <c r="I12" s="69"/>
    </row>
    <row r="13" spans="1:10" x14ac:dyDescent="0.2">
      <c r="A13" s="1116"/>
      <c r="B13" s="1117"/>
      <c r="C13" s="1118"/>
      <c r="D13" s="844">
        <f t="shared" si="0"/>
        <v>0</v>
      </c>
      <c r="E13" s="12"/>
      <c r="F13" s="58">
        <f t="shared" si="1"/>
        <v>0</v>
      </c>
      <c r="G13" s="58"/>
      <c r="H13" s="7">
        <f t="shared" si="2"/>
        <v>0</v>
      </c>
      <c r="I13" s="69"/>
    </row>
    <row r="14" spans="1:10" x14ac:dyDescent="0.2">
      <c r="A14" s="1116"/>
      <c r="B14" s="1117"/>
      <c r="C14" s="1118"/>
      <c r="D14" s="844">
        <f t="shared" si="0"/>
        <v>0</v>
      </c>
      <c r="E14" s="12"/>
      <c r="F14" s="58">
        <f t="shared" si="1"/>
        <v>0</v>
      </c>
      <c r="G14" s="58"/>
      <c r="H14" s="7">
        <f t="shared" si="2"/>
        <v>0</v>
      </c>
      <c r="I14" s="69"/>
    </row>
    <row r="15" spans="1:10" x14ac:dyDescent="0.2">
      <c r="A15" s="1116"/>
      <c r="B15" s="1117"/>
      <c r="C15" s="1118"/>
      <c r="D15" s="844">
        <f t="shared" si="0"/>
        <v>0</v>
      </c>
      <c r="E15" s="12"/>
      <c r="F15" s="58">
        <f t="shared" si="1"/>
        <v>0</v>
      </c>
      <c r="G15" s="58"/>
      <c r="H15" s="7">
        <f t="shared" si="2"/>
        <v>0</v>
      </c>
      <c r="I15" s="69"/>
    </row>
    <row r="16" spans="1:10" x14ac:dyDescent="0.2">
      <c r="A16" s="1116"/>
      <c r="B16" s="1117"/>
      <c r="C16" s="1118"/>
      <c r="D16" s="844">
        <f t="shared" si="0"/>
        <v>0</v>
      </c>
      <c r="E16" s="12"/>
      <c r="F16" s="58">
        <f t="shared" si="1"/>
        <v>0</v>
      </c>
      <c r="G16" s="58"/>
      <c r="H16" s="7">
        <f t="shared" si="2"/>
        <v>0</v>
      </c>
      <c r="I16" s="69"/>
    </row>
    <row r="17" spans="1:9" x14ac:dyDescent="0.2">
      <c r="A17" s="1116"/>
      <c r="B17" s="1117"/>
      <c r="C17" s="1118"/>
      <c r="D17" s="844">
        <f t="shared" si="0"/>
        <v>0</v>
      </c>
      <c r="E17" s="12"/>
      <c r="F17" s="58">
        <f t="shared" si="1"/>
        <v>0</v>
      </c>
      <c r="G17" s="58"/>
      <c r="H17" s="7">
        <f t="shared" si="2"/>
        <v>0</v>
      </c>
      <c r="I17" s="69"/>
    </row>
    <row r="18" spans="1:9" x14ac:dyDescent="0.2">
      <c r="A18" s="1116"/>
      <c r="B18" s="1117"/>
      <c r="C18" s="1118"/>
      <c r="D18" s="844">
        <f t="shared" si="0"/>
        <v>0</v>
      </c>
      <c r="E18" s="370"/>
      <c r="F18" s="58">
        <f t="shared" si="1"/>
        <v>0</v>
      </c>
      <c r="G18" s="371"/>
      <c r="H18" s="372">
        <f t="shared" si="2"/>
        <v>0</v>
      </c>
      <c r="I18" s="297"/>
    </row>
    <row r="19" spans="1:9" x14ac:dyDescent="0.2">
      <c r="A19" s="1116"/>
      <c r="B19" s="1117"/>
      <c r="C19" s="1118"/>
      <c r="D19" s="844">
        <f t="shared" si="0"/>
        <v>0</v>
      </c>
      <c r="E19" s="370"/>
      <c r="F19" s="58">
        <f t="shared" si="1"/>
        <v>0</v>
      </c>
      <c r="G19" s="371"/>
      <c r="H19" s="372">
        <f t="shared" si="2"/>
        <v>0</v>
      </c>
      <c r="I19" s="297"/>
    </row>
    <row r="20" spans="1:9" x14ac:dyDescent="0.2">
      <c r="A20" s="1116"/>
      <c r="B20" s="1117"/>
      <c r="C20" s="1118"/>
      <c r="D20" s="844">
        <f t="shared" si="0"/>
        <v>0</v>
      </c>
      <c r="E20" s="332"/>
      <c r="F20" s="58">
        <f t="shared" si="1"/>
        <v>0</v>
      </c>
      <c r="G20" s="352"/>
      <c r="H20" s="334">
        <f t="shared" si="2"/>
        <v>0</v>
      </c>
      <c r="I20" s="325"/>
    </row>
    <row r="21" spans="1:9" x14ac:dyDescent="0.2">
      <c r="A21" s="1116"/>
      <c r="B21" s="1117"/>
      <c r="C21" s="1118"/>
      <c r="D21" s="844">
        <f t="shared" si="0"/>
        <v>0</v>
      </c>
      <c r="E21" s="327"/>
      <c r="F21" s="58">
        <f t="shared" si="1"/>
        <v>0</v>
      </c>
      <c r="G21" s="328"/>
      <c r="H21" s="329">
        <f t="shared" si="2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3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3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3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3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3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3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3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4">IF(A38&lt;&gt;0,VLOOKUP(A38,Transporte,2,FALSE),$J$1)</f>
        <v>0</v>
      </c>
      <c r="G38" s="12"/>
      <c r="H38" s="7">
        <f t="shared" ref="H38:H43" si="5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4"/>
        <v>0</v>
      </c>
      <c r="G39" s="12"/>
      <c r="H39" s="7">
        <f t="shared" si="5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4"/>
        <v>0</v>
      </c>
      <c r="G40" s="12"/>
      <c r="H40" s="7">
        <f t="shared" si="5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4"/>
        <v>0</v>
      </c>
      <c r="G42" s="12"/>
      <c r="H42" s="7">
        <f t="shared" si="5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4"/>
        <v>0</v>
      </c>
      <c r="G43" s="12"/>
      <c r="H43" s="7">
        <f t="shared" si="5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38.200000000000003</v>
      </c>
      <c r="G48" s="1083"/>
      <c r="H48" s="7">
        <f>IF(A48&lt;&gt;0,ROUND(D48/F48,2),$J$1)</f>
        <v>6251.78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6251.78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6251.78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B37:C37"/>
    <mergeCell ref="B41:C41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A58:C58"/>
    <mergeCell ref="D58:E58"/>
    <mergeCell ref="F58:I58"/>
    <mergeCell ref="F52:G52"/>
    <mergeCell ref="A45:I45"/>
    <mergeCell ref="F47:G47"/>
    <mergeCell ref="F48:G48"/>
    <mergeCell ref="F51:G51"/>
    <mergeCell ref="A46:I46"/>
    <mergeCell ref="A47:C47"/>
    <mergeCell ref="D52:E52"/>
    <mergeCell ref="F49:G49"/>
    <mergeCell ref="A49:C49"/>
    <mergeCell ref="D49:E49"/>
    <mergeCell ref="D48:E48"/>
    <mergeCell ref="A13:C13"/>
    <mergeCell ref="A14:C14"/>
    <mergeCell ref="A54:I54"/>
    <mergeCell ref="A53:H53"/>
    <mergeCell ref="A57:G57"/>
    <mergeCell ref="A55:H55"/>
    <mergeCell ref="A28:C28"/>
    <mergeCell ref="A29:C29"/>
    <mergeCell ref="A48:C48"/>
    <mergeCell ref="D47:E47"/>
    <mergeCell ref="A30:C30"/>
    <mergeCell ref="A31:C31"/>
    <mergeCell ref="A32:C32"/>
    <mergeCell ref="A15:C15"/>
    <mergeCell ref="A26:C26"/>
    <mergeCell ref="A27:C27"/>
    <mergeCell ref="A16:C16"/>
    <mergeCell ref="A19:C19"/>
    <mergeCell ref="A21:C21"/>
    <mergeCell ref="A18:C18"/>
    <mergeCell ref="A20:C20"/>
    <mergeCell ref="A17:C17"/>
    <mergeCell ref="A2:I2"/>
    <mergeCell ref="A3:I3"/>
    <mergeCell ref="H1:I1"/>
    <mergeCell ref="A12:C12"/>
    <mergeCell ref="C5:I5"/>
    <mergeCell ref="A8:C8"/>
    <mergeCell ref="A9:C9"/>
    <mergeCell ref="A10:C10"/>
    <mergeCell ref="A11:C11"/>
    <mergeCell ref="A1:C1"/>
    <mergeCell ref="A38:C38"/>
    <mergeCell ref="A39:C39"/>
    <mergeCell ref="A40:C40"/>
    <mergeCell ref="A42:C42"/>
    <mergeCell ref="A43:C43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13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:A12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4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16" t="s">
        <v>192</v>
      </c>
      <c r="B8" s="1117"/>
      <c r="C8" s="1118"/>
      <c r="D8" s="844" t="e">
        <f t="shared" ref="D8:D21" si="0">IF(A8&lt;&gt;0,VLOOKUP(A8,Materiales,2,FALSE),$J$1)</f>
        <v>#REF!</v>
      </c>
      <c r="E8" s="12">
        <v>4.12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116" t="s">
        <v>143</v>
      </c>
      <c r="B9" s="1117"/>
      <c r="C9" s="1118"/>
      <c r="D9" s="844" t="e">
        <f t="shared" si="0"/>
        <v>#REF!</v>
      </c>
      <c r="E9" s="12">
        <v>1.03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213"/>
      <c r="B10" s="1214"/>
      <c r="C10" s="1214"/>
      <c r="D10" s="844">
        <f t="shared" si="0"/>
        <v>0</v>
      </c>
      <c r="E10" s="12"/>
      <c r="F10" s="58">
        <f t="shared" si="1"/>
        <v>0</v>
      </c>
      <c r="G10" s="58"/>
      <c r="H10" s="7">
        <f t="shared" si="2"/>
        <v>0</v>
      </c>
      <c r="I10" s="69"/>
    </row>
    <row r="11" spans="1:10" x14ac:dyDescent="0.2">
      <c r="A11" s="1213"/>
      <c r="B11" s="1214"/>
      <c r="C11" s="1214"/>
      <c r="D11" s="844">
        <f t="shared" si="0"/>
        <v>0</v>
      </c>
      <c r="E11" s="12"/>
      <c r="F11" s="58">
        <f t="shared" si="1"/>
        <v>0</v>
      </c>
      <c r="G11" s="58"/>
      <c r="H11" s="7">
        <f t="shared" si="2"/>
        <v>0</v>
      </c>
      <c r="I11" s="69"/>
    </row>
    <row r="12" spans="1:10" x14ac:dyDescent="0.2">
      <c r="A12" s="1210"/>
      <c r="B12" s="1211"/>
      <c r="C12" s="1212"/>
      <c r="D12" s="844">
        <f t="shared" si="0"/>
        <v>0</v>
      </c>
      <c r="E12" s="12"/>
      <c r="F12" s="58">
        <f t="shared" si="1"/>
        <v>0</v>
      </c>
      <c r="G12" s="58"/>
      <c r="H12" s="7">
        <f t="shared" si="2"/>
        <v>0</v>
      </c>
      <c r="I12" s="69"/>
    </row>
    <row r="13" spans="1:10" x14ac:dyDescent="0.2">
      <c r="A13" s="1213"/>
      <c r="B13" s="1214"/>
      <c r="C13" s="1214"/>
      <c r="D13" s="844">
        <f t="shared" si="0"/>
        <v>0</v>
      </c>
      <c r="E13" s="12"/>
      <c r="F13" s="58">
        <f t="shared" si="1"/>
        <v>0</v>
      </c>
      <c r="G13" s="58"/>
      <c r="H13" s="7">
        <f t="shared" si="2"/>
        <v>0</v>
      </c>
      <c r="I13" s="69"/>
    </row>
    <row r="14" spans="1:10" x14ac:dyDescent="0.2">
      <c r="A14" s="1213"/>
      <c r="B14" s="1214"/>
      <c r="C14" s="1214"/>
      <c r="D14" s="844">
        <f t="shared" si="0"/>
        <v>0</v>
      </c>
      <c r="E14" s="12"/>
      <c r="F14" s="58">
        <f t="shared" si="1"/>
        <v>0</v>
      </c>
      <c r="G14" s="58"/>
      <c r="H14" s="7">
        <f t="shared" si="2"/>
        <v>0</v>
      </c>
      <c r="I14" s="69"/>
    </row>
    <row r="15" spans="1:10" x14ac:dyDescent="0.2">
      <c r="A15" s="1213"/>
      <c r="B15" s="1214"/>
      <c r="C15" s="1214"/>
      <c r="D15" s="844">
        <f t="shared" si="0"/>
        <v>0</v>
      </c>
      <c r="E15" s="12"/>
      <c r="F15" s="58">
        <f t="shared" si="1"/>
        <v>0</v>
      </c>
      <c r="G15" s="58"/>
      <c r="H15" s="7">
        <f t="shared" si="2"/>
        <v>0</v>
      </c>
      <c r="I15" s="69"/>
    </row>
    <row r="16" spans="1:10" x14ac:dyDescent="0.2">
      <c r="A16" s="1213"/>
      <c r="B16" s="1214"/>
      <c r="C16" s="1214"/>
      <c r="D16" s="844">
        <f t="shared" si="0"/>
        <v>0</v>
      </c>
      <c r="E16" s="12"/>
      <c r="F16" s="58">
        <f t="shared" si="1"/>
        <v>0</v>
      </c>
      <c r="G16" s="58"/>
      <c r="H16" s="7">
        <f t="shared" si="2"/>
        <v>0</v>
      </c>
      <c r="I16" s="69"/>
    </row>
    <row r="17" spans="1:9" x14ac:dyDescent="0.2">
      <c r="A17" s="1213"/>
      <c r="B17" s="1214"/>
      <c r="C17" s="1214"/>
      <c r="D17" s="844">
        <f t="shared" si="0"/>
        <v>0</v>
      </c>
      <c r="E17" s="12"/>
      <c r="F17" s="58">
        <f t="shared" si="1"/>
        <v>0</v>
      </c>
      <c r="G17" s="58"/>
      <c r="H17" s="7">
        <f t="shared" si="2"/>
        <v>0</v>
      </c>
      <c r="I17" s="69"/>
    </row>
    <row r="18" spans="1:9" x14ac:dyDescent="0.2">
      <c r="A18" s="1384"/>
      <c r="B18" s="1385"/>
      <c r="C18" s="1386"/>
      <c r="D18" s="844">
        <f t="shared" si="0"/>
        <v>0</v>
      </c>
      <c r="E18" s="370"/>
      <c r="F18" s="58">
        <f t="shared" si="1"/>
        <v>0</v>
      </c>
      <c r="G18" s="371"/>
      <c r="H18" s="372">
        <f t="shared" si="2"/>
        <v>0</v>
      </c>
      <c r="I18" s="297"/>
    </row>
    <row r="19" spans="1:9" x14ac:dyDescent="0.2">
      <c r="A19" s="1397"/>
      <c r="B19" s="1398"/>
      <c r="C19" s="1398"/>
      <c r="D19" s="844">
        <f t="shared" si="0"/>
        <v>0</v>
      </c>
      <c r="E19" s="370"/>
      <c r="F19" s="58">
        <f t="shared" si="1"/>
        <v>0</v>
      </c>
      <c r="G19" s="371"/>
      <c r="H19" s="372">
        <f t="shared" si="2"/>
        <v>0</v>
      </c>
      <c r="I19" s="297"/>
    </row>
    <row r="20" spans="1:9" x14ac:dyDescent="0.2">
      <c r="A20" s="1368"/>
      <c r="B20" s="1352"/>
      <c r="C20" s="1353"/>
      <c r="D20" s="844">
        <f t="shared" si="0"/>
        <v>0</v>
      </c>
      <c r="E20" s="332"/>
      <c r="F20" s="58">
        <f t="shared" si="1"/>
        <v>0</v>
      </c>
      <c r="G20" s="352"/>
      <c r="H20" s="334">
        <f t="shared" si="2"/>
        <v>0</v>
      </c>
      <c r="I20" s="325"/>
    </row>
    <row r="21" spans="1:9" x14ac:dyDescent="0.2">
      <c r="A21" s="1285"/>
      <c r="B21" s="1286"/>
      <c r="C21" s="1286"/>
      <c r="D21" s="844">
        <f t="shared" si="0"/>
        <v>0</v>
      </c>
      <c r="E21" s="327"/>
      <c r="F21" s="58">
        <f t="shared" si="1"/>
        <v>0</v>
      </c>
      <c r="G21" s="328"/>
      <c r="H21" s="329">
        <f t="shared" si="2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3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3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3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3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3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3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3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4">IF(A38&lt;&gt;0,VLOOKUP(A38,Transporte,2,FALSE),$J$1)</f>
        <v>0</v>
      </c>
      <c r="G38" s="12"/>
      <c r="H38" s="7">
        <f t="shared" ref="H38:H43" si="5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4"/>
        <v>0</v>
      </c>
      <c r="G39" s="12"/>
      <c r="H39" s="7">
        <f t="shared" si="5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4"/>
        <v>0</v>
      </c>
      <c r="G40" s="12"/>
      <c r="H40" s="7">
        <f t="shared" si="5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4"/>
        <v>0</v>
      </c>
      <c r="G42" s="12"/>
      <c r="H42" s="7">
        <f t="shared" si="5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4"/>
        <v>0</v>
      </c>
      <c r="G43" s="12"/>
      <c r="H43" s="7">
        <f t="shared" si="5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34.39</v>
      </c>
      <c r="G48" s="1083"/>
      <c r="H48" s="7">
        <f>IF(A48&lt;&gt;0,ROUND(D48/F48,2),$J$1)</f>
        <v>6944.4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6944.4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6944.4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2:I2"/>
    <mergeCell ref="A3:I3"/>
    <mergeCell ref="H1:I1"/>
    <mergeCell ref="A12:C12"/>
    <mergeCell ref="C5:I5"/>
    <mergeCell ref="A8:C8"/>
    <mergeCell ref="A9:C9"/>
    <mergeCell ref="A10:C10"/>
    <mergeCell ref="A11:C11"/>
    <mergeCell ref="A1:C1"/>
    <mergeCell ref="A14:C14"/>
    <mergeCell ref="A27:C27"/>
    <mergeCell ref="A15:C15"/>
    <mergeCell ref="A16:C16"/>
    <mergeCell ref="A19:C19"/>
    <mergeCell ref="A21:C21"/>
    <mergeCell ref="A18:C18"/>
    <mergeCell ref="A20:C20"/>
    <mergeCell ref="A17:C17"/>
    <mergeCell ref="A26:C26"/>
    <mergeCell ref="A13:C13"/>
    <mergeCell ref="A59:G59"/>
    <mergeCell ref="H59:I59"/>
    <mergeCell ref="A50:C50"/>
    <mergeCell ref="A51:C51"/>
    <mergeCell ref="D50:E50"/>
    <mergeCell ref="A54:I54"/>
    <mergeCell ref="A53:H53"/>
    <mergeCell ref="A57:G57"/>
    <mergeCell ref="A55:H55"/>
    <mergeCell ref="F52:G52"/>
    <mergeCell ref="F51:G51"/>
    <mergeCell ref="A58:C58"/>
    <mergeCell ref="D58:E58"/>
    <mergeCell ref="F58:I58"/>
    <mergeCell ref="A52:C52"/>
    <mergeCell ref="D51:E51"/>
    <mergeCell ref="A56:H56"/>
    <mergeCell ref="A28:C28"/>
    <mergeCell ref="A29:C29"/>
    <mergeCell ref="D48:E48"/>
    <mergeCell ref="A47:C47"/>
    <mergeCell ref="A48:C48"/>
    <mergeCell ref="D47:E47"/>
    <mergeCell ref="A46:I46"/>
    <mergeCell ref="D52:E52"/>
    <mergeCell ref="F49:G49"/>
    <mergeCell ref="A49:C49"/>
    <mergeCell ref="D49:E49"/>
    <mergeCell ref="A45:I45"/>
    <mergeCell ref="A30:C30"/>
    <mergeCell ref="A31:C31"/>
    <mergeCell ref="A32:C32"/>
    <mergeCell ref="F50:G50"/>
    <mergeCell ref="F47:G47"/>
    <mergeCell ref="F48:G48"/>
    <mergeCell ref="B37:C37"/>
    <mergeCell ref="B41:C41"/>
    <mergeCell ref="A38:C38"/>
    <mergeCell ref="A39:C39"/>
    <mergeCell ref="A40:C40"/>
    <mergeCell ref="A42:C42"/>
    <mergeCell ref="A43:C43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5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16" t="s">
        <v>191</v>
      </c>
      <c r="B8" s="1117"/>
      <c r="C8" s="1118"/>
      <c r="D8" s="844" t="e">
        <f t="shared" ref="D8:D21" si="0">IF(A8&lt;&gt;0,VLOOKUP(A8,Materiales,2,FALSE),$J$1)</f>
        <v>#REF!</v>
      </c>
      <c r="E8" s="12">
        <v>4.12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116" t="s">
        <v>143</v>
      </c>
      <c r="B9" s="1117"/>
      <c r="C9" s="1118"/>
      <c r="D9" s="844" t="e">
        <f t="shared" si="0"/>
        <v>#REF!</v>
      </c>
      <c r="E9" s="12">
        <v>1.03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213"/>
      <c r="B10" s="1214"/>
      <c r="C10" s="1214"/>
      <c r="D10" s="844">
        <f t="shared" si="0"/>
        <v>0</v>
      </c>
      <c r="E10" s="12"/>
      <c r="F10" s="58">
        <f t="shared" si="1"/>
        <v>0</v>
      </c>
      <c r="G10" s="58"/>
      <c r="H10" s="7">
        <f t="shared" si="2"/>
        <v>0</v>
      </c>
      <c r="I10" s="69"/>
    </row>
    <row r="11" spans="1:10" x14ac:dyDescent="0.2">
      <c r="A11" s="1213"/>
      <c r="B11" s="1214"/>
      <c r="C11" s="1214"/>
      <c r="D11" s="844">
        <f t="shared" si="0"/>
        <v>0</v>
      </c>
      <c r="E11" s="12"/>
      <c r="F11" s="58">
        <f t="shared" si="1"/>
        <v>0</v>
      </c>
      <c r="G11" s="58"/>
      <c r="H11" s="7">
        <f t="shared" si="2"/>
        <v>0</v>
      </c>
      <c r="I11" s="69"/>
    </row>
    <row r="12" spans="1:10" x14ac:dyDescent="0.2">
      <c r="A12" s="1210"/>
      <c r="B12" s="1211"/>
      <c r="C12" s="1212"/>
      <c r="D12" s="844">
        <f t="shared" si="0"/>
        <v>0</v>
      </c>
      <c r="E12" s="12"/>
      <c r="F12" s="58">
        <f t="shared" si="1"/>
        <v>0</v>
      </c>
      <c r="G12" s="58"/>
      <c r="H12" s="7">
        <f t="shared" si="2"/>
        <v>0</v>
      </c>
      <c r="I12" s="69"/>
    </row>
    <row r="13" spans="1:10" x14ac:dyDescent="0.2">
      <c r="A13" s="1213"/>
      <c r="B13" s="1214"/>
      <c r="C13" s="1214"/>
      <c r="D13" s="844">
        <f t="shared" si="0"/>
        <v>0</v>
      </c>
      <c r="E13" s="12"/>
      <c r="F13" s="58">
        <f t="shared" si="1"/>
        <v>0</v>
      </c>
      <c r="G13" s="58"/>
      <c r="H13" s="7">
        <f t="shared" si="2"/>
        <v>0</v>
      </c>
      <c r="I13" s="69"/>
    </row>
    <row r="14" spans="1:10" x14ac:dyDescent="0.2">
      <c r="A14" s="1213"/>
      <c r="B14" s="1214"/>
      <c r="C14" s="1214"/>
      <c r="D14" s="844">
        <f t="shared" si="0"/>
        <v>0</v>
      </c>
      <c r="E14" s="12"/>
      <c r="F14" s="58">
        <f t="shared" si="1"/>
        <v>0</v>
      </c>
      <c r="G14" s="58"/>
      <c r="H14" s="7">
        <f t="shared" si="2"/>
        <v>0</v>
      </c>
      <c r="I14" s="69"/>
    </row>
    <row r="15" spans="1:10" x14ac:dyDescent="0.2">
      <c r="A15" s="1213"/>
      <c r="B15" s="1214"/>
      <c r="C15" s="1214"/>
      <c r="D15" s="844">
        <f t="shared" si="0"/>
        <v>0</v>
      </c>
      <c r="E15" s="12"/>
      <c r="F15" s="58">
        <f t="shared" si="1"/>
        <v>0</v>
      </c>
      <c r="G15" s="58"/>
      <c r="H15" s="7">
        <f t="shared" si="2"/>
        <v>0</v>
      </c>
      <c r="I15" s="69"/>
    </row>
    <row r="16" spans="1:10" x14ac:dyDescent="0.2">
      <c r="A16" s="1213"/>
      <c r="B16" s="1214"/>
      <c r="C16" s="1214"/>
      <c r="D16" s="844">
        <f t="shared" si="0"/>
        <v>0</v>
      </c>
      <c r="E16" s="12"/>
      <c r="F16" s="58">
        <f t="shared" si="1"/>
        <v>0</v>
      </c>
      <c r="G16" s="58"/>
      <c r="H16" s="7">
        <f t="shared" si="2"/>
        <v>0</v>
      </c>
      <c r="I16" s="69"/>
    </row>
    <row r="17" spans="1:9" x14ac:dyDescent="0.2">
      <c r="A17" s="1213"/>
      <c r="B17" s="1214"/>
      <c r="C17" s="1214"/>
      <c r="D17" s="844">
        <f t="shared" si="0"/>
        <v>0</v>
      </c>
      <c r="E17" s="12"/>
      <c r="F17" s="58">
        <f t="shared" si="1"/>
        <v>0</v>
      </c>
      <c r="G17" s="58"/>
      <c r="H17" s="7">
        <f t="shared" si="2"/>
        <v>0</v>
      </c>
      <c r="I17" s="69"/>
    </row>
    <row r="18" spans="1:9" x14ac:dyDescent="0.2">
      <c r="A18" s="1384"/>
      <c r="B18" s="1385"/>
      <c r="C18" s="1386"/>
      <c r="D18" s="844">
        <f t="shared" si="0"/>
        <v>0</v>
      </c>
      <c r="E18" s="370"/>
      <c r="F18" s="58">
        <f t="shared" si="1"/>
        <v>0</v>
      </c>
      <c r="G18" s="371"/>
      <c r="H18" s="372">
        <f t="shared" si="2"/>
        <v>0</v>
      </c>
      <c r="I18" s="297"/>
    </row>
    <row r="19" spans="1:9" x14ac:dyDescent="0.2">
      <c r="A19" s="1397"/>
      <c r="B19" s="1398"/>
      <c r="C19" s="1398"/>
      <c r="D19" s="844">
        <f t="shared" si="0"/>
        <v>0</v>
      </c>
      <c r="E19" s="370"/>
      <c r="F19" s="58">
        <f t="shared" si="1"/>
        <v>0</v>
      </c>
      <c r="G19" s="371"/>
      <c r="H19" s="372">
        <f t="shared" si="2"/>
        <v>0</v>
      </c>
      <c r="I19" s="297"/>
    </row>
    <row r="20" spans="1:9" x14ac:dyDescent="0.2">
      <c r="A20" s="1368"/>
      <c r="B20" s="1352"/>
      <c r="C20" s="1353"/>
      <c r="D20" s="844">
        <f t="shared" si="0"/>
        <v>0</v>
      </c>
      <c r="E20" s="332"/>
      <c r="F20" s="58">
        <f t="shared" si="1"/>
        <v>0</v>
      </c>
      <c r="G20" s="352"/>
      <c r="H20" s="334">
        <f t="shared" si="2"/>
        <v>0</v>
      </c>
      <c r="I20" s="325"/>
    </row>
    <row r="21" spans="1:9" x14ac:dyDescent="0.2">
      <c r="A21" s="1285"/>
      <c r="B21" s="1286"/>
      <c r="C21" s="1286"/>
      <c r="D21" s="844">
        <f t="shared" si="0"/>
        <v>0</v>
      </c>
      <c r="E21" s="327"/>
      <c r="F21" s="58">
        <f t="shared" si="1"/>
        <v>0</v>
      </c>
      <c r="G21" s="328"/>
      <c r="H21" s="329">
        <f t="shared" si="2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3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3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3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3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3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3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3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4">IF(A38&lt;&gt;0,VLOOKUP(A38,Transporte,2,FALSE),$J$1)</f>
        <v>0</v>
      </c>
      <c r="G38" s="12"/>
      <c r="H38" s="7">
        <f t="shared" ref="H38:H43" si="5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4"/>
        <v>0</v>
      </c>
      <c r="G39" s="12"/>
      <c r="H39" s="7">
        <f t="shared" si="5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4"/>
        <v>0</v>
      </c>
      <c r="G40" s="12"/>
      <c r="H40" s="7">
        <f t="shared" si="5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4"/>
        <v>0</v>
      </c>
      <c r="G42" s="12"/>
      <c r="H42" s="7">
        <f t="shared" si="5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4"/>
        <v>0</v>
      </c>
      <c r="G43" s="12"/>
      <c r="H43" s="7">
        <f t="shared" si="5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31.26</v>
      </c>
      <c r="G48" s="1083"/>
      <c r="H48" s="7">
        <f>IF(A48&lt;&gt;0,ROUND(D48/F48,2),$J$1)</f>
        <v>7639.73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7639.73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7639.73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4">
    <mergeCell ref="B37:C37"/>
    <mergeCell ref="B41:C41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A58:C58"/>
    <mergeCell ref="D58:E58"/>
    <mergeCell ref="F58:I58"/>
    <mergeCell ref="F52:G52"/>
    <mergeCell ref="A45:I45"/>
    <mergeCell ref="F47:G47"/>
    <mergeCell ref="F48:G48"/>
    <mergeCell ref="F51:G51"/>
    <mergeCell ref="A46:I46"/>
    <mergeCell ref="A47:C47"/>
    <mergeCell ref="D52:E52"/>
    <mergeCell ref="F49:G49"/>
    <mergeCell ref="A49:C49"/>
    <mergeCell ref="D49:E49"/>
    <mergeCell ref="D48:E48"/>
    <mergeCell ref="A13:C13"/>
    <mergeCell ref="A14:C14"/>
    <mergeCell ref="A54:I54"/>
    <mergeCell ref="A53:H53"/>
    <mergeCell ref="A57:G57"/>
    <mergeCell ref="A55:H55"/>
    <mergeCell ref="A28:C28"/>
    <mergeCell ref="A29:C29"/>
    <mergeCell ref="A48:C48"/>
    <mergeCell ref="D47:E47"/>
    <mergeCell ref="A30:C30"/>
    <mergeCell ref="A31:C31"/>
    <mergeCell ref="A32:C32"/>
    <mergeCell ref="A15:C15"/>
    <mergeCell ref="A26:C26"/>
    <mergeCell ref="A27:C27"/>
    <mergeCell ref="A16:C16"/>
    <mergeCell ref="A19:C19"/>
    <mergeCell ref="A21:C21"/>
    <mergeCell ref="A18:C18"/>
    <mergeCell ref="A20:C20"/>
    <mergeCell ref="A17:C17"/>
    <mergeCell ref="A2:I2"/>
    <mergeCell ref="A3:I3"/>
    <mergeCell ref="H1:I1"/>
    <mergeCell ref="A12:C12"/>
    <mergeCell ref="C5:I5"/>
    <mergeCell ref="A8:C8"/>
    <mergeCell ref="A9:C9"/>
    <mergeCell ref="A10:C10"/>
    <mergeCell ref="A11:C11"/>
    <mergeCell ref="A1:C1"/>
    <mergeCell ref="A4:E4"/>
    <mergeCell ref="A38:C38"/>
    <mergeCell ref="A39:C39"/>
    <mergeCell ref="A40:C40"/>
    <mergeCell ref="A42:C42"/>
    <mergeCell ref="A43:C43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7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116" t="s">
        <v>190</v>
      </c>
      <c r="B8" s="1117"/>
      <c r="C8" s="1118"/>
      <c r="D8" s="844" t="e">
        <f t="shared" ref="D8:D21" si="0">IF(A8&lt;&gt;0,VLOOKUP(A8,Materiales,2,FALSE),$J$1)</f>
        <v>#REF!</v>
      </c>
      <c r="E8" s="12">
        <v>4.12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116" t="s">
        <v>192</v>
      </c>
      <c r="B9" s="1117"/>
      <c r="C9" s="1118"/>
      <c r="D9" s="844" t="e">
        <f t="shared" si="0"/>
        <v>#REF!</v>
      </c>
      <c r="E9" s="12">
        <v>1.03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16"/>
      <c r="B10" s="1117"/>
      <c r="C10" s="1118"/>
      <c r="D10" s="844">
        <f t="shared" si="0"/>
        <v>0</v>
      </c>
      <c r="E10" s="12"/>
      <c r="F10" s="58">
        <f t="shared" si="1"/>
        <v>0</v>
      </c>
      <c r="G10" s="58"/>
      <c r="H10" s="7">
        <f t="shared" si="2"/>
        <v>0</v>
      </c>
      <c r="I10" s="69"/>
    </row>
    <row r="11" spans="1:10" x14ac:dyDescent="0.2">
      <c r="A11" s="1116"/>
      <c r="B11" s="1117"/>
      <c r="C11" s="1118"/>
      <c r="D11" s="844">
        <f t="shared" si="0"/>
        <v>0</v>
      </c>
      <c r="E11" s="12"/>
      <c r="F11" s="58">
        <f t="shared" si="1"/>
        <v>0</v>
      </c>
      <c r="G11" s="58"/>
      <c r="H11" s="7">
        <f t="shared" si="2"/>
        <v>0</v>
      </c>
      <c r="I11" s="69"/>
    </row>
    <row r="12" spans="1:10" x14ac:dyDescent="0.2">
      <c r="A12" s="1116"/>
      <c r="B12" s="1117"/>
      <c r="C12" s="1118"/>
      <c r="D12" s="844">
        <f t="shared" si="0"/>
        <v>0</v>
      </c>
      <c r="E12" s="12"/>
      <c r="F12" s="58">
        <f t="shared" si="1"/>
        <v>0</v>
      </c>
      <c r="G12" s="58"/>
      <c r="H12" s="7">
        <f t="shared" si="2"/>
        <v>0</v>
      </c>
      <c r="I12" s="69"/>
    </row>
    <row r="13" spans="1:10" x14ac:dyDescent="0.2">
      <c r="A13" s="1116"/>
      <c r="B13" s="1117"/>
      <c r="C13" s="1118"/>
      <c r="D13" s="844">
        <f t="shared" si="0"/>
        <v>0</v>
      </c>
      <c r="E13" s="12"/>
      <c r="F13" s="58">
        <f t="shared" si="1"/>
        <v>0</v>
      </c>
      <c r="G13" s="58"/>
      <c r="H13" s="7">
        <f t="shared" si="2"/>
        <v>0</v>
      </c>
      <c r="I13" s="69"/>
    </row>
    <row r="14" spans="1:10" x14ac:dyDescent="0.2">
      <c r="A14" s="1116"/>
      <c r="B14" s="1117"/>
      <c r="C14" s="1118"/>
      <c r="D14" s="844">
        <f t="shared" si="0"/>
        <v>0</v>
      </c>
      <c r="E14" s="12"/>
      <c r="F14" s="58">
        <f t="shared" si="1"/>
        <v>0</v>
      </c>
      <c r="G14" s="58"/>
      <c r="H14" s="7">
        <f t="shared" si="2"/>
        <v>0</v>
      </c>
      <c r="I14" s="69"/>
    </row>
    <row r="15" spans="1:10" x14ac:dyDescent="0.2">
      <c r="A15" s="1116"/>
      <c r="B15" s="1117"/>
      <c r="C15" s="1118"/>
      <c r="D15" s="844">
        <f t="shared" si="0"/>
        <v>0</v>
      </c>
      <c r="E15" s="12"/>
      <c r="F15" s="58">
        <f t="shared" si="1"/>
        <v>0</v>
      </c>
      <c r="G15" s="58"/>
      <c r="H15" s="7">
        <f t="shared" si="2"/>
        <v>0</v>
      </c>
      <c r="I15" s="69"/>
    </row>
    <row r="16" spans="1:10" x14ac:dyDescent="0.2">
      <c r="A16" s="1116"/>
      <c r="B16" s="1117"/>
      <c r="C16" s="1118"/>
      <c r="D16" s="844">
        <f t="shared" si="0"/>
        <v>0</v>
      </c>
      <c r="E16" s="12"/>
      <c r="F16" s="58">
        <f t="shared" si="1"/>
        <v>0</v>
      </c>
      <c r="G16" s="58"/>
      <c r="H16" s="7">
        <f t="shared" si="2"/>
        <v>0</v>
      </c>
      <c r="I16" s="69"/>
    </row>
    <row r="17" spans="1:9" x14ac:dyDescent="0.2">
      <c r="A17" s="1116"/>
      <c r="B17" s="1117"/>
      <c r="C17" s="1118"/>
      <c r="D17" s="844">
        <f t="shared" si="0"/>
        <v>0</v>
      </c>
      <c r="E17" s="12"/>
      <c r="F17" s="58">
        <f t="shared" si="1"/>
        <v>0</v>
      </c>
      <c r="G17" s="58"/>
      <c r="H17" s="7">
        <f t="shared" si="2"/>
        <v>0</v>
      </c>
      <c r="I17" s="69"/>
    </row>
    <row r="18" spans="1:9" x14ac:dyDescent="0.2">
      <c r="A18" s="1116"/>
      <c r="B18" s="1117"/>
      <c r="C18" s="1118"/>
      <c r="D18" s="844">
        <f t="shared" si="0"/>
        <v>0</v>
      </c>
      <c r="E18" s="370"/>
      <c r="F18" s="58">
        <f t="shared" si="1"/>
        <v>0</v>
      </c>
      <c r="G18" s="371"/>
      <c r="H18" s="372">
        <f t="shared" si="2"/>
        <v>0</v>
      </c>
      <c r="I18" s="297"/>
    </row>
    <row r="19" spans="1:9" x14ac:dyDescent="0.2">
      <c r="A19" s="1116"/>
      <c r="B19" s="1117"/>
      <c r="C19" s="1118"/>
      <c r="D19" s="844">
        <f t="shared" si="0"/>
        <v>0</v>
      </c>
      <c r="E19" s="370"/>
      <c r="F19" s="58">
        <f t="shared" si="1"/>
        <v>0</v>
      </c>
      <c r="G19" s="371"/>
      <c r="H19" s="372">
        <f t="shared" si="2"/>
        <v>0</v>
      </c>
      <c r="I19" s="297"/>
    </row>
    <row r="20" spans="1:9" x14ac:dyDescent="0.2">
      <c r="A20" s="1116"/>
      <c r="B20" s="1117"/>
      <c r="C20" s="1118"/>
      <c r="D20" s="844">
        <f t="shared" si="0"/>
        <v>0</v>
      </c>
      <c r="E20" s="332"/>
      <c r="F20" s="58">
        <f t="shared" si="1"/>
        <v>0</v>
      </c>
      <c r="G20" s="352"/>
      <c r="H20" s="334">
        <f t="shared" si="2"/>
        <v>0</v>
      </c>
      <c r="I20" s="325"/>
    </row>
    <row r="21" spans="1:9" x14ac:dyDescent="0.2">
      <c r="A21" s="1116"/>
      <c r="B21" s="1117"/>
      <c r="C21" s="1118"/>
      <c r="D21" s="844">
        <f t="shared" si="0"/>
        <v>0</v>
      </c>
      <c r="E21" s="327"/>
      <c r="F21" s="58">
        <f t="shared" si="1"/>
        <v>0</v>
      </c>
      <c r="G21" s="328"/>
      <c r="H21" s="329">
        <f t="shared" si="2"/>
        <v>0</v>
      </c>
      <c r="I21" s="304"/>
    </row>
    <row r="22" spans="1:9" x14ac:dyDescent="0.2">
      <c r="A22" s="880" t="s">
        <v>2217</v>
      </c>
      <c r="B22" s="849"/>
      <c r="C22" s="849"/>
      <c r="D22" s="3"/>
      <c r="E22" s="872"/>
      <c r="F22" s="872"/>
      <c r="G22" s="872"/>
      <c r="H22" s="873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1.1599999999999999</v>
      </c>
      <c r="E26" s="33"/>
      <c r="F26" s="12">
        <f>IF(A26&lt;&gt;0,VLOOKUP(A26,Equipos,6,FALSE),$J$1)</f>
        <v>3710</v>
      </c>
      <c r="G26" s="14">
        <v>0.05</v>
      </c>
      <c r="H26" s="7">
        <f t="shared" ref="H26:H32" si="3">IF(A26&lt;&gt;0,ROUND((F26/D26)*G26,2),$J$1)</f>
        <v>159.91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3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3"/>
        <v>0</v>
      </c>
      <c r="I28" s="69"/>
    </row>
    <row r="29" spans="1:9" x14ac:dyDescent="0.2">
      <c r="A29" s="1293"/>
      <c r="B29" s="1371"/>
      <c r="C29" s="1371"/>
      <c r="D29" s="386"/>
      <c r="E29" s="386"/>
      <c r="F29" s="370"/>
      <c r="G29" s="387"/>
      <c r="H29" s="372">
        <f t="shared" si="3"/>
        <v>0</v>
      </c>
      <c r="I29" s="297"/>
    </row>
    <row r="30" spans="1:9" x14ac:dyDescent="0.2">
      <c r="A30" s="1370"/>
      <c r="B30" s="1371"/>
      <c r="C30" s="1371"/>
      <c r="D30" s="386"/>
      <c r="E30" s="386"/>
      <c r="F30" s="370"/>
      <c r="G30" s="387"/>
      <c r="H30" s="372">
        <f t="shared" si="3"/>
        <v>0</v>
      </c>
      <c r="I30" s="297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3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3"/>
        <v>0</v>
      </c>
      <c r="I32" s="297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159.91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877"/>
    </row>
    <row r="36" spans="1:9" s="9" customFormat="1" ht="25.5" x14ac:dyDescent="0.2">
      <c r="A36" s="233" t="s">
        <v>26</v>
      </c>
      <c r="B36" s="234"/>
      <c r="C36" s="234"/>
      <c r="D36" s="235" t="s">
        <v>2223</v>
      </c>
      <c r="E36" s="235"/>
      <c r="F36" s="881" t="s">
        <v>2224</v>
      </c>
      <c r="G36" s="881" t="s">
        <v>2225</v>
      </c>
      <c r="H36" s="881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215"/>
      <c r="B38" s="1216"/>
      <c r="C38" s="1217"/>
      <c r="D38" s="46">
        <f>IF(A38&lt;&gt;0,VLOOKUP(A38,Transporte,8,FALSE),$J$1)</f>
        <v>0</v>
      </c>
      <c r="E38" s="47"/>
      <c r="F38" s="15">
        <f t="shared" ref="F38:F43" si="4">IF(A38&lt;&gt;0,VLOOKUP(A38,Transporte,2,FALSE),$J$1)</f>
        <v>0</v>
      </c>
      <c r="G38" s="12"/>
      <c r="H38" s="7">
        <f t="shared" ref="H38:H43" si="5">IF(A38&lt;&gt;0,D38/F38*G38,$J$1)</f>
        <v>0</v>
      </c>
      <c r="I38" s="344"/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si="4"/>
        <v>0</v>
      </c>
      <c r="G39" s="12"/>
      <c r="H39" s="7">
        <f t="shared" si="5"/>
        <v>0</v>
      </c>
      <c r="I39" s="344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4"/>
        <v>0</v>
      </c>
      <c r="G40" s="12"/>
      <c r="H40" s="7">
        <f t="shared" si="5"/>
        <v>0</v>
      </c>
      <c r="I40" s="345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368"/>
      <c r="B42" s="1352"/>
      <c r="C42" s="1353"/>
      <c r="D42" s="46">
        <f>IF(A42&lt;&gt;0,VLOOKUP(A42,Transporte,8,FALSE),$J$1)</f>
        <v>0</v>
      </c>
      <c r="E42" s="47"/>
      <c r="F42" s="15">
        <f t="shared" si="4"/>
        <v>0</v>
      </c>
      <c r="G42" s="12"/>
      <c r="H42" s="7">
        <f t="shared" si="5"/>
        <v>0</v>
      </c>
      <c r="I42" s="379"/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4"/>
        <v>0</v>
      </c>
      <c r="G43" s="12"/>
      <c r="H43" s="7">
        <f t="shared" si="5"/>
        <v>0</v>
      </c>
      <c r="I43" s="346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31.26</v>
      </c>
      <c r="G48" s="1083"/>
      <c r="H48" s="7">
        <f>IF(A48&lt;&gt;0,ROUND(D48/F48,2),$J$1)</f>
        <v>7639.73</v>
      </c>
      <c r="I48" s="69"/>
    </row>
    <row r="49" spans="1:9" x14ac:dyDescent="0.2">
      <c r="A49" s="1256"/>
      <c r="B49" s="1257"/>
      <c r="C49" s="1257"/>
      <c r="D49" s="1255"/>
      <c r="E49" s="1255"/>
      <c r="F49" s="1265"/>
      <c r="G49" s="1265"/>
      <c r="H49" s="293"/>
      <c r="I49" s="297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38">
        <f>SUM(H48:H52)</f>
        <v>7639.73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7639.73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rowBreaks count="1" manualBreakCount="1">
        <brk id="36" max="8" man="1"/>
      </rowBreaks>
      <colBreaks count="1" manualBreakCount="1">
        <brk id="3" max="57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4">
    <mergeCell ref="A2:I2"/>
    <mergeCell ref="A3:I3"/>
    <mergeCell ref="H1:I1"/>
    <mergeCell ref="A12:C12"/>
    <mergeCell ref="C5:I5"/>
    <mergeCell ref="A8:C8"/>
    <mergeCell ref="A9:C9"/>
    <mergeCell ref="A10:C10"/>
    <mergeCell ref="A11:C11"/>
    <mergeCell ref="A1:C1"/>
    <mergeCell ref="A4:E4"/>
    <mergeCell ref="A14:C14"/>
    <mergeCell ref="A15:C15"/>
    <mergeCell ref="A27:C27"/>
    <mergeCell ref="A16:C16"/>
    <mergeCell ref="A19:C19"/>
    <mergeCell ref="A21:C21"/>
    <mergeCell ref="A18:C18"/>
    <mergeCell ref="A20:C20"/>
    <mergeCell ref="A17:C17"/>
    <mergeCell ref="A26:C26"/>
    <mergeCell ref="A13:C13"/>
    <mergeCell ref="A59:G59"/>
    <mergeCell ref="H59:I59"/>
    <mergeCell ref="A50:C50"/>
    <mergeCell ref="A51:C51"/>
    <mergeCell ref="D50:E50"/>
    <mergeCell ref="A54:I54"/>
    <mergeCell ref="A53:H53"/>
    <mergeCell ref="A57:G57"/>
    <mergeCell ref="A55:H55"/>
    <mergeCell ref="F52:G52"/>
    <mergeCell ref="F51:G51"/>
    <mergeCell ref="A58:C58"/>
    <mergeCell ref="D58:E58"/>
    <mergeCell ref="F58:I58"/>
    <mergeCell ref="A52:C52"/>
    <mergeCell ref="D51:E51"/>
    <mergeCell ref="A56:H56"/>
    <mergeCell ref="A28:C28"/>
    <mergeCell ref="A29:C29"/>
    <mergeCell ref="D48:E48"/>
    <mergeCell ref="A47:C47"/>
    <mergeCell ref="A48:C48"/>
    <mergeCell ref="D47:E47"/>
    <mergeCell ref="A46:I46"/>
    <mergeCell ref="D52:E52"/>
    <mergeCell ref="F49:G49"/>
    <mergeCell ref="A49:C49"/>
    <mergeCell ref="D49:E49"/>
    <mergeCell ref="A45:I45"/>
    <mergeCell ref="A30:C30"/>
    <mergeCell ref="A31:C31"/>
    <mergeCell ref="A32:C32"/>
    <mergeCell ref="F50:G50"/>
    <mergeCell ref="F47:G47"/>
    <mergeCell ref="F48:G48"/>
    <mergeCell ref="B37:C37"/>
    <mergeCell ref="B41:C41"/>
    <mergeCell ref="A38:C38"/>
    <mergeCell ref="A39:C39"/>
    <mergeCell ref="A40:C40"/>
    <mergeCell ref="A42:C42"/>
    <mergeCell ref="A43:C43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B42:C43 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6" max="8" man="1"/>
  </rowBreaks>
  <colBreaks count="1" manualBreakCount="1">
    <brk id="3" max="57" man="1"/>
  </colBreaks>
  <drawing r:id="rId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>
    <tabColor rgb="FF3EDA00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406</v>
      </c>
      <c r="B8" s="1081"/>
      <c r="C8" s="1081"/>
      <c r="D8" s="844" t="e">
        <f t="shared" ref="D8:D21" si="0">IF(A8&lt;&gt;0,VLOOKUP(A8,Materiales,2,FALSE),$J$1)</f>
        <v>#REF!</v>
      </c>
      <c r="E8" s="12">
        <v>5.15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116" t="s">
        <v>174</v>
      </c>
      <c r="B9" s="1117"/>
      <c r="C9" s="1118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/>
      <c r="I9" s="69"/>
    </row>
    <row r="10" spans="1:10" x14ac:dyDescent="0.2">
      <c r="A10" s="1080" t="s">
        <v>207</v>
      </c>
      <c r="B10" s="1081"/>
      <c r="C10" s="1081"/>
      <c r="D10" s="844" t="e">
        <f t="shared" si="0"/>
        <v>#REF!</v>
      </c>
      <c r="E10" s="12">
        <v>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434</v>
      </c>
      <c r="B11" s="1081"/>
      <c r="C11" s="1081"/>
      <c r="D11" s="844" t="e">
        <f t="shared" si="0"/>
        <v>#REF!</v>
      </c>
      <c r="E11" s="12">
        <v>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9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9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9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109">
        <v>0.96499999999999997</v>
      </c>
      <c r="E26" s="33"/>
      <c r="F26" s="12">
        <f t="shared" ref="F26:F32" si="3">IF(A26&lt;&gt;0,VLOOKUP(A26,Equipos,6,FALSE),$J$1)</f>
        <v>3710</v>
      </c>
      <c r="G26" s="14">
        <v>0.25</v>
      </c>
      <c r="H26" s="7">
        <f t="shared" ref="H26:H32" si="4">IF(A26&lt;&gt;0,ROUND((F26/D26)*G26,2),$J$1)</f>
        <v>961.14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9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9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961.14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6.88</v>
      </c>
      <c r="G48" s="1083"/>
      <c r="H48" s="7">
        <f>IF(A48&lt;&gt;0,ROUND(D48/F48,2),$J$1)</f>
        <v>34711.93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34711.93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34711.93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:C1"/>
    <mergeCell ref="B37:C37"/>
    <mergeCell ref="B41:C41"/>
    <mergeCell ref="A59:G59"/>
    <mergeCell ref="A13:C13"/>
    <mergeCell ref="A45:I45"/>
    <mergeCell ref="F47:G47"/>
    <mergeCell ref="F48:G48"/>
    <mergeCell ref="F51:G51"/>
    <mergeCell ref="A46:I46"/>
    <mergeCell ref="D52:E52"/>
    <mergeCell ref="F49:G49"/>
    <mergeCell ref="A49:C49"/>
    <mergeCell ref="D49:E49"/>
    <mergeCell ref="D48:E48"/>
    <mergeCell ref="H59:I59"/>
    <mergeCell ref="A58:C58"/>
    <mergeCell ref="D58:E58"/>
    <mergeCell ref="F58:I58"/>
    <mergeCell ref="A54:I54"/>
    <mergeCell ref="A50:C50"/>
    <mergeCell ref="A51:C51"/>
    <mergeCell ref="D50:E50"/>
    <mergeCell ref="F50:G50"/>
    <mergeCell ref="A52:C52"/>
    <mergeCell ref="D51:E51"/>
    <mergeCell ref="A53:H53"/>
    <mergeCell ref="A57:G57"/>
    <mergeCell ref="A55:H55"/>
    <mergeCell ref="F52:G52"/>
    <mergeCell ref="A17:C17"/>
    <mergeCell ref="A47:C47"/>
    <mergeCell ref="A56:H56"/>
    <mergeCell ref="A28:C28"/>
    <mergeCell ref="A29:C29"/>
    <mergeCell ref="A48:C48"/>
    <mergeCell ref="D47:E47"/>
    <mergeCell ref="A30:C30"/>
    <mergeCell ref="A31:C31"/>
    <mergeCell ref="A32:C32"/>
    <mergeCell ref="A42:C42"/>
    <mergeCell ref="A43:C43"/>
    <mergeCell ref="A38:C38"/>
    <mergeCell ref="A39:C39"/>
    <mergeCell ref="A40:C40"/>
    <mergeCell ref="C5:I5"/>
    <mergeCell ref="H1:I1"/>
    <mergeCell ref="A26:C26"/>
    <mergeCell ref="A27:C27"/>
    <mergeCell ref="A14:C14"/>
    <mergeCell ref="A18:C18"/>
    <mergeCell ref="A19:C19"/>
    <mergeCell ref="A21:C21"/>
    <mergeCell ref="A15:C15"/>
    <mergeCell ref="A16:C16"/>
    <mergeCell ref="A8:C8"/>
    <mergeCell ref="A9:C9"/>
    <mergeCell ref="A10:C10"/>
    <mergeCell ref="A11:C11"/>
    <mergeCell ref="A12:C12"/>
    <mergeCell ref="A20:C20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5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405</v>
      </c>
      <c r="B8" s="1081"/>
      <c r="C8" s="1081"/>
      <c r="D8" s="844" t="e">
        <f t="shared" ref="D8:D21" si="0">IF(A8&lt;&gt;0,VLOOKUP(A8,Materiales,2,FALSE),$J$1)</f>
        <v>#REF!</v>
      </c>
      <c r="E8" s="12">
        <v>5.15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116" t="s">
        <v>173</v>
      </c>
      <c r="B9" s="1117"/>
      <c r="C9" s="1118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206</v>
      </c>
      <c r="B10" s="1081"/>
      <c r="C10" s="1081"/>
      <c r="D10" s="844" t="e">
        <f t="shared" si="0"/>
        <v>#REF!</v>
      </c>
      <c r="E10" s="12">
        <v>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433</v>
      </c>
      <c r="B11" s="1081"/>
      <c r="C11" s="1081"/>
      <c r="D11" s="844" t="e">
        <f t="shared" si="0"/>
        <v>#REF!</v>
      </c>
      <c r="E11" s="12">
        <v>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549">
        <v>0.96499999999999997</v>
      </c>
      <c r="E26" s="33"/>
      <c r="F26" s="12">
        <f t="shared" ref="F26:F32" si="3">IF(A26&lt;&gt;0,VLOOKUP(A26,Equipos,6,FALSE),$J$1)</f>
        <v>3710</v>
      </c>
      <c r="G26" s="14">
        <v>0.25</v>
      </c>
      <c r="H26" s="7">
        <f t="shared" ref="H26:H32" si="4">IF(A26&lt;&gt;0,ROUND((F26/D26)*G26,2),$J$1)</f>
        <v>961.14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961.14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5.7311103293323207</v>
      </c>
      <c r="G48" s="1083"/>
      <c r="H48" s="7">
        <f>IF(A48&lt;&gt;0,ROUND(D48/F48,2),$J$1)</f>
        <v>41670.47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11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11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11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41670.47</v>
      </c>
    </row>
    <row r="54" spans="1:11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11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  <c r="K55" s="1" t="s">
        <v>2235</v>
      </c>
    </row>
    <row r="56" spans="1:11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41670.47</v>
      </c>
    </row>
    <row r="57" spans="1:11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11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11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11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2">
    <mergeCell ref="A59:G59"/>
    <mergeCell ref="H59:I59"/>
    <mergeCell ref="A53:H53"/>
    <mergeCell ref="A54:I54"/>
    <mergeCell ref="A55:H55"/>
    <mergeCell ref="A56:H56"/>
    <mergeCell ref="A57:G57"/>
    <mergeCell ref="A58:C58"/>
    <mergeCell ref="D58:E58"/>
    <mergeCell ref="F58:I58"/>
    <mergeCell ref="A51:C51"/>
    <mergeCell ref="D51:E51"/>
    <mergeCell ref="F51:G51"/>
    <mergeCell ref="A52:C52"/>
    <mergeCell ref="D52:E52"/>
    <mergeCell ref="F52:G52"/>
    <mergeCell ref="A49:C49"/>
    <mergeCell ref="D49:E49"/>
    <mergeCell ref="F49:G49"/>
    <mergeCell ref="A50:C50"/>
    <mergeCell ref="D50:E50"/>
    <mergeCell ref="F50:G50"/>
    <mergeCell ref="A48:C48"/>
    <mergeCell ref="D48:E48"/>
    <mergeCell ref="F48:G48"/>
    <mergeCell ref="A38:C38"/>
    <mergeCell ref="A39:C39"/>
    <mergeCell ref="A40:C40"/>
    <mergeCell ref="B41:C41"/>
    <mergeCell ref="A42:C42"/>
    <mergeCell ref="A43:C43"/>
    <mergeCell ref="A45:I45"/>
    <mergeCell ref="A46:I46"/>
    <mergeCell ref="A47:C47"/>
    <mergeCell ref="D47:E47"/>
    <mergeCell ref="F47:G47"/>
    <mergeCell ref="B37:C37"/>
    <mergeCell ref="A18:C18"/>
    <mergeCell ref="A19:C19"/>
    <mergeCell ref="A20:C20"/>
    <mergeCell ref="A21:C21"/>
    <mergeCell ref="A26:C26"/>
    <mergeCell ref="A27:C27"/>
    <mergeCell ref="A28:C28"/>
    <mergeCell ref="A29:C29"/>
    <mergeCell ref="A30:C30"/>
    <mergeCell ref="A31:C31"/>
    <mergeCell ref="A32:C32"/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:E4"/>
    <mergeCell ref="C5:I5"/>
  </mergeCells>
  <dataValidations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FF00"/>
    <pageSetUpPr fitToPage="1"/>
  </sheetPr>
  <dimension ref="A1:K62"/>
  <sheetViews>
    <sheetView view="pageBreakPreview" topLeftCell="A40" zoomScale="85" zoomScaleNormal="100" zoomScaleSheetLayoutView="85" workbookViewId="0">
      <selection activeCell="A37" sqref="A37:C37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0" width="12" style="1" bestFit="1" customWidth="1"/>
    <col min="11" max="11" width="16.140625" style="1" bestFit="1" customWidth="1"/>
    <col min="12" max="16384" width="9.140625" style="1"/>
  </cols>
  <sheetData>
    <row r="1" spans="1:10" s="9" customFormat="1" ht="20.25" thickTop="1" x14ac:dyDescent="0.2">
      <c r="A1" s="1131"/>
      <c r="B1" s="1220"/>
      <c r="C1" s="1220"/>
      <c r="D1" s="93"/>
      <c r="E1" s="93"/>
      <c r="F1" s="93"/>
      <c r="G1" s="93"/>
      <c r="H1" s="1129"/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25.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47" t="s">
        <v>2297</v>
      </c>
      <c r="C5" s="1227" t="s">
        <v>2309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155</v>
      </c>
    </row>
    <row r="7" spans="1:10" s="11" customFormat="1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2310</v>
      </c>
      <c r="G7" s="254"/>
      <c r="H7" s="879" t="s">
        <v>2293</v>
      </c>
      <c r="I7" s="72"/>
    </row>
    <row r="8" spans="1:10" x14ac:dyDescent="0.2">
      <c r="A8" s="1215" t="s">
        <v>210</v>
      </c>
      <c r="B8" s="1216"/>
      <c r="C8" s="1217"/>
      <c r="D8" s="851" t="e">
        <f>IF(A8&lt;&gt;0,VLOOKUP(A8,Materiales,2,FALSE),$J$1)</f>
        <v>#REF!</v>
      </c>
      <c r="E8" s="12">
        <v>370</v>
      </c>
      <c r="F8" s="21" t="e">
        <f>IF(A8&lt;&gt;0,VLOOKUP(A8,Materiales,6,FALSE),$J$1)</f>
        <v>#REF!</v>
      </c>
      <c r="G8" s="22"/>
      <c r="H8" s="8" t="e">
        <f t="shared" ref="H8:H11" si="0">IF(A8&lt;&gt;0,ROUND(E8*F8,2),$J$1)</f>
        <v>#REF!</v>
      </c>
      <c r="I8" s="69"/>
    </row>
    <row r="9" spans="1:10" x14ac:dyDescent="0.2">
      <c r="A9" s="1215" t="s">
        <v>158</v>
      </c>
      <c r="B9" s="1216"/>
      <c r="C9" s="1217"/>
      <c r="D9" s="851" t="e">
        <f t="shared" ref="D9:D11" si="1">IF(A9&lt;&gt;0,VLOOKUP(A9,Materiales,2,FALSE),$J$1)</f>
        <v>#REF!</v>
      </c>
      <c r="E9" s="13">
        <v>0.56000000000000005</v>
      </c>
      <c r="F9" s="21" t="e">
        <f>IF(A9&lt;&gt;0,VLOOKUP(A9,Materiales,6,FALSE),$J$1)</f>
        <v>#REF!</v>
      </c>
      <c r="G9" s="22"/>
      <c r="H9" s="8" t="e">
        <f t="shared" si="0"/>
        <v>#REF!</v>
      </c>
      <c r="I9" s="69"/>
    </row>
    <row r="10" spans="1:10" x14ac:dyDescent="0.2">
      <c r="A10" s="1215" t="s">
        <v>401</v>
      </c>
      <c r="B10" s="1216"/>
      <c r="C10" s="1217"/>
      <c r="D10" s="851" t="e">
        <f t="shared" si="1"/>
        <v>#REF!</v>
      </c>
      <c r="E10" s="13">
        <v>0.84</v>
      </c>
      <c r="F10" s="21" t="e">
        <f>IF(A10&lt;&gt;0,VLOOKUP(A10,Materiales,6,FALSE),$J$1)</f>
        <v>#REF!</v>
      </c>
      <c r="G10" s="22"/>
      <c r="H10" s="8" t="e">
        <f t="shared" si="0"/>
        <v>#REF!</v>
      </c>
      <c r="I10" s="69"/>
    </row>
    <row r="11" spans="1:10" x14ac:dyDescent="0.2">
      <c r="A11" s="871" t="s">
        <v>139</v>
      </c>
      <c r="B11" s="872"/>
      <c r="C11" s="873"/>
      <c r="D11" s="851" t="e">
        <f t="shared" si="1"/>
        <v>#REF!</v>
      </c>
      <c r="E11" s="12">
        <v>210</v>
      </c>
      <c r="F11" s="21" t="e">
        <f>IF(A11&lt;&gt;0,VLOOKUP(A11,Materiales,6,FALSE),$J$1)</f>
        <v>#REF!</v>
      </c>
      <c r="G11" s="22"/>
      <c r="H11" s="8" t="e">
        <f t="shared" si="0"/>
        <v>#REF!</v>
      </c>
      <c r="I11" s="69"/>
    </row>
    <row r="12" spans="1:10" x14ac:dyDescent="0.2">
      <c r="A12" s="871"/>
      <c r="B12" s="872"/>
      <c r="C12" s="873"/>
      <c r="D12" s="851"/>
      <c r="E12" s="12"/>
      <c r="F12" s="21"/>
      <c r="G12" s="22"/>
      <c r="H12" s="8"/>
      <c r="I12" s="69"/>
    </row>
    <row r="13" spans="1:10" x14ac:dyDescent="0.2">
      <c r="A13" s="871"/>
      <c r="B13" s="872"/>
      <c r="C13" s="873"/>
      <c r="D13" s="851"/>
      <c r="E13" s="12"/>
      <c r="F13" s="21"/>
      <c r="G13" s="22"/>
      <c r="H13" s="8"/>
      <c r="I13" s="69"/>
    </row>
    <row r="14" spans="1:10" x14ac:dyDescent="0.2">
      <c r="A14" s="871"/>
      <c r="B14" s="872"/>
      <c r="C14" s="873"/>
      <c r="D14" s="851"/>
      <c r="E14" s="12"/>
      <c r="F14" s="21"/>
      <c r="G14" s="22"/>
      <c r="H14" s="8"/>
      <c r="I14" s="69"/>
    </row>
    <row r="15" spans="1:10" x14ac:dyDescent="0.2">
      <c r="A15" s="871"/>
      <c r="B15" s="872"/>
      <c r="C15" s="873"/>
      <c r="D15" s="851"/>
      <c r="E15" s="12"/>
      <c r="F15" s="21"/>
      <c r="G15" s="22"/>
      <c r="H15" s="8"/>
      <c r="I15" s="69"/>
    </row>
    <row r="16" spans="1:10" x14ac:dyDescent="0.2">
      <c r="A16" s="871"/>
      <c r="B16" s="872"/>
      <c r="C16" s="873"/>
      <c r="D16" s="851"/>
      <c r="E16" s="12"/>
      <c r="F16" s="21"/>
      <c r="G16" s="22"/>
      <c r="H16" s="8"/>
      <c r="I16" s="69"/>
    </row>
    <row r="17" spans="1:11" x14ac:dyDescent="0.2">
      <c r="A17" s="871"/>
      <c r="B17" s="872"/>
      <c r="C17" s="873"/>
      <c r="D17" s="851"/>
      <c r="E17" s="12"/>
      <c r="F17" s="21"/>
      <c r="G17" s="22"/>
      <c r="H17" s="8"/>
      <c r="I17" s="69"/>
    </row>
    <row r="18" spans="1:11" x14ac:dyDescent="0.2">
      <c r="A18" s="871"/>
      <c r="B18" s="872"/>
      <c r="C18" s="873"/>
      <c r="D18" s="851"/>
      <c r="E18" s="12"/>
      <c r="F18" s="21"/>
      <c r="G18" s="22"/>
      <c r="H18" s="8"/>
      <c r="I18" s="73"/>
    </row>
    <row r="19" spans="1:11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11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11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11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11" x14ac:dyDescent="0.2">
      <c r="A23" s="871" t="s">
        <v>477</v>
      </c>
      <c r="B23" s="872"/>
      <c r="C23" s="873"/>
      <c r="D23" s="26">
        <v>5</v>
      </c>
      <c r="E23" s="28"/>
      <c r="F23" s="12">
        <f>IF(A23&lt;&gt;0,VLOOKUP(A23,Equipos,6,FALSE),$J$1)</f>
        <v>3710</v>
      </c>
      <c r="G23" s="14">
        <v>1</v>
      </c>
      <c r="H23" s="8">
        <f t="shared" ref="H23:H24" si="2">IF(A23&lt;&gt;0,ROUND((F23/D23)*G23,2),$J$1)</f>
        <v>742</v>
      </c>
      <c r="I23" s="69"/>
    </row>
    <row r="24" spans="1:11" x14ac:dyDescent="0.2">
      <c r="A24" s="871" t="s">
        <v>478</v>
      </c>
      <c r="B24" s="872"/>
      <c r="C24" s="873"/>
      <c r="D24" s="26">
        <f>48/8</f>
        <v>6</v>
      </c>
      <c r="E24" s="28"/>
      <c r="F24" s="12">
        <f t="shared" ref="F24" si="3">IF(A24&lt;&gt;0,VLOOKUP(A24,Equipos,6,FALSE),$J$1)</f>
        <v>63600</v>
      </c>
      <c r="G24" s="14">
        <v>1</v>
      </c>
      <c r="H24" s="8">
        <f t="shared" si="2"/>
        <v>10600</v>
      </c>
      <c r="I24" s="69"/>
    </row>
    <row r="25" spans="1:11" x14ac:dyDescent="0.2">
      <c r="A25" s="871"/>
      <c r="B25" s="872"/>
      <c r="C25" s="873"/>
      <c r="D25" s="26"/>
      <c r="E25" s="28"/>
      <c r="F25" s="12"/>
      <c r="G25" s="14"/>
      <c r="H25" s="8"/>
      <c r="I25" s="69"/>
      <c r="K25" s="455"/>
    </row>
    <row r="26" spans="1:11" x14ac:dyDescent="0.2">
      <c r="A26" s="871"/>
      <c r="B26" s="872"/>
      <c r="C26" s="873"/>
      <c r="D26" s="26"/>
      <c r="E26" s="28"/>
      <c r="F26" s="12"/>
      <c r="G26" s="14"/>
      <c r="H26" s="8"/>
      <c r="I26" s="69"/>
      <c r="K26" s="455"/>
    </row>
    <row r="27" spans="1:11" x14ac:dyDescent="0.2">
      <c r="A27" s="871"/>
      <c r="B27" s="872"/>
      <c r="C27" s="873"/>
      <c r="D27" s="26"/>
      <c r="E27" s="28"/>
      <c r="F27" s="12"/>
      <c r="G27" s="14"/>
      <c r="H27" s="8"/>
      <c r="I27" s="69"/>
      <c r="K27" s="455"/>
    </row>
    <row r="28" spans="1:11" x14ac:dyDescent="0.2">
      <c r="A28" s="871"/>
      <c r="B28" s="872"/>
      <c r="C28" s="873"/>
      <c r="D28" s="26"/>
      <c r="E28" s="28"/>
      <c r="F28" s="12"/>
      <c r="G28" s="14"/>
      <c r="H28" s="8"/>
      <c r="I28" s="69"/>
      <c r="K28" s="455"/>
    </row>
    <row r="29" spans="1:11" x14ac:dyDescent="0.2">
      <c r="A29" s="871"/>
      <c r="B29" s="872"/>
      <c r="C29" s="873"/>
      <c r="D29" s="26"/>
      <c r="E29" s="28"/>
      <c r="F29" s="12"/>
      <c r="G29" s="14"/>
      <c r="H29" s="8"/>
      <c r="I29" s="73"/>
    </row>
    <row r="30" spans="1:11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11342</v>
      </c>
    </row>
    <row r="31" spans="1:11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11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12"/>
    </row>
    <row r="35" spans="1:9" x14ac:dyDescent="0.2">
      <c r="A35" s="871"/>
      <c r="B35" s="872"/>
      <c r="C35" s="873"/>
      <c r="D35" s="46"/>
      <c r="E35" s="47"/>
      <c r="F35" s="15"/>
      <c r="G35" s="12"/>
      <c r="H35" s="8"/>
      <c r="I35" s="69"/>
    </row>
    <row r="36" spans="1:9" x14ac:dyDescent="0.2">
      <c r="A36" s="871"/>
      <c r="B36" s="872"/>
      <c r="C36" s="873"/>
      <c r="D36" s="46"/>
      <c r="E36" s="47"/>
      <c r="F36" s="15"/>
      <c r="G36" s="12"/>
      <c r="H36" s="8"/>
      <c r="I36" s="69"/>
    </row>
    <row r="37" spans="1:9" x14ac:dyDescent="0.2">
      <c r="A37" s="871"/>
      <c r="B37" s="872"/>
      <c r="C37" s="873"/>
      <c r="D37" s="46"/>
      <c r="E37" s="47"/>
      <c r="F37" s="15"/>
      <c r="G37" s="12"/>
      <c r="H37" s="8"/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12"/>
    </row>
    <row r="39" spans="1:9" x14ac:dyDescent="0.2">
      <c r="A39" s="871"/>
      <c r="B39" s="872"/>
      <c r="C39" s="873"/>
      <c r="D39" s="46"/>
      <c r="E39" s="47"/>
      <c r="F39" s="15"/>
      <c r="G39" s="12"/>
      <c r="H39" s="8"/>
      <c r="I39" s="69"/>
    </row>
    <row r="40" spans="1:9" x14ac:dyDescent="0.2">
      <c r="A40" s="871"/>
      <c r="B40" s="872"/>
      <c r="C40" s="873"/>
      <c r="D40" s="46"/>
      <c r="E40" s="47"/>
      <c r="F40" s="15"/>
      <c r="G40" s="12"/>
      <c r="H40" s="8"/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/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55</v>
      </c>
      <c r="B45" s="1216"/>
      <c r="C45" s="1217"/>
      <c r="D45" s="1225">
        <f>IF(A45&lt;&gt;0,VLOOKUP(A45,Cuadrillas,7,FALSE),$J$1)</f>
        <v>447453.25</v>
      </c>
      <c r="E45" s="1226"/>
      <c r="F45" s="1221">
        <v>5</v>
      </c>
      <c r="G45" s="1222"/>
      <c r="H45" s="8">
        <f>IF(A45&lt;&gt;0,ROUND(D45/F45,2),$J$1)</f>
        <v>89490.65</v>
      </c>
      <c r="I45" s="69"/>
    </row>
    <row r="46" spans="1:9" x14ac:dyDescent="0.2">
      <c r="A46" s="1215"/>
      <c r="B46" s="1216"/>
      <c r="C46" s="1217"/>
      <c r="D46" s="1225"/>
      <c r="E46" s="1226"/>
      <c r="F46" s="1221"/>
      <c r="G46" s="1222"/>
      <c r="H46" s="8"/>
      <c r="I46" s="69"/>
    </row>
    <row r="47" spans="1:9" x14ac:dyDescent="0.2">
      <c r="A47" s="1215"/>
      <c r="B47" s="1216"/>
      <c r="C47" s="1217"/>
      <c r="D47" s="1225"/>
      <c r="E47" s="1226"/>
      <c r="F47" s="1221"/>
      <c r="G47" s="1222"/>
      <c r="H47" s="8"/>
      <c r="I47" s="69"/>
    </row>
    <row r="48" spans="1:9" x14ac:dyDescent="0.2">
      <c r="A48" s="1215"/>
      <c r="B48" s="1216"/>
      <c r="C48" s="1217"/>
      <c r="D48" s="1225"/>
      <c r="E48" s="1226"/>
      <c r="F48" s="1221"/>
      <c r="G48" s="1222"/>
      <c r="H48" s="8"/>
      <c r="I48" s="69"/>
    </row>
    <row r="49" spans="1:11" x14ac:dyDescent="0.2">
      <c r="A49" s="1215"/>
      <c r="B49" s="1216"/>
      <c r="C49" s="1217"/>
      <c r="D49" s="1225"/>
      <c r="E49" s="1226"/>
      <c r="F49" s="1221"/>
      <c r="G49" s="1222"/>
      <c r="H49" s="8"/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89490.65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89490.65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4.25" thickTop="1" thickBot="1" x14ac:dyDescent="0.25"/>
    <row r="58" spans="1:11" ht="13.5" thickTop="1" x14ac:dyDescent="0.2">
      <c r="A58" s="983" t="str">
        <f>+'Datos entrada'!$B$5</f>
        <v>INGENIERO CIVIL HEBER EDUARDO YEPES VILLOTA</v>
      </c>
      <c r="B58" s="983"/>
      <c r="C58" s="983"/>
      <c r="D58" s="983"/>
      <c r="E58" s="983"/>
      <c r="F58" s="983"/>
      <c r="G58" s="983"/>
      <c r="H58" s="983"/>
      <c r="I58" s="983"/>
    </row>
    <row r="59" spans="1:11" x14ac:dyDescent="0.2">
      <c r="A59" s="984"/>
      <c r="B59" s="984"/>
      <c r="C59" s="984"/>
      <c r="D59" s="984"/>
      <c r="E59" s="984"/>
      <c r="F59" s="984"/>
      <c r="G59" s="984"/>
      <c r="H59" s="984"/>
      <c r="I59" s="984"/>
    </row>
    <row r="60" spans="1:11" x14ac:dyDescent="0.2">
      <c r="A60" s="984"/>
      <c r="B60" s="984"/>
      <c r="C60" s="984"/>
      <c r="D60" s="984"/>
      <c r="E60" s="984"/>
      <c r="F60" s="984"/>
      <c r="G60" s="984"/>
      <c r="H60" s="984"/>
      <c r="I60" s="984"/>
    </row>
    <row r="61" spans="1:11" x14ac:dyDescent="0.2">
      <c r="A61" s="984"/>
      <c r="B61" s="984"/>
      <c r="C61" s="984"/>
      <c r="D61" s="984"/>
      <c r="E61" s="984"/>
      <c r="F61" s="984"/>
      <c r="G61" s="984"/>
      <c r="H61" s="984"/>
      <c r="I61" s="984"/>
    </row>
    <row r="62" spans="1:11" x14ac:dyDescent="0.2">
      <c r="A62" s="1234"/>
      <c r="B62" s="1234"/>
      <c r="C62" s="1234"/>
      <c r="D62" s="1234"/>
    </row>
  </sheetData>
  <customSheetViews>
    <customSheetView guid="{93F324B6-F965-4669-93FF-DBB148734A46}" fitToPage="1">
      <selection activeCell="E10" sqref="E10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2">
    <mergeCell ref="A58:I61"/>
    <mergeCell ref="A4:E4"/>
    <mergeCell ref="A52:H52"/>
    <mergeCell ref="A51:I51"/>
    <mergeCell ref="D49:E49"/>
    <mergeCell ref="F48:G48"/>
    <mergeCell ref="D48:E48"/>
    <mergeCell ref="A10:C10"/>
    <mergeCell ref="A48:C48"/>
    <mergeCell ref="A46:C46"/>
    <mergeCell ref="B34:C34"/>
    <mergeCell ref="A45:C45"/>
    <mergeCell ref="A47:C47"/>
    <mergeCell ref="A43:I43"/>
    <mergeCell ref="F46:G46"/>
    <mergeCell ref="D47:E47"/>
    <mergeCell ref="C5:I5"/>
    <mergeCell ref="A9:C9"/>
    <mergeCell ref="A56:G56"/>
    <mergeCell ref="F55:I55"/>
    <mergeCell ref="A53:H53"/>
    <mergeCell ref="F49:G49"/>
    <mergeCell ref="A55:C55"/>
    <mergeCell ref="D55:E55"/>
    <mergeCell ref="H56:I56"/>
    <mergeCell ref="A49:C49"/>
    <mergeCell ref="A62:D62"/>
    <mergeCell ref="A1:C1"/>
    <mergeCell ref="A50:H50"/>
    <mergeCell ref="A54:G54"/>
    <mergeCell ref="B38:C38"/>
    <mergeCell ref="D46:E46"/>
    <mergeCell ref="H1:I1"/>
    <mergeCell ref="A8:C8"/>
    <mergeCell ref="D44:E44"/>
    <mergeCell ref="D45:E45"/>
    <mergeCell ref="A44:C44"/>
    <mergeCell ref="A41:H41"/>
    <mergeCell ref="A42:I42"/>
    <mergeCell ref="F44:G44"/>
    <mergeCell ref="F45:G45"/>
    <mergeCell ref="F47:G47"/>
  </mergeCells>
  <phoneticPr fontId="0" type="noConversion"/>
  <dataValidations count="5">
    <dataValidation type="list" allowBlank="1" showInputMessage="1" showErrorMessage="1" sqref="A9:A18 B11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C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302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 t="s">
        <v>140</v>
      </c>
      <c r="B9" s="1081"/>
      <c r="C9" s="1081"/>
      <c r="D9" s="844" t="e">
        <f t="shared" si="0"/>
        <v>#REF!</v>
      </c>
      <c r="E9" s="12">
        <v>4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405</v>
      </c>
      <c r="B10" s="1081"/>
      <c r="C10" s="1081"/>
      <c r="D10" s="844" t="e">
        <f t="shared" si="0"/>
        <v>#REF!</v>
      </c>
      <c r="E10" s="12">
        <v>0.52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109</v>
      </c>
      <c r="B11" s="1081"/>
      <c r="C11" s="1081"/>
      <c r="D11" s="844" t="e">
        <f t="shared" si="0"/>
        <v>#REF!</v>
      </c>
      <c r="E11" s="12">
        <v>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358</v>
      </c>
      <c r="B12" s="1081"/>
      <c r="C12" s="1081"/>
      <c r="D12" s="844" t="e">
        <f t="shared" si="0"/>
        <v>#REF!</v>
      </c>
      <c r="E12" s="12">
        <v>2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320</v>
      </c>
      <c r="B13" s="1081"/>
      <c r="C13" s="1081"/>
      <c r="D13" s="844" t="e">
        <f t="shared" si="0"/>
        <v>#REF!</v>
      </c>
      <c r="E13" s="12">
        <v>2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247</v>
      </c>
      <c r="B14" s="1081"/>
      <c r="C14" s="1081"/>
      <c r="D14" s="844" t="e">
        <f t="shared" si="0"/>
        <v>#REF!</v>
      </c>
      <c r="E14" s="12">
        <v>4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452</v>
      </c>
      <c r="B15" s="1081"/>
      <c r="C15" s="1081"/>
      <c r="D15" s="844" t="e">
        <f t="shared" si="0"/>
        <v>#REF!</v>
      </c>
      <c r="E15" s="12">
        <v>0.52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 t="s">
        <v>264</v>
      </c>
      <c r="B16" s="1081"/>
      <c r="C16" s="1081"/>
      <c r="D16" s="844" t="e">
        <f t="shared" si="0"/>
        <v>#REF!</v>
      </c>
      <c r="E16" s="12">
        <v>2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549">
        <v>1.3480000000000001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2752.23</v>
      </c>
      <c r="I26" s="69"/>
    </row>
    <row r="27" spans="1:12" x14ac:dyDescent="0.2">
      <c r="A27" s="1080" t="s">
        <v>482</v>
      </c>
      <c r="B27" s="1081"/>
      <c r="C27" s="1081"/>
      <c r="D27" s="33">
        <v>2.3E-2</v>
      </c>
      <c r="E27" s="33"/>
      <c r="F27" s="12">
        <f t="shared" si="3"/>
        <v>1590</v>
      </c>
      <c r="G27" s="14">
        <v>1</v>
      </c>
      <c r="H27" s="7">
        <f t="shared" si="4"/>
        <v>69130.429999999993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71882.659999999989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2.87</v>
      </c>
      <c r="G48" s="1083"/>
      <c r="H48" s="7">
        <f>IF(A48&lt;&gt;0,ROUND(D48/F48,2),$J$1)</f>
        <v>83211.88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83211.88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83211.88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:C1"/>
    <mergeCell ref="B37:C37"/>
    <mergeCell ref="B41:C41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A58:C58"/>
    <mergeCell ref="D58:E58"/>
    <mergeCell ref="F58:I58"/>
    <mergeCell ref="A54:I54"/>
    <mergeCell ref="A53:H53"/>
    <mergeCell ref="A57:G57"/>
    <mergeCell ref="A55:H55"/>
    <mergeCell ref="A14:C14"/>
    <mergeCell ref="F52:G52"/>
    <mergeCell ref="A45:I45"/>
    <mergeCell ref="F47:G47"/>
    <mergeCell ref="F48:G48"/>
    <mergeCell ref="F51:G51"/>
    <mergeCell ref="A46:I46"/>
    <mergeCell ref="D52:E52"/>
    <mergeCell ref="F49:G49"/>
    <mergeCell ref="A49:C49"/>
    <mergeCell ref="D49:E49"/>
    <mergeCell ref="D48:E48"/>
    <mergeCell ref="A47:C47"/>
    <mergeCell ref="A20:C20"/>
    <mergeCell ref="A28:C28"/>
    <mergeCell ref="A29:C29"/>
    <mergeCell ref="A48:C48"/>
    <mergeCell ref="D47:E47"/>
    <mergeCell ref="A30:C30"/>
    <mergeCell ref="A31:C31"/>
    <mergeCell ref="A32:C32"/>
    <mergeCell ref="A42:C42"/>
    <mergeCell ref="A43:C43"/>
    <mergeCell ref="A38:C38"/>
    <mergeCell ref="A39:C39"/>
    <mergeCell ref="A40:C40"/>
    <mergeCell ref="C5:I5"/>
    <mergeCell ref="H1:I1"/>
    <mergeCell ref="A26:C26"/>
    <mergeCell ref="A27:C27"/>
    <mergeCell ref="A15:C15"/>
    <mergeCell ref="A18:C18"/>
    <mergeCell ref="A19:C19"/>
    <mergeCell ref="A21:C21"/>
    <mergeCell ref="A16:C16"/>
    <mergeCell ref="A17:C17"/>
    <mergeCell ref="A8:C8"/>
    <mergeCell ref="A9:C9"/>
    <mergeCell ref="A10:C10"/>
    <mergeCell ref="A11:C11"/>
    <mergeCell ref="A12:C12"/>
    <mergeCell ref="A13:C13"/>
  </mergeCells>
  <phoneticPr fontId="0" type="noConversion"/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301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 t="s">
        <v>140</v>
      </c>
      <c r="B9" s="1081"/>
      <c r="C9" s="1081"/>
      <c r="D9" s="844" t="e">
        <f t="shared" si="0"/>
        <v>#REF!</v>
      </c>
      <c r="E9" s="12">
        <v>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405</v>
      </c>
      <c r="B10" s="1081"/>
      <c r="C10" s="1081"/>
      <c r="D10" s="844" t="e">
        <f t="shared" si="0"/>
        <v>#REF!</v>
      </c>
      <c r="E10" s="12">
        <v>0.52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109</v>
      </c>
      <c r="B11" s="1081"/>
      <c r="C11" s="1081"/>
      <c r="D11" s="844" t="e">
        <f t="shared" si="0"/>
        <v>#REF!</v>
      </c>
      <c r="E11" s="12">
        <v>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358</v>
      </c>
      <c r="B12" s="1081"/>
      <c r="C12" s="1081"/>
      <c r="D12" s="844" t="e">
        <f t="shared" si="0"/>
        <v>#REF!</v>
      </c>
      <c r="E12" s="12">
        <v>2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320</v>
      </c>
      <c r="B13" s="1081"/>
      <c r="C13" s="1081"/>
      <c r="D13" s="844" t="e">
        <f t="shared" si="0"/>
        <v>#REF!</v>
      </c>
      <c r="E13" s="12">
        <v>2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247</v>
      </c>
      <c r="B14" s="1081"/>
      <c r="C14" s="1081"/>
      <c r="D14" s="844" t="e">
        <f t="shared" si="0"/>
        <v>#REF!</v>
      </c>
      <c r="E14" s="12">
        <v>4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452</v>
      </c>
      <c r="B15" s="1081"/>
      <c r="C15" s="1081"/>
      <c r="D15" s="844" t="e">
        <f t="shared" si="0"/>
        <v>#REF!</v>
      </c>
      <c r="E15" s="12">
        <v>0.52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 t="s">
        <v>264</v>
      </c>
      <c r="B16" s="1081"/>
      <c r="C16" s="1081"/>
      <c r="D16" s="844" t="e">
        <f t="shared" si="0"/>
        <v>#REF!</v>
      </c>
      <c r="E16" s="12">
        <v>2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549">
        <v>1.3480000000000001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2752.23</v>
      </c>
      <c r="I26" s="69"/>
    </row>
    <row r="27" spans="1:12" x14ac:dyDescent="0.2">
      <c r="A27" s="1080" t="s">
        <v>482</v>
      </c>
      <c r="B27" s="1081"/>
      <c r="C27" s="1081"/>
      <c r="D27" s="33">
        <v>2.3E-2</v>
      </c>
      <c r="E27" s="33"/>
      <c r="F27" s="12">
        <f t="shared" si="3"/>
        <v>1590</v>
      </c>
      <c r="G27" s="14">
        <v>1</v>
      </c>
      <c r="H27" s="7">
        <f t="shared" si="4"/>
        <v>69130.429999999993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71882.659999999989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2.8655555473243948</v>
      </c>
      <c r="G48" s="1083"/>
      <c r="H48" s="7">
        <f>IF(A48&lt;&gt;0,ROUND(D48/F48,2),$J$1)</f>
        <v>83340.94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83340.94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83340.94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2">
    <mergeCell ref="A4:E4"/>
    <mergeCell ref="B37:C37"/>
    <mergeCell ref="B41:C41"/>
    <mergeCell ref="A13:C13"/>
    <mergeCell ref="A14:C14"/>
    <mergeCell ref="A31:C31"/>
    <mergeCell ref="A32:C32"/>
    <mergeCell ref="A30:C30"/>
    <mergeCell ref="C5:I5"/>
    <mergeCell ref="H1:I1"/>
    <mergeCell ref="A26:C26"/>
    <mergeCell ref="A27:C27"/>
    <mergeCell ref="A15:C15"/>
    <mergeCell ref="A18:C18"/>
    <mergeCell ref="A19:C19"/>
    <mergeCell ref="A21:C21"/>
    <mergeCell ref="A16:C16"/>
    <mergeCell ref="A17:C17"/>
    <mergeCell ref="A20:C20"/>
    <mergeCell ref="A8:C8"/>
    <mergeCell ref="A9:C9"/>
    <mergeCell ref="A10:C10"/>
    <mergeCell ref="A11:C11"/>
    <mergeCell ref="A12:C12"/>
    <mergeCell ref="A1:C1"/>
    <mergeCell ref="A59:G59"/>
    <mergeCell ref="H59:I59"/>
    <mergeCell ref="A50:C50"/>
    <mergeCell ref="A51:C51"/>
    <mergeCell ref="D50:E50"/>
    <mergeCell ref="A54:I54"/>
    <mergeCell ref="A53:H53"/>
    <mergeCell ref="A57:G57"/>
    <mergeCell ref="A55:H55"/>
    <mergeCell ref="F52:G52"/>
    <mergeCell ref="F51:G51"/>
    <mergeCell ref="A58:C58"/>
    <mergeCell ref="D58:E58"/>
    <mergeCell ref="F58:I58"/>
    <mergeCell ref="A52:C52"/>
    <mergeCell ref="F50:G50"/>
    <mergeCell ref="F48:G48"/>
    <mergeCell ref="A56:H56"/>
    <mergeCell ref="A28:C28"/>
    <mergeCell ref="A29:C29"/>
    <mergeCell ref="D48:E48"/>
    <mergeCell ref="A47:C47"/>
    <mergeCell ref="A48:C48"/>
    <mergeCell ref="D47:E47"/>
    <mergeCell ref="A46:I46"/>
    <mergeCell ref="D52:E52"/>
    <mergeCell ref="F49:G49"/>
    <mergeCell ref="A49:C49"/>
    <mergeCell ref="D49:E49"/>
    <mergeCell ref="A45:I45"/>
    <mergeCell ref="A42:C42"/>
    <mergeCell ref="D51:E51"/>
    <mergeCell ref="A43:C43"/>
    <mergeCell ref="A38:C38"/>
    <mergeCell ref="A39:C39"/>
    <mergeCell ref="A40:C40"/>
    <mergeCell ref="F47:G47"/>
  </mergeCells>
  <phoneticPr fontId="0" type="noConversion"/>
  <dataValidations disablePrompts="1"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8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300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 t="s">
        <v>140</v>
      </c>
      <c r="B9" s="1081"/>
      <c r="C9" s="1081"/>
      <c r="D9" s="844" t="e">
        <f t="shared" si="0"/>
        <v>#REF!</v>
      </c>
      <c r="E9" s="12">
        <v>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405</v>
      </c>
      <c r="B10" s="1081"/>
      <c r="C10" s="1081"/>
      <c r="D10" s="844" t="e">
        <f t="shared" si="0"/>
        <v>#REF!</v>
      </c>
      <c r="E10" s="12">
        <v>0.52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109</v>
      </c>
      <c r="B11" s="1081"/>
      <c r="C11" s="1081"/>
      <c r="D11" s="844" t="e">
        <f t="shared" si="0"/>
        <v>#REF!</v>
      </c>
      <c r="E11" s="12">
        <v>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358</v>
      </c>
      <c r="B12" s="1081"/>
      <c r="C12" s="1081"/>
      <c r="D12" s="844" t="e">
        <f t="shared" si="0"/>
        <v>#REF!</v>
      </c>
      <c r="E12" s="12">
        <v>2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320</v>
      </c>
      <c r="B13" s="1081"/>
      <c r="C13" s="1081"/>
      <c r="D13" s="844" t="e">
        <f t="shared" si="0"/>
        <v>#REF!</v>
      </c>
      <c r="E13" s="12">
        <v>2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247</v>
      </c>
      <c r="B14" s="1081"/>
      <c r="C14" s="1081"/>
      <c r="D14" s="844" t="e">
        <f t="shared" si="0"/>
        <v>#REF!</v>
      </c>
      <c r="E14" s="12">
        <v>4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452</v>
      </c>
      <c r="B15" s="1081"/>
      <c r="C15" s="1081"/>
      <c r="D15" s="844" t="e">
        <f t="shared" si="0"/>
        <v>#REF!</v>
      </c>
      <c r="E15" s="12">
        <v>0.52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 t="s">
        <v>264</v>
      </c>
      <c r="B16" s="1081"/>
      <c r="C16" s="1081"/>
      <c r="D16" s="844" t="e">
        <f t="shared" si="0"/>
        <v>#REF!</v>
      </c>
      <c r="E16" s="12">
        <v>2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549">
        <v>1.3480000000000001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2752.23</v>
      </c>
      <c r="I26" s="69"/>
    </row>
    <row r="27" spans="1:12" x14ac:dyDescent="0.2">
      <c r="A27" s="1080" t="s">
        <v>482</v>
      </c>
      <c r="B27" s="1081"/>
      <c r="C27" s="1081"/>
      <c r="D27" s="33">
        <v>2.3E-2</v>
      </c>
      <c r="E27" s="33"/>
      <c r="F27" s="12">
        <f t="shared" si="3"/>
        <v>1590</v>
      </c>
      <c r="G27" s="14">
        <v>1</v>
      </c>
      <c r="H27" s="7">
        <f t="shared" si="4"/>
        <v>69130.429999999993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71882.659999999989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2.8655555718368779</v>
      </c>
      <c r="G48" s="1083"/>
      <c r="H48" s="7">
        <f>IF(A48&lt;&gt;0,ROUND(D48/F48,2),$J$1)</f>
        <v>83340.94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83340.94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83340.94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C5:I5"/>
    <mergeCell ref="B37:C37"/>
    <mergeCell ref="A18:C18"/>
    <mergeCell ref="A19:C19"/>
    <mergeCell ref="A20:C20"/>
    <mergeCell ref="A21:C21"/>
    <mergeCell ref="A26:C26"/>
    <mergeCell ref="A27:C27"/>
    <mergeCell ref="A28:C28"/>
    <mergeCell ref="A29:C29"/>
    <mergeCell ref="A30:C30"/>
    <mergeCell ref="A31:C31"/>
    <mergeCell ref="A32:C32"/>
    <mergeCell ref="A48:C48"/>
    <mergeCell ref="D48:E48"/>
    <mergeCell ref="F48:G48"/>
    <mergeCell ref="A38:C38"/>
    <mergeCell ref="A39:C39"/>
    <mergeCell ref="A40:C40"/>
    <mergeCell ref="B41:C41"/>
    <mergeCell ref="A42:C42"/>
    <mergeCell ref="A43:C43"/>
    <mergeCell ref="A45:I45"/>
    <mergeCell ref="A46:I46"/>
    <mergeCell ref="A47:C47"/>
    <mergeCell ref="D47:E47"/>
    <mergeCell ref="F47:G47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2:C52"/>
    <mergeCell ref="D52:E52"/>
    <mergeCell ref="F52:G52"/>
    <mergeCell ref="A59:G59"/>
    <mergeCell ref="H59:I59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1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197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 t="s">
        <v>372</v>
      </c>
      <c r="B9" s="1081"/>
      <c r="C9" s="1081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285</v>
      </c>
      <c r="B10" s="1081"/>
      <c r="C10" s="1081"/>
      <c r="D10" s="844" t="e">
        <f t="shared" si="0"/>
        <v>#REF!</v>
      </c>
      <c r="E10" s="12">
        <v>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1.97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1883.25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1883.25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399">
        <v>1.236</v>
      </c>
      <c r="G48" s="1399"/>
      <c r="H48" s="7">
        <f>IF(A48&lt;&gt;0,ROUND(D48/F48,2),$J$1)</f>
        <v>193218.51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193218.51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193218.51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B37:C37"/>
    <mergeCell ref="A18:C18"/>
    <mergeCell ref="A19:C19"/>
    <mergeCell ref="A20:C20"/>
    <mergeCell ref="A21:C21"/>
    <mergeCell ref="A26:C26"/>
    <mergeCell ref="A27:C27"/>
    <mergeCell ref="A28:C28"/>
    <mergeCell ref="A29:C29"/>
    <mergeCell ref="A30:C30"/>
    <mergeCell ref="A31:C31"/>
    <mergeCell ref="A32:C32"/>
    <mergeCell ref="A48:C48"/>
    <mergeCell ref="D48:E48"/>
    <mergeCell ref="F48:G48"/>
    <mergeCell ref="A38:C38"/>
    <mergeCell ref="A39:C39"/>
    <mergeCell ref="A40:C40"/>
    <mergeCell ref="B41:C41"/>
    <mergeCell ref="A42:C42"/>
    <mergeCell ref="A43:C43"/>
    <mergeCell ref="A45:I45"/>
    <mergeCell ref="A46:I46"/>
    <mergeCell ref="A47:C47"/>
    <mergeCell ref="D47:E47"/>
    <mergeCell ref="F47:G47"/>
    <mergeCell ref="F52:G52"/>
    <mergeCell ref="A49:C49"/>
    <mergeCell ref="D49:E49"/>
    <mergeCell ref="F49:G49"/>
    <mergeCell ref="A50:C50"/>
    <mergeCell ref="D50:E50"/>
    <mergeCell ref="F50:G50"/>
    <mergeCell ref="A59:G59"/>
    <mergeCell ref="H59:I59"/>
    <mergeCell ref="C5:I5"/>
    <mergeCell ref="A53:H53"/>
    <mergeCell ref="A54:I54"/>
    <mergeCell ref="A55:H55"/>
    <mergeCell ref="A56:H56"/>
    <mergeCell ref="A57:G57"/>
    <mergeCell ref="A58:C58"/>
    <mergeCell ref="D58:E58"/>
    <mergeCell ref="F58:I58"/>
    <mergeCell ref="A51:C51"/>
    <mergeCell ref="D51:E51"/>
    <mergeCell ref="F51:G51"/>
    <mergeCell ref="A52:C52"/>
    <mergeCell ref="D52:E52"/>
  </mergeCells>
  <dataValidations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2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196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 t="s">
        <v>372</v>
      </c>
      <c r="B9" s="1081"/>
      <c r="C9" s="1081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284</v>
      </c>
      <c r="B10" s="1081"/>
      <c r="C10" s="1081"/>
      <c r="D10" s="844" t="e">
        <f t="shared" si="0"/>
        <v>#REF!</v>
      </c>
      <c r="E10" s="12">
        <v>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1.97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1883.25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1883.25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399">
        <v>0.82499999999999996</v>
      </c>
      <c r="G48" s="1399"/>
      <c r="H48" s="7">
        <f>IF(A48&lt;&gt;0,ROUND(D48/F48,2),$J$1)</f>
        <v>289476.46000000002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289476.46000000002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289476.46000000002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B37:C37"/>
    <mergeCell ref="A18:C18"/>
    <mergeCell ref="A19:C19"/>
    <mergeCell ref="A20:C20"/>
    <mergeCell ref="A21:C21"/>
    <mergeCell ref="A26:C26"/>
    <mergeCell ref="A27:C27"/>
    <mergeCell ref="A28:C28"/>
    <mergeCell ref="A29:C29"/>
    <mergeCell ref="A30:C30"/>
    <mergeCell ref="A31:C31"/>
    <mergeCell ref="A32:C32"/>
    <mergeCell ref="A48:C48"/>
    <mergeCell ref="D48:E48"/>
    <mergeCell ref="F48:G48"/>
    <mergeCell ref="A38:C38"/>
    <mergeCell ref="A39:C39"/>
    <mergeCell ref="A40:C40"/>
    <mergeCell ref="B41:C41"/>
    <mergeCell ref="A42:C42"/>
    <mergeCell ref="A43:C43"/>
    <mergeCell ref="A45:I45"/>
    <mergeCell ref="A46:I46"/>
    <mergeCell ref="A47:C47"/>
    <mergeCell ref="D47:E47"/>
    <mergeCell ref="F47:G47"/>
    <mergeCell ref="F52:G52"/>
    <mergeCell ref="A49:C49"/>
    <mergeCell ref="D49:E49"/>
    <mergeCell ref="F49:G49"/>
    <mergeCell ref="A50:C50"/>
    <mergeCell ref="D50:E50"/>
    <mergeCell ref="F50:G50"/>
    <mergeCell ref="A59:G59"/>
    <mergeCell ref="H59:I59"/>
    <mergeCell ref="C5:I5"/>
    <mergeCell ref="A53:H53"/>
    <mergeCell ref="A54:I54"/>
    <mergeCell ref="A55:H55"/>
    <mergeCell ref="A56:H56"/>
    <mergeCell ref="A57:G57"/>
    <mergeCell ref="A58:C58"/>
    <mergeCell ref="D58:E58"/>
    <mergeCell ref="F58:I58"/>
    <mergeCell ref="A51:C51"/>
    <mergeCell ref="D51:E51"/>
    <mergeCell ref="F51:G51"/>
    <mergeCell ref="A52:C52"/>
    <mergeCell ref="D52:E52"/>
  </mergeCells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4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325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1.8740000000000001</v>
      </c>
      <c r="E26" s="33"/>
      <c r="F26" s="12">
        <f t="shared" ref="F26:F32" si="3">IF(A26&lt;&gt;0,VLOOKUP(A26,Equipos,6,FALSE),$J$1)</f>
        <v>3710</v>
      </c>
      <c r="G26" s="14">
        <v>2</v>
      </c>
      <c r="H26" s="7">
        <f t="shared" ref="H26:H32" si="4">IF(A26&lt;&gt;0,ROUND((F26/D26)*G26,2),$J$1)</f>
        <v>3959.45</v>
      </c>
      <c r="I26" s="69"/>
    </row>
    <row r="27" spans="1:12" x14ac:dyDescent="0.2">
      <c r="A27" s="1080" t="s">
        <v>526</v>
      </c>
      <c r="B27" s="1081"/>
      <c r="C27" s="1081"/>
      <c r="D27" s="33">
        <v>2.85</v>
      </c>
      <c r="E27" s="33"/>
      <c r="F27" s="12">
        <f t="shared" si="3"/>
        <v>424000</v>
      </c>
      <c r="G27" s="14">
        <v>0.5</v>
      </c>
      <c r="H27" s="7">
        <f t="shared" si="4"/>
        <v>74385.960000000006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78345.41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2.4729999999999999</v>
      </c>
      <c r="G48" s="1083"/>
      <c r="H48" s="7">
        <f>IF(A48&lt;&gt;0,ROUND(D48/F48,2),$J$1)</f>
        <v>96570.19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96570.19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96570.19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5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324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1.8740000000000001</v>
      </c>
      <c r="E26" s="33"/>
      <c r="F26" s="12">
        <f t="shared" ref="F26:F32" si="3">IF(A26&lt;&gt;0,VLOOKUP(A26,Equipos,6,FALSE),$J$1)</f>
        <v>3710</v>
      </c>
      <c r="G26" s="14">
        <v>2</v>
      </c>
      <c r="H26" s="7">
        <f t="shared" ref="H26:H32" si="4">IF(A26&lt;&gt;0,ROUND((F26/D26)*G26,2),$J$1)</f>
        <v>3959.45</v>
      </c>
      <c r="I26" s="69"/>
    </row>
    <row r="27" spans="1:12" x14ac:dyDescent="0.2">
      <c r="A27" s="1080" t="s">
        <v>526</v>
      </c>
      <c r="B27" s="1081"/>
      <c r="C27" s="1081"/>
      <c r="D27" s="33">
        <v>2.85</v>
      </c>
      <c r="E27" s="33"/>
      <c r="F27" s="12">
        <f t="shared" si="3"/>
        <v>424000</v>
      </c>
      <c r="G27" s="14">
        <v>0.5</v>
      </c>
      <c r="H27" s="7">
        <f t="shared" si="4"/>
        <v>74385.960000000006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78345.41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2.4729999999999999</v>
      </c>
      <c r="G48" s="1083"/>
      <c r="H48" s="7">
        <f>IF(A48&lt;&gt;0,ROUND(D48/F48,2),$J$1)</f>
        <v>96570.19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96570.19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96570.19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6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323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1.8740000000000001</v>
      </c>
      <c r="E26" s="33"/>
      <c r="F26" s="12">
        <f t="shared" ref="F26:F32" si="3">IF(A26&lt;&gt;0,VLOOKUP(A26,Equipos,6,FALSE),$J$1)</f>
        <v>3710</v>
      </c>
      <c r="G26" s="14">
        <v>2</v>
      </c>
      <c r="H26" s="7">
        <f t="shared" ref="H26:H32" si="4">IF(A26&lt;&gt;0,ROUND((F26/D26)*G26,2),$J$1)</f>
        <v>3959.45</v>
      </c>
      <c r="I26" s="69"/>
    </row>
    <row r="27" spans="1:12" x14ac:dyDescent="0.2">
      <c r="A27" s="1080" t="s">
        <v>526</v>
      </c>
      <c r="B27" s="1081"/>
      <c r="C27" s="1081"/>
      <c r="D27" s="33">
        <v>2.85</v>
      </c>
      <c r="E27" s="33"/>
      <c r="F27" s="12">
        <f t="shared" si="3"/>
        <v>424000</v>
      </c>
      <c r="G27" s="14">
        <v>0.5</v>
      </c>
      <c r="H27" s="7">
        <f t="shared" si="4"/>
        <v>74385.960000000006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78345.41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2.4729999999999999</v>
      </c>
      <c r="G48" s="1083"/>
      <c r="H48" s="7">
        <f>IF(A48&lt;&gt;0,ROUND(D48/F48,2),$J$1)</f>
        <v>96570.19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96570.19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96570.19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7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398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526</v>
      </c>
      <c r="B26" s="1081"/>
      <c r="C26" s="1081"/>
      <c r="D26" s="33">
        <v>2.8570000000000002</v>
      </c>
      <c r="E26" s="33"/>
      <c r="F26" s="12">
        <f>IF(A26&lt;&gt;0,VLOOKUP(A26,Equipos,6,FALSE),$J$1)</f>
        <v>424000</v>
      </c>
      <c r="G26" s="14">
        <v>0.5</v>
      </c>
      <c r="H26" s="7">
        <f t="shared" ref="H26:H32" si="3">IF(A26&lt;&gt;0,ROUND((F26/D26)*G26,2),$J$1)</f>
        <v>74203.710000000006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ref="F27:F32" si="4">IF(A27&lt;&gt;0,VLOOKUP(A27,Equipos,6,FALSE),$J$1)</f>
        <v>-</v>
      </c>
      <c r="G27" s="14"/>
      <c r="H27" s="7" t="str">
        <f t="shared" si="3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4"/>
        <v>-</v>
      </c>
      <c r="G28" s="14"/>
      <c r="H28" s="7" t="str">
        <f t="shared" si="3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4"/>
        <v>-</v>
      </c>
      <c r="G29" s="14"/>
      <c r="H29" s="7" t="str">
        <f t="shared" si="3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4"/>
        <v>-</v>
      </c>
      <c r="G30" s="387"/>
      <c r="H30" s="372" t="str">
        <f t="shared" si="3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4"/>
        <v>-</v>
      </c>
      <c r="G31" s="387"/>
      <c r="H31" s="372" t="str">
        <f t="shared" si="3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4"/>
        <v>-</v>
      </c>
      <c r="G32" s="333"/>
      <c r="H32" s="334" t="str">
        <f t="shared" si="3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74203.710000000006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399">
        <v>1.79</v>
      </c>
      <c r="G48" s="1399"/>
      <c r="H48" s="7">
        <f>IF(A48&lt;&gt;0,ROUND(D48/F48,2),$J$1)</f>
        <v>133417.92000000001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133417.92000000001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133417.92000000001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9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399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526</v>
      </c>
      <c r="B26" s="1081"/>
      <c r="C26" s="1081"/>
      <c r="D26" s="33">
        <v>2.8570000000000002</v>
      </c>
      <c r="E26" s="33"/>
      <c r="F26" s="12">
        <f t="shared" ref="F26:F32" si="3">IF(A26&lt;&gt;0,VLOOKUP(A26,Equipos,6,FALSE),$J$1)</f>
        <v>424000</v>
      </c>
      <c r="G26" s="14">
        <v>0.5</v>
      </c>
      <c r="H26" s="7">
        <f t="shared" ref="H26:H32" si="4">IF(A26&lt;&gt;0,ROUND((F26/D26)*G26,2),$J$1)</f>
        <v>74203.710000000006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74203.710000000006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1.79</v>
      </c>
      <c r="G48" s="1083"/>
      <c r="H48" s="7">
        <f>IF(A48&lt;&gt;0,ROUND(D48/F48,2),$J$1)</f>
        <v>133417.92000000001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133417.92000000001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133417.92000000001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disablePrompts="1"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2">
    <tabColor rgb="FF99CC00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0" width="9.140625" style="1"/>
    <col min="11" max="11" width="16.140625" style="1" bestFit="1" customWidth="1"/>
    <col min="12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93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47" t="s">
        <v>2297</v>
      </c>
      <c r="C5" s="1227" t="s">
        <v>2311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155</v>
      </c>
    </row>
    <row r="7" spans="1:10" s="11" customFormat="1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2310</v>
      </c>
      <c r="G7" s="254"/>
      <c r="H7" s="879" t="s">
        <v>2293</v>
      </c>
      <c r="I7" s="72"/>
    </row>
    <row r="8" spans="1:10" x14ac:dyDescent="0.2">
      <c r="A8" s="1215" t="s">
        <v>210</v>
      </c>
      <c r="B8" s="1216"/>
      <c r="C8" s="1217"/>
      <c r="D8" s="851" t="e">
        <f>IF(A8&lt;&gt;0,VLOOKUP(A8,Materiales,2,FALSE),$J$1)</f>
        <v>#REF!</v>
      </c>
      <c r="E8" s="12">
        <v>370</v>
      </c>
      <c r="F8" s="21" t="e">
        <f>IF(A8&lt;&gt;0,VLOOKUP(A8,Materiales,6,FALSE),$J$1)</f>
        <v>#REF!</v>
      </c>
      <c r="G8" s="22"/>
      <c r="H8" s="8" t="e">
        <f t="shared" ref="H8:H18" si="0">IF(A8&lt;&gt;0,ROUND(E8*F8,2),$J$1)</f>
        <v>#REF!</v>
      </c>
      <c r="I8" s="69"/>
    </row>
    <row r="9" spans="1:10" x14ac:dyDescent="0.2">
      <c r="A9" s="1215" t="s">
        <v>158</v>
      </c>
      <c r="B9" s="1216"/>
      <c r="C9" s="1217"/>
      <c r="D9" s="851" t="e">
        <f t="shared" ref="D9:D18" si="1">IF(A9&lt;&gt;0,VLOOKUP(A9,Materiales,2,FALSE),$J$1)</f>
        <v>#REF!</v>
      </c>
      <c r="E9" s="13">
        <v>0.56000000000000005</v>
      </c>
      <c r="F9" s="21" t="e">
        <f>IF(A9&lt;&gt;0,VLOOKUP(A9,Materiales,6,FALSE),$J$1)</f>
        <v>#REF!</v>
      </c>
      <c r="G9" s="22"/>
      <c r="H9" s="8" t="e">
        <f t="shared" si="0"/>
        <v>#REF!</v>
      </c>
      <c r="I9" s="69"/>
    </row>
    <row r="10" spans="1:10" x14ac:dyDescent="0.2">
      <c r="A10" s="1215" t="s">
        <v>401</v>
      </c>
      <c r="B10" s="1216"/>
      <c r="C10" s="1217"/>
      <c r="D10" s="851" t="e">
        <f t="shared" si="1"/>
        <v>#REF!</v>
      </c>
      <c r="E10" s="13">
        <v>0.84</v>
      </c>
      <c r="F10" s="21" t="e">
        <f>IF(A10&lt;&gt;0,VLOOKUP(A10,Materiales,6,FALSE),$J$1)</f>
        <v>#REF!</v>
      </c>
      <c r="G10" s="22"/>
      <c r="H10" s="8" t="e">
        <f t="shared" si="0"/>
        <v>#REF!</v>
      </c>
      <c r="I10" s="69"/>
    </row>
    <row r="11" spans="1:10" x14ac:dyDescent="0.2">
      <c r="A11" s="871" t="s">
        <v>139</v>
      </c>
      <c r="B11" s="872"/>
      <c r="C11" s="873"/>
      <c r="D11" s="851" t="e">
        <f t="shared" si="1"/>
        <v>#REF!</v>
      </c>
      <c r="E11" s="12">
        <v>210</v>
      </c>
      <c r="F11" s="21" t="e">
        <f>IF(A11&lt;&gt;0,VLOOKUP(A11,Materiales,6,FALSE),$J$1)</f>
        <v>#REF!</v>
      </c>
      <c r="G11" s="22"/>
      <c r="H11" s="8" t="e">
        <f t="shared" si="0"/>
        <v>#REF!</v>
      </c>
      <c r="I11" s="69"/>
    </row>
    <row r="12" spans="1:10" x14ac:dyDescent="0.2">
      <c r="A12" s="871"/>
      <c r="B12" s="872"/>
      <c r="C12" s="873"/>
      <c r="D12" s="851" t="str">
        <f t="shared" si="1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0"/>
        <v>-</v>
      </c>
      <c r="I12" s="69"/>
    </row>
    <row r="13" spans="1:10" x14ac:dyDescent="0.2">
      <c r="A13" s="871"/>
      <c r="B13" s="872"/>
      <c r="C13" s="873"/>
      <c r="D13" s="851" t="str">
        <f t="shared" si="1"/>
        <v>-</v>
      </c>
      <c r="E13" s="12"/>
      <c r="F13" s="21" t="str">
        <f t="shared" si="2"/>
        <v>-</v>
      </c>
      <c r="G13" s="22"/>
      <c r="H13" s="8" t="str">
        <f t="shared" si="0"/>
        <v>-</v>
      </c>
      <c r="I13" s="69"/>
    </row>
    <row r="14" spans="1:10" x14ac:dyDescent="0.2">
      <c r="A14" s="871"/>
      <c r="B14" s="872"/>
      <c r="C14" s="873"/>
      <c r="D14" s="851" t="str">
        <f t="shared" si="1"/>
        <v>-</v>
      </c>
      <c r="E14" s="12"/>
      <c r="F14" s="21" t="str">
        <f t="shared" si="2"/>
        <v>-</v>
      </c>
      <c r="G14" s="22"/>
      <c r="H14" s="8" t="str">
        <f t="shared" si="0"/>
        <v>-</v>
      </c>
      <c r="I14" s="69"/>
    </row>
    <row r="15" spans="1:10" x14ac:dyDescent="0.2">
      <c r="A15" s="871"/>
      <c r="B15" s="872"/>
      <c r="C15" s="873"/>
      <c r="D15" s="851" t="str">
        <f t="shared" si="1"/>
        <v>-</v>
      </c>
      <c r="E15" s="12"/>
      <c r="F15" s="21" t="str">
        <f t="shared" si="2"/>
        <v>-</v>
      </c>
      <c r="G15" s="22"/>
      <c r="H15" s="8" t="str">
        <f t="shared" si="0"/>
        <v>-</v>
      </c>
      <c r="I15" s="69"/>
    </row>
    <row r="16" spans="1:10" x14ac:dyDescent="0.2">
      <c r="A16" s="871"/>
      <c r="B16" s="872"/>
      <c r="C16" s="873"/>
      <c r="D16" s="851" t="str">
        <f t="shared" si="1"/>
        <v>-</v>
      </c>
      <c r="E16" s="12"/>
      <c r="F16" s="21" t="str">
        <f t="shared" si="2"/>
        <v>-</v>
      </c>
      <c r="G16" s="22"/>
      <c r="H16" s="8" t="str">
        <f t="shared" si="0"/>
        <v>-</v>
      </c>
      <c r="I16" s="69"/>
    </row>
    <row r="17" spans="1:11" x14ac:dyDescent="0.2">
      <c r="A17" s="871"/>
      <c r="B17" s="872"/>
      <c r="C17" s="873"/>
      <c r="D17" s="851" t="str">
        <f t="shared" si="1"/>
        <v>-</v>
      </c>
      <c r="E17" s="12"/>
      <c r="F17" s="21" t="str">
        <f t="shared" si="2"/>
        <v>-</v>
      </c>
      <c r="G17" s="22"/>
      <c r="H17" s="8" t="str">
        <f t="shared" si="0"/>
        <v>-</v>
      </c>
      <c r="I17" s="69"/>
    </row>
    <row r="18" spans="1:11" x14ac:dyDescent="0.2">
      <c r="A18" s="871"/>
      <c r="B18" s="872"/>
      <c r="C18" s="873"/>
      <c r="D18" s="851" t="str">
        <f t="shared" si="1"/>
        <v>-</v>
      </c>
      <c r="E18" s="12"/>
      <c r="F18" s="21" t="str">
        <f t="shared" si="2"/>
        <v>-</v>
      </c>
      <c r="G18" s="22"/>
      <c r="H18" s="8" t="str">
        <f t="shared" si="0"/>
        <v>-</v>
      </c>
      <c r="I18" s="73"/>
    </row>
    <row r="19" spans="1:11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11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11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11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11" x14ac:dyDescent="0.2">
      <c r="A23" s="871" t="s">
        <v>477</v>
      </c>
      <c r="B23" s="872"/>
      <c r="C23" s="873"/>
      <c r="D23" s="26">
        <v>5</v>
      </c>
      <c r="E23" s="28"/>
      <c r="F23" s="12">
        <f>IF(A23&lt;&gt;0,VLOOKUP(A23,Equipos,6,FALSE),$J$1)</f>
        <v>3710</v>
      </c>
      <c r="G23" s="14">
        <v>1</v>
      </c>
      <c r="H23" s="8">
        <f t="shared" ref="H23:H29" si="3">IF(A23&lt;&gt;0,ROUND((F23/D23)*G23,2),$J$1)</f>
        <v>742</v>
      </c>
      <c r="I23" s="69"/>
    </row>
    <row r="24" spans="1:11" x14ac:dyDescent="0.2">
      <c r="A24" s="871" t="s">
        <v>478</v>
      </c>
      <c r="B24" s="872"/>
      <c r="C24" s="873"/>
      <c r="D24" s="26">
        <f>48/8</f>
        <v>6</v>
      </c>
      <c r="E24" s="28"/>
      <c r="F24" s="12">
        <f t="shared" ref="F24:F29" si="4">IF(A24&lt;&gt;0,VLOOKUP(A24,Equipos,6,FALSE),$J$1)</f>
        <v>63600</v>
      </c>
      <c r="G24" s="14">
        <v>1</v>
      </c>
      <c r="H24" s="8">
        <f t="shared" si="3"/>
        <v>10600</v>
      </c>
      <c r="I24" s="69"/>
    </row>
    <row r="25" spans="1:11" x14ac:dyDescent="0.2">
      <c r="A25" s="871"/>
      <c r="B25" s="872"/>
      <c r="C25" s="873"/>
      <c r="D25" s="26"/>
      <c r="E25" s="28"/>
      <c r="F25" s="12" t="str">
        <f t="shared" si="4"/>
        <v>-</v>
      </c>
      <c r="G25" s="14"/>
      <c r="H25" s="8" t="str">
        <f t="shared" si="3"/>
        <v>-</v>
      </c>
      <c r="I25" s="69"/>
      <c r="K25" s="455"/>
    </row>
    <row r="26" spans="1:11" x14ac:dyDescent="0.2">
      <c r="A26" s="871"/>
      <c r="B26" s="872"/>
      <c r="C26" s="873"/>
      <c r="D26" s="26"/>
      <c r="E26" s="28"/>
      <c r="F26" s="12" t="str">
        <f t="shared" si="4"/>
        <v>-</v>
      </c>
      <c r="G26" s="14"/>
      <c r="H26" s="8" t="str">
        <f t="shared" si="3"/>
        <v>-</v>
      </c>
      <c r="I26" s="69"/>
      <c r="K26" s="455"/>
    </row>
    <row r="27" spans="1:11" x14ac:dyDescent="0.2">
      <c r="A27" s="871"/>
      <c r="B27" s="872"/>
      <c r="C27" s="873"/>
      <c r="D27" s="26"/>
      <c r="E27" s="28"/>
      <c r="F27" s="12" t="str">
        <f t="shared" si="4"/>
        <v>-</v>
      </c>
      <c r="G27" s="14"/>
      <c r="H27" s="8" t="str">
        <f t="shared" si="3"/>
        <v>-</v>
      </c>
      <c r="I27" s="69"/>
      <c r="K27" s="455"/>
    </row>
    <row r="28" spans="1:11" x14ac:dyDescent="0.2">
      <c r="A28" s="871"/>
      <c r="B28" s="872"/>
      <c r="C28" s="873"/>
      <c r="D28" s="26"/>
      <c r="E28" s="28"/>
      <c r="F28" s="12" t="str">
        <f t="shared" si="4"/>
        <v>-</v>
      </c>
      <c r="G28" s="14"/>
      <c r="H28" s="8" t="str">
        <f t="shared" si="3"/>
        <v>-</v>
      </c>
      <c r="I28" s="69"/>
      <c r="K28" s="455"/>
    </row>
    <row r="29" spans="1:11" x14ac:dyDescent="0.2">
      <c r="A29" s="871"/>
      <c r="B29" s="872"/>
      <c r="C29" s="873"/>
      <c r="D29" s="26"/>
      <c r="E29" s="28"/>
      <c r="F29" s="12" t="str">
        <f t="shared" si="4"/>
        <v>-</v>
      </c>
      <c r="G29" s="14"/>
      <c r="H29" s="8" t="str">
        <f t="shared" si="3"/>
        <v>-</v>
      </c>
      <c r="I29" s="73"/>
    </row>
    <row r="30" spans="1:11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11342</v>
      </c>
    </row>
    <row r="31" spans="1:11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11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12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69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69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12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69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SUM(I34:I39)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55</v>
      </c>
      <c r="B45" s="1216"/>
      <c r="C45" s="1217"/>
      <c r="D45" s="1225">
        <f>IF(A45&lt;&gt;0,VLOOKUP(A45,Cuadrillas,7,FALSE),$J$1)</f>
        <v>447453.25</v>
      </c>
      <c r="E45" s="1226"/>
      <c r="F45" s="1221">
        <v>5</v>
      </c>
      <c r="G45" s="1222"/>
      <c r="H45" s="8">
        <f>IF(A45&lt;&gt;0,ROUND(D45/F45,2),$J$1)</f>
        <v>89490.65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89490.65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89490.65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/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39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4:C44"/>
    <mergeCell ref="D44:E44"/>
    <mergeCell ref="F44:G44"/>
    <mergeCell ref="A1:C1"/>
    <mergeCell ref="H1:I1"/>
    <mergeCell ref="C5:I5"/>
    <mergeCell ref="A8:C8"/>
    <mergeCell ref="A9:C9"/>
    <mergeCell ref="A10:C10"/>
    <mergeCell ref="B34:C34"/>
    <mergeCell ref="B38:C38"/>
    <mergeCell ref="A41:H41"/>
    <mergeCell ref="A42:I42"/>
    <mergeCell ref="A43:I43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C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1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0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400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526</v>
      </c>
      <c r="B26" s="1081"/>
      <c r="C26" s="1081"/>
      <c r="D26" s="33">
        <v>2.8570000000000002</v>
      </c>
      <c r="E26" s="33"/>
      <c r="F26" s="12">
        <f t="shared" ref="F26:F32" si="3">IF(A26&lt;&gt;0,VLOOKUP(A26,Equipos,6,FALSE),$J$1)</f>
        <v>424000</v>
      </c>
      <c r="G26" s="14">
        <v>0.5</v>
      </c>
      <c r="H26" s="7">
        <f t="shared" ref="H26:H32" si="4">IF(A26&lt;&gt;0,ROUND((F26/D26)*G26,2),$J$1)</f>
        <v>74203.710000000006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74203.710000000006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1.79</v>
      </c>
      <c r="G48" s="1083"/>
      <c r="H48" s="7">
        <f>IF(A48&lt;&gt;0,ROUND(D48/F48,2),$J$1)</f>
        <v>133417.92000000001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133417.92000000001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133417.92000000001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1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141</v>
      </c>
      <c r="B8" s="1081"/>
      <c r="C8" s="1081"/>
      <c r="D8" s="844" t="e">
        <f t="shared" ref="D8:D21" si="0">IF(A8&lt;&gt;0,VLOOKUP(A8,Materiales,2,FALSE),$J$1)</f>
        <v>#REF!</v>
      </c>
      <c r="E8" s="12">
        <v>3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 t="s">
        <v>234</v>
      </c>
      <c r="B9" s="1081"/>
      <c r="C9" s="1081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236</v>
      </c>
      <c r="B10" s="1081"/>
      <c r="C10" s="1081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312</v>
      </c>
      <c r="B11" s="1081"/>
      <c r="C11" s="1081"/>
      <c r="D11" s="844" t="e">
        <f t="shared" si="0"/>
        <v>#REF!</v>
      </c>
      <c r="E11" s="12">
        <v>12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0.24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15458.33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15458.33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1.79</v>
      </c>
      <c r="G48" s="1083"/>
      <c r="H48" s="7">
        <f>IF(A48&lt;&gt;0,ROUND(D48/F48,2),$J$1)</f>
        <v>133417.92000000001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133417.92000000001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133417.92000000001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2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141</v>
      </c>
      <c r="B8" s="1081"/>
      <c r="C8" s="1081"/>
      <c r="D8" s="844" t="e">
        <f t="shared" ref="D8:D21" si="0">IF(A8&lt;&gt;0,VLOOKUP(A8,Materiales,2,FALSE),$J$1)</f>
        <v>#REF!</v>
      </c>
      <c r="E8" s="12">
        <v>3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 t="s">
        <v>234</v>
      </c>
      <c r="B9" s="1081"/>
      <c r="C9" s="1081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236</v>
      </c>
      <c r="B10" s="1081"/>
      <c r="C10" s="1081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312</v>
      </c>
      <c r="B11" s="1081"/>
      <c r="C11" s="1081"/>
      <c r="D11" s="844" t="e">
        <f t="shared" si="0"/>
        <v>#REF!</v>
      </c>
      <c r="E11" s="12">
        <v>12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387</v>
      </c>
      <c r="B12" s="1081"/>
      <c r="C12" s="1081"/>
      <c r="D12" s="844" t="e">
        <f t="shared" si="0"/>
        <v>#REF!</v>
      </c>
      <c r="E12" s="12">
        <v>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0.24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15458.33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15458.33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1.79</v>
      </c>
      <c r="G48" s="1083"/>
      <c r="H48" s="7">
        <f>IF(A48&lt;&gt;0,ROUND(D48/F48,2),$J$1)</f>
        <v>133417.92000000001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133417.92000000001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133417.92000000001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3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141</v>
      </c>
      <c r="B8" s="1081"/>
      <c r="C8" s="1081"/>
      <c r="D8" s="844" t="e">
        <f t="shared" ref="D8:D21" si="0">IF(A8&lt;&gt;0,VLOOKUP(A8,Materiales,2,FALSE),$J$1)</f>
        <v>#REF!</v>
      </c>
      <c r="E8" s="12">
        <v>3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 t="s">
        <v>234</v>
      </c>
      <c r="B9" s="1081"/>
      <c r="C9" s="1081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236</v>
      </c>
      <c r="B10" s="1081"/>
      <c r="C10" s="1081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312</v>
      </c>
      <c r="B11" s="1081"/>
      <c r="C11" s="1081"/>
      <c r="D11" s="844" t="e">
        <f t="shared" si="0"/>
        <v>#REF!</v>
      </c>
      <c r="E11" s="12">
        <v>12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387</v>
      </c>
      <c r="B12" s="1081"/>
      <c r="C12" s="1081"/>
      <c r="D12" s="844" t="e">
        <f t="shared" si="0"/>
        <v>#REF!</v>
      </c>
      <c r="E12" s="12">
        <v>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327</v>
      </c>
      <c r="B13" s="1081"/>
      <c r="C13" s="1081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283</v>
      </c>
      <c r="B14" s="1081"/>
      <c r="C14" s="1081"/>
      <c r="D14" s="844" t="e">
        <f t="shared" si="0"/>
        <v>#REF!</v>
      </c>
      <c r="E14" s="12">
        <v>1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0.24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15458.33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15458.33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1.79</v>
      </c>
      <c r="G48" s="1083"/>
      <c r="H48" s="7">
        <f>IF(A48&lt;&gt;0,ROUND(D48/F48,2),$J$1)</f>
        <v>133417.92000000001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133417.92000000001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133417.92000000001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7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180</v>
      </c>
      <c r="B8" s="1081"/>
      <c r="C8" s="1081"/>
      <c r="D8" s="844" t="e">
        <f t="shared" ref="D8:D21" si="0">IF(A8&lt;&gt;0,VLOOKUP(A8,Materiales,2,FALSE),$J$1)</f>
        <v>#REF!</v>
      </c>
      <c r="E8" s="12">
        <v>3.09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12.068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307.42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307.42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44.766510212381363</v>
      </c>
      <c r="G48" s="1083"/>
      <c r="H48" s="7">
        <f>IF(A48&lt;&gt;0,ROUND(D48/F48,2),$J$1)</f>
        <v>5334.75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5334.75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5334.75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8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180</v>
      </c>
      <c r="B8" s="1081"/>
      <c r="C8" s="1081"/>
      <c r="D8" s="844" t="e">
        <f t="shared" ref="D8:D21" si="0">IF(A8&lt;&gt;0,VLOOKUP(A8,Materiales,2,FALSE),$J$1)</f>
        <v>#REF!</v>
      </c>
      <c r="E8" s="12">
        <v>2.06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12.068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307.42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307.42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59.676000000000002</v>
      </c>
      <c r="G48" s="1083"/>
      <c r="H48" s="7">
        <f>IF(A48&lt;&gt;0,ROUND(D48/F48,2),$J$1)</f>
        <v>4001.91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4001.91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4001.91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9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181</v>
      </c>
      <c r="B8" s="1081"/>
      <c r="C8" s="1081"/>
      <c r="D8" s="844" t="e">
        <f t="shared" ref="D8:D21" si="0">IF(A8&lt;&gt;0,VLOOKUP(A8,Materiales,2,FALSE),$J$1)</f>
        <v>#REF!</v>
      </c>
      <c r="E8" s="12">
        <v>3.09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12.068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307.42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307.42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44.765999999999998</v>
      </c>
      <c r="G48" s="1083"/>
      <c r="H48" s="7">
        <f>IF(A48&lt;&gt;0,ROUND(D48/F48,2),$J$1)</f>
        <v>5334.81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5334.81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5334.81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0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181</v>
      </c>
      <c r="B8" s="1081"/>
      <c r="C8" s="1081"/>
      <c r="D8" s="844" t="e">
        <f t="shared" ref="D8:D21" si="0">IF(A8&lt;&gt;0,VLOOKUP(A8,Materiales,2,FALSE),$J$1)</f>
        <v>#REF!</v>
      </c>
      <c r="E8" s="12">
        <v>2.06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12.068</v>
      </c>
      <c r="E26" s="33"/>
      <c r="F26" s="12">
        <f t="shared" ref="F26:F32" si="3">IF(A26&lt;&gt;0,VLOOKUP(A26,Equipos,6,FALSE),$J$1)</f>
        <v>3710</v>
      </c>
      <c r="G26" s="14">
        <v>1</v>
      </c>
      <c r="H26" s="7">
        <f t="shared" ref="H26:H32" si="4">IF(A26&lt;&gt;0,ROUND((F26/D26)*G26,2),$J$1)</f>
        <v>307.42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307.42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59.67</v>
      </c>
      <c r="G48" s="1083"/>
      <c r="H48" s="7">
        <f>IF(A48&lt;&gt;0,ROUND(D48/F48,2),$J$1)</f>
        <v>4002.31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4002.31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4002.31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2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232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 t="s">
        <v>203</v>
      </c>
      <c r="B9" s="1081"/>
      <c r="C9" s="1081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2.6960000000000002</v>
      </c>
      <c r="E26" s="33"/>
      <c r="F26" s="12">
        <f t="shared" ref="F26:F32" si="3">IF(A26&lt;&gt;0,VLOOKUP(A26,Equipos,6,FALSE),$J$1)</f>
        <v>3710</v>
      </c>
      <c r="G26" s="14">
        <v>2</v>
      </c>
      <c r="H26" s="7">
        <f t="shared" ref="H26:H32" si="4">IF(A26&lt;&gt;0,ROUND((F26/D26)*G26,2),$J$1)</f>
        <v>2752.23</v>
      </c>
      <c r="I26" s="69"/>
    </row>
    <row r="27" spans="1:12" x14ac:dyDescent="0.2">
      <c r="A27" s="1080" t="s">
        <v>482</v>
      </c>
      <c r="B27" s="1081"/>
      <c r="C27" s="1081"/>
      <c r="D27" s="33">
        <v>0.92100000000000004</v>
      </c>
      <c r="E27" s="33"/>
      <c r="F27" s="12">
        <f t="shared" si="3"/>
        <v>1590</v>
      </c>
      <c r="G27" s="14">
        <v>1</v>
      </c>
      <c r="H27" s="7">
        <f t="shared" si="4"/>
        <v>1726.38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4478.6100000000006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1.91</v>
      </c>
      <c r="G48" s="1083"/>
      <c r="H48" s="7">
        <f>IF(A48&lt;&gt;0,ROUND(D48/F48,2),$J$1)</f>
        <v>125035.65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11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11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11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125035.65</v>
      </c>
    </row>
    <row r="54" spans="1:11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11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  <c r="K55" s="1" t="s">
        <v>2235</v>
      </c>
    </row>
    <row r="56" spans="1:11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125035.65</v>
      </c>
    </row>
    <row r="57" spans="1:11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11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11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11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3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203</v>
      </c>
      <c r="B8" s="1081"/>
      <c r="C8" s="1081"/>
      <c r="D8" s="844" t="e">
        <f t="shared" ref="D8:D21" si="0">IF(A8&lt;&gt;0,VLOOKUP(A8,Materiales,2,FALSE),$J$1)</f>
        <v>#REF!</v>
      </c>
      <c r="E8" s="12">
        <v>1</v>
      </c>
      <c r="F8" s="58" t="e">
        <f t="shared" ref="F8:F21" si="1">IF(A8&lt;&gt;0,VLOOKUP(A8,Materiales,6,FALSE),$J$1)</f>
        <v>#REF!</v>
      </c>
      <c r="G8" s="58"/>
      <c r="H8" s="7" t="e">
        <f t="shared" ref="H8:H21" si="2">IF(A8&lt;&gt;0,ROUND(E8*F8,2),$J$1)</f>
        <v>#REF!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 t="e">
        <f>SUM(H8:H21)</f>
        <v>#REF!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2.6960000000000002</v>
      </c>
      <c r="E26" s="33"/>
      <c r="F26" s="12">
        <f t="shared" ref="F26:F32" si="3">IF(A26&lt;&gt;0,VLOOKUP(A26,Equipos,6,FALSE),$J$1)</f>
        <v>3710</v>
      </c>
      <c r="G26" s="14">
        <v>2</v>
      </c>
      <c r="H26" s="7">
        <f t="shared" ref="H26:H32" si="4">IF(A26&lt;&gt;0,ROUND((F26/D26)*G26,2),$J$1)</f>
        <v>2752.23</v>
      </c>
      <c r="I26" s="69"/>
    </row>
    <row r="27" spans="1:12" x14ac:dyDescent="0.2">
      <c r="A27" s="1080" t="s">
        <v>482</v>
      </c>
      <c r="B27" s="1081"/>
      <c r="C27" s="1081"/>
      <c r="D27" s="33">
        <v>0.92100000000000004</v>
      </c>
      <c r="E27" s="33"/>
      <c r="F27" s="12">
        <f t="shared" si="3"/>
        <v>1590</v>
      </c>
      <c r="G27" s="14">
        <v>1</v>
      </c>
      <c r="H27" s="7">
        <f t="shared" si="4"/>
        <v>1726.38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4478.6100000000006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1.7190000000000001</v>
      </c>
      <c r="G48" s="1083"/>
      <c r="H48" s="7">
        <f>IF(A48&lt;&gt;0,ROUND(D48/F48,2),$J$1)</f>
        <v>138928.5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138928.5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 t="e">
        <f>I22+I33+I44</f>
        <v>#REF!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138928.5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4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8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3">
    <tabColor rgb="FF99CC00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93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47" t="s">
        <v>2297</v>
      </c>
      <c r="C5" s="1227" t="s">
        <v>2312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155</v>
      </c>
    </row>
    <row r="7" spans="1:10" s="11" customFormat="1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2310</v>
      </c>
      <c r="G7" s="254"/>
      <c r="H7" s="879" t="s">
        <v>2293</v>
      </c>
      <c r="I7" s="72"/>
    </row>
    <row r="8" spans="1:10" x14ac:dyDescent="0.2">
      <c r="A8" s="1215" t="s">
        <v>210</v>
      </c>
      <c r="B8" s="1216"/>
      <c r="C8" s="1217"/>
      <c r="D8" s="851" t="e">
        <f>IF(A8&lt;&gt;0,VLOOKUP(A8,Materiales,2,FALSE),$J$1)</f>
        <v>#REF!</v>
      </c>
      <c r="E8" s="12">
        <v>400</v>
      </c>
      <c r="F8" s="21" t="e">
        <f>IF(A8&lt;&gt;0,VLOOKUP(A8,Materiales,6,FALSE),$J$1)</f>
        <v>#REF!</v>
      </c>
      <c r="G8" s="22"/>
      <c r="H8" s="8" t="e">
        <f t="shared" ref="H8:H18" si="0">IF(A8&lt;&gt;0,ROUND(E8*F8,2),$J$1)</f>
        <v>#REF!</v>
      </c>
      <c r="I8" s="69"/>
    </row>
    <row r="9" spans="1:10" x14ac:dyDescent="0.2">
      <c r="A9" s="1215" t="s">
        <v>158</v>
      </c>
      <c r="B9" s="1216"/>
      <c r="C9" s="1217"/>
      <c r="D9" s="851" t="e">
        <f t="shared" ref="D9:D18" si="1">IF(A9&lt;&gt;0,VLOOKUP(A9,Materiales,2,FALSE),$J$1)</f>
        <v>#REF!</v>
      </c>
      <c r="E9" s="13">
        <v>0.56000000000000005</v>
      </c>
      <c r="F9" s="21" t="e">
        <f>IF(A9&lt;&gt;0,VLOOKUP(A9,Materiales,6,FALSE),$J$1)</f>
        <v>#REF!</v>
      </c>
      <c r="G9" s="22"/>
      <c r="H9" s="8" t="e">
        <f t="shared" si="0"/>
        <v>#REF!</v>
      </c>
      <c r="I9" s="69"/>
    </row>
    <row r="10" spans="1:10" x14ac:dyDescent="0.2">
      <c r="A10" s="1215" t="s">
        <v>401</v>
      </c>
      <c r="B10" s="1216"/>
      <c r="C10" s="1217"/>
      <c r="D10" s="851" t="e">
        <f t="shared" si="1"/>
        <v>#REF!</v>
      </c>
      <c r="E10" s="13">
        <v>0.84</v>
      </c>
      <c r="F10" s="21" t="e">
        <f>IF(A10&lt;&gt;0,VLOOKUP(A10,Materiales,6,FALSE),$J$1)</f>
        <v>#REF!</v>
      </c>
      <c r="G10" s="22"/>
      <c r="H10" s="8" t="e">
        <f t="shared" si="0"/>
        <v>#REF!</v>
      </c>
      <c r="I10" s="69"/>
    </row>
    <row r="11" spans="1:10" x14ac:dyDescent="0.2">
      <c r="A11" s="871" t="s">
        <v>139</v>
      </c>
      <c r="B11" s="872"/>
      <c r="C11" s="873"/>
      <c r="D11" s="851" t="e">
        <f t="shared" si="1"/>
        <v>#REF!</v>
      </c>
      <c r="E11" s="12">
        <v>210</v>
      </c>
      <c r="F11" s="21" t="e">
        <f>IF(A11&lt;&gt;0,VLOOKUP(A11,Materiales,6,FALSE),$J$1)</f>
        <v>#REF!</v>
      </c>
      <c r="G11" s="22"/>
      <c r="H11" s="8" t="e">
        <f t="shared" si="0"/>
        <v>#REF!</v>
      </c>
      <c r="I11" s="69"/>
    </row>
    <row r="12" spans="1:10" x14ac:dyDescent="0.2">
      <c r="A12" s="871"/>
      <c r="B12" s="872"/>
      <c r="C12" s="873"/>
      <c r="D12" s="851" t="str">
        <f t="shared" si="1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0"/>
        <v>-</v>
      </c>
      <c r="I12" s="69"/>
    </row>
    <row r="13" spans="1:10" x14ac:dyDescent="0.2">
      <c r="A13" s="871"/>
      <c r="B13" s="872"/>
      <c r="C13" s="873"/>
      <c r="D13" s="851" t="str">
        <f t="shared" si="1"/>
        <v>-</v>
      </c>
      <c r="E13" s="12"/>
      <c r="F13" s="21" t="str">
        <f t="shared" si="2"/>
        <v>-</v>
      </c>
      <c r="G13" s="22"/>
      <c r="H13" s="8" t="str">
        <f t="shared" si="0"/>
        <v>-</v>
      </c>
      <c r="I13" s="69"/>
    </row>
    <row r="14" spans="1:10" x14ac:dyDescent="0.2">
      <c r="A14" s="871"/>
      <c r="B14" s="872"/>
      <c r="C14" s="873"/>
      <c r="D14" s="851" t="str">
        <f t="shared" si="1"/>
        <v>-</v>
      </c>
      <c r="E14" s="12"/>
      <c r="F14" s="21" t="str">
        <f t="shared" si="2"/>
        <v>-</v>
      </c>
      <c r="G14" s="22"/>
      <c r="H14" s="8" t="str">
        <f t="shared" si="0"/>
        <v>-</v>
      </c>
      <c r="I14" s="69"/>
    </row>
    <row r="15" spans="1:10" x14ac:dyDescent="0.2">
      <c r="A15" s="871"/>
      <c r="B15" s="872"/>
      <c r="C15" s="873"/>
      <c r="D15" s="851" t="str">
        <f t="shared" si="1"/>
        <v>-</v>
      </c>
      <c r="E15" s="12"/>
      <c r="F15" s="21" t="str">
        <f t="shared" si="2"/>
        <v>-</v>
      </c>
      <c r="G15" s="22"/>
      <c r="H15" s="8" t="str">
        <f t="shared" si="0"/>
        <v>-</v>
      </c>
      <c r="I15" s="69"/>
    </row>
    <row r="16" spans="1:10" x14ac:dyDescent="0.2">
      <c r="A16" s="871"/>
      <c r="B16" s="872"/>
      <c r="C16" s="873"/>
      <c r="D16" s="851" t="str">
        <f t="shared" si="1"/>
        <v>-</v>
      </c>
      <c r="E16" s="12"/>
      <c r="F16" s="21" t="str">
        <f t="shared" si="2"/>
        <v>-</v>
      </c>
      <c r="G16" s="22"/>
      <c r="H16" s="8" t="str">
        <f t="shared" si="0"/>
        <v>-</v>
      </c>
      <c r="I16" s="69"/>
    </row>
    <row r="17" spans="1:9" x14ac:dyDescent="0.2">
      <c r="A17" s="871"/>
      <c r="B17" s="872"/>
      <c r="C17" s="873"/>
      <c r="D17" s="851" t="str">
        <f t="shared" si="1"/>
        <v>-</v>
      </c>
      <c r="E17" s="12"/>
      <c r="F17" s="21" t="str">
        <f t="shared" si="2"/>
        <v>-</v>
      </c>
      <c r="G17" s="22"/>
      <c r="H17" s="8" t="str">
        <f t="shared" si="0"/>
        <v>-</v>
      </c>
      <c r="I17" s="69"/>
    </row>
    <row r="18" spans="1:9" x14ac:dyDescent="0.2">
      <c r="A18" s="871"/>
      <c r="B18" s="872"/>
      <c r="C18" s="873"/>
      <c r="D18" s="851" t="str">
        <f t="shared" si="1"/>
        <v>-</v>
      </c>
      <c r="E18" s="12"/>
      <c r="F18" s="21" t="str">
        <f t="shared" si="2"/>
        <v>-</v>
      </c>
      <c r="G18" s="22"/>
      <c r="H18" s="8" t="str">
        <f t="shared" si="0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5</v>
      </c>
      <c r="E23" s="28"/>
      <c r="F23" s="12">
        <f>IF(A23&lt;&gt;0,VLOOKUP(A23,Equipos,6,FALSE),$J$1)</f>
        <v>3710</v>
      </c>
      <c r="G23" s="14">
        <v>1</v>
      </c>
      <c r="H23" s="8">
        <f t="shared" ref="H23:H29" si="3">IF(A23&lt;&gt;0,ROUND((F23/D23)*G23,2),$J$1)</f>
        <v>742</v>
      </c>
      <c r="I23" s="69"/>
    </row>
    <row r="24" spans="1:9" x14ac:dyDescent="0.2">
      <c r="A24" s="871" t="s">
        <v>478</v>
      </c>
      <c r="B24" s="872"/>
      <c r="C24" s="873"/>
      <c r="D24" s="26">
        <v>2</v>
      </c>
      <c r="E24" s="28"/>
      <c r="F24" s="12">
        <f t="shared" ref="F24:F29" si="4">IF(A24&lt;&gt;0,VLOOKUP(A24,Equipos,6,FALSE),$J$1)</f>
        <v>63600</v>
      </c>
      <c r="G24" s="14">
        <v>1</v>
      </c>
      <c r="H24" s="8">
        <f t="shared" si="3"/>
        <v>31800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4"/>
        <v>-</v>
      </c>
      <c r="G25" s="14"/>
      <c r="H25" s="8" t="str">
        <f t="shared" si="3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4"/>
        <v>-</v>
      </c>
      <c r="G26" s="14"/>
      <c r="H26" s="8" t="str">
        <f t="shared" si="3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4"/>
        <v>-</v>
      </c>
      <c r="G27" s="14"/>
      <c r="H27" s="8" t="str">
        <f t="shared" si="3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4"/>
        <v>-</v>
      </c>
      <c r="G28" s="14"/>
      <c r="H28" s="8" t="str">
        <f t="shared" si="3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4"/>
        <v>-</v>
      </c>
      <c r="G29" s="14"/>
      <c r="H29" s="8" t="str">
        <f t="shared" si="3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32542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12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69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69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12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69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SUM(I34:I39)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55</v>
      </c>
      <c r="B45" s="1216"/>
      <c r="C45" s="1217"/>
      <c r="D45" s="1225">
        <f>IF(A45&lt;&gt;0,VLOOKUP(A45,Cuadrillas,7,FALSE),$J$1)</f>
        <v>447453.25</v>
      </c>
      <c r="E45" s="1226"/>
      <c r="F45" s="1221">
        <v>5</v>
      </c>
      <c r="G45" s="1222"/>
      <c r="H45" s="8">
        <f>IF(A45&lt;&gt;0,ROUND(D45/F45,2),$J$1)</f>
        <v>89490.65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89490.65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89490.65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/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39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4:C44"/>
    <mergeCell ref="D44:E44"/>
    <mergeCell ref="F44:G44"/>
    <mergeCell ref="A1:C1"/>
    <mergeCell ref="H1:I1"/>
    <mergeCell ref="C5:I5"/>
    <mergeCell ref="A8:C8"/>
    <mergeCell ref="A9:C9"/>
    <mergeCell ref="A10:C10"/>
    <mergeCell ref="B34:C34"/>
    <mergeCell ref="B38:C38"/>
    <mergeCell ref="A41:H41"/>
    <mergeCell ref="A42:I42"/>
    <mergeCell ref="A43:I43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C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1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5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21" si="0">IF(A8&lt;&gt;0,VLOOKUP(A8,Materiales,2,FALSE),$J$1)</f>
        <v>-</v>
      </c>
      <c r="E8" s="12"/>
      <c r="F8" s="58" t="str">
        <f t="shared" ref="F8:F21" si="1">IF(A8&lt;&gt;0,VLOOKUP(A8,Materiales,6,FALSE),$J$1)</f>
        <v>-</v>
      </c>
      <c r="G8" s="58"/>
      <c r="H8" s="7" t="str">
        <f t="shared" ref="H8:H21" si="2">IF(A8&lt;&gt;0,ROUND(E8*F8,2),$J$1)</f>
        <v>-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>
        <f>SUM(H8:H21)</f>
        <v>0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1.8741616524012223</v>
      </c>
      <c r="E26" s="33"/>
      <c r="F26" s="12">
        <f t="shared" ref="F26:F32" si="3">IF(A26&lt;&gt;0,VLOOKUP(A26,Equipos,6,FALSE),$J$1)</f>
        <v>3710</v>
      </c>
      <c r="G26" s="14">
        <v>2</v>
      </c>
      <c r="H26" s="7">
        <f t="shared" ref="H26:H32" si="4">IF(A26&lt;&gt;0,ROUND((F26/D26)*G26,2),$J$1)</f>
        <v>3959.1</v>
      </c>
      <c r="I26" s="69"/>
    </row>
    <row r="27" spans="1:12" x14ac:dyDescent="0.2">
      <c r="A27" s="1080" t="s">
        <v>526</v>
      </c>
      <c r="B27" s="1081"/>
      <c r="C27" s="1081"/>
      <c r="D27" s="33">
        <v>2.8570000000000002</v>
      </c>
      <c r="E27" s="33"/>
      <c r="F27" s="12">
        <f t="shared" si="3"/>
        <v>424000</v>
      </c>
      <c r="G27" s="14">
        <v>1</v>
      </c>
      <c r="H27" s="7">
        <f t="shared" si="4"/>
        <v>148407.42000000001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152366.52000000002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1.649</v>
      </c>
      <c r="G48" s="1083"/>
      <c r="H48" s="7">
        <f>IF(A48&lt;&gt;0,ROUND(D48/F48,2),$J$1)</f>
        <v>144826.01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144826.01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>
        <f>I22+I33+I44</f>
        <v>152366.52000000002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144826.01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>
        <f>I55+I56</f>
        <v>297192.53000000003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>
        <f>I57*D58</f>
        <v>89157.759000000005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>
        <f>I57+F58</f>
        <v>386350.28900000005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6">
    <tabColor rgb="FF3EDA00"/>
    <pageSetUpPr fitToPage="1"/>
  </sheetPr>
  <dimension ref="A1:L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+#REF!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21" si="0">IF(A8&lt;&gt;0,VLOOKUP(A8,Materiales,2,FALSE),$J$1)</f>
        <v>-</v>
      </c>
      <c r="E8" s="12"/>
      <c r="F8" s="58" t="str">
        <f t="shared" ref="F8:F21" si="1">IF(A8&lt;&gt;0,VLOOKUP(A8,Materiales,6,FALSE),$J$1)</f>
        <v>-</v>
      </c>
      <c r="G8" s="58"/>
      <c r="H8" s="7" t="str">
        <f t="shared" ref="H8:H21" si="2">IF(A8&lt;&gt;0,ROUND(E8*F8,2),$J$1)</f>
        <v>-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>
        <f>SUM(H8:H21)</f>
        <v>0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24.137</v>
      </c>
      <c r="E26" s="33"/>
      <c r="F26" s="12">
        <f t="shared" ref="F26:F32" si="3">IF(A26&lt;&gt;0,VLOOKUP(A26,Equipos,6,FALSE),$J$1)</f>
        <v>3710</v>
      </c>
      <c r="G26" s="14">
        <v>2</v>
      </c>
      <c r="H26" s="7">
        <f t="shared" ref="H26:H32" si="4">IF(A26&lt;&gt;0,ROUND((F26/D26)*G26,2),$J$1)</f>
        <v>307.41000000000003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307.41000000000003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399">
        <v>29.844000000000001</v>
      </c>
      <c r="G48" s="1399"/>
      <c r="H48" s="7">
        <f>IF(A48&lt;&gt;0,ROUND(D48/F48,2),$J$1)</f>
        <v>8002.21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8002.21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>
        <f>I22+I33+I44</f>
        <v>307.41000000000003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8002.21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>
        <f>I55+I56</f>
        <v>8309.6200000000008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>
        <f>I57*D58</f>
        <v>2492.886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>
        <f>I57+F58</f>
        <v>10802.506000000001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count="5"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42:A44 A37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7">
    <tabColor rgb="FF3EDA00"/>
    <pageSetUpPr fitToPage="1"/>
  </sheetPr>
  <dimension ref="A1:L60"/>
  <sheetViews>
    <sheetView workbookViewId="0">
      <selection activeCell="B5" sqref="B5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8" width="17.42578125" style="1" customWidth="1"/>
    <col min="9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25.5" customHeight="1" x14ac:dyDescent="0.2">
      <c r="A5" s="265" t="s">
        <v>2213</v>
      </c>
      <c r="B5" s="742" t="e">
        <f>#REF!</f>
        <v>#REF!</v>
      </c>
      <c r="C5" s="1372" t="e">
        <f>VLOOKUP(B5,item,2,FALSE)</f>
        <v>#REF!</v>
      </c>
      <c r="D5" s="1373"/>
      <c r="E5" s="1373"/>
      <c r="F5" s="1373"/>
      <c r="G5" s="1373"/>
      <c r="H5" s="1373"/>
      <c r="I5" s="1374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VLOOKUP(B5,item,3,FALSE)</f>
        <v>#REF!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21" si="0">IF(A8&lt;&gt;0,VLOOKUP(A8,Materiales,2,FALSE),$J$1)</f>
        <v>-</v>
      </c>
      <c r="E8" s="12"/>
      <c r="F8" s="58" t="str">
        <f t="shared" ref="F8:F21" si="1">IF(A8&lt;&gt;0,VLOOKUP(A8,Materiales,6,FALSE),$J$1)</f>
        <v>-</v>
      </c>
      <c r="G8" s="58"/>
      <c r="H8" s="7" t="str">
        <f t="shared" ref="H8:H21" si="2">IF(A8&lt;&gt;0,ROUND(E8*F8,2),$J$1)</f>
        <v>-</v>
      </c>
      <c r="I8" s="69"/>
    </row>
    <row r="9" spans="1:10" ht="12.75" customHeight="1" x14ac:dyDescent="0.2">
      <c r="A9" s="1080"/>
      <c r="B9" s="1081"/>
      <c r="C9" s="108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12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12" x14ac:dyDescent="0.2">
      <c r="A18" s="108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12" x14ac:dyDescent="0.2">
      <c r="A19" s="1293"/>
      <c r="B19" s="1371"/>
      <c r="C19" s="1371"/>
      <c r="D19" s="369" t="str">
        <f t="shared" si="0"/>
        <v>-</v>
      </c>
      <c r="E19" s="370"/>
      <c r="F19" s="371" t="str">
        <f t="shared" si="1"/>
        <v>-</v>
      </c>
      <c r="G19" s="371"/>
      <c r="H19" s="372" t="str">
        <f t="shared" si="2"/>
        <v>-</v>
      </c>
      <c r="I19" s="297"/>
    </row>
    <row r="20" spans="1:12" x14ac:dyDescent="0.2">
      <c r="A20" s="1370"/>
      <c r="B20" s="1371"/>
      <c r="C20" s="1371"/>
      <c r="D20" s="369" t="str">
        <f t="shared" si="0"/>
        <v>-</v>
      </c>
      <c r="E20" s="370"/>
      <c r="F20" s="371" t="str">
        <f t="shared" si="1"/>
        <v>-</v>
      </c>
      <c r="G20" s="371"/>
      <c r="H20" s="372" t="str">
        <f t="shared" si="2"/>
        <v>-</v>
      </c>
      <c r="I20" s="297"/>
    </row>
    <row r="21" spans="1:12" x14ac:dyDescent="0.2">
      <c r="A21" s="1293"/>
      <c r="B21" s="1294"/>
      <c r="C21" s="1294"/>
      <c r="D21" s="351" t="str">
        <f t="shared" si="0"/>
        <v>-</v>
      </c>
      <c r="E21" s="332"/>
      <c r="F21" s="352" t="str">
        <f t="shared" si="1"/>
        <v>-</v>
      </c>
      <c r="G21" s="352"/>
      <c r="H21" s="334" t="str">
        <f t="shared" si="2"/>
        <v>-</v>
      </c>
      <c r="I21" s="373"/>
    </row>
    <row r="22" spans="1:12" x14ac:dyDescent="0.2">
      <c r="A22" s="884" t="s">
        <v>2217</v>
      </c>
      <c r="B22" s="886"/>
      <c r="C22" s="886"/>
      <c r="D22" s="374"/>
      <c r="E22" s="375"/>
      <c r="F22" s="375"/>
      <c r="G22" s="375"/>
      <c r="H22" s="376"/>
      <c r="I22" s="241">
        <f>SUM(H8:H21)</f>
        <v>0</v>
      </c>
    </row>
    <row r="23" spans="1:12" x14ac:dyDescent="0.2">
      <c r="A23" s="76"/>
      <c r="B23" s="27"/>
      <c r="C23" s="27"/>
      <c r="D23" s="27"/>
      <c r="E23" s="27"/>
      <c r="F23" s="27"/>
      <c r="G23" s="27"/>
      <c r="H23" s="27"/>
      <c r="I23" s="64"/>
      <c r="L23" s="48"/>
    </row>
    <row r="24" spans="1:12" x14ac:dyDescent="0.2">
      <c r="A24" s="875" t="s">
        <v>454</v>
      </c>
      <c r="B24" s="876"/>
      <c r="C24" s="876"/>
      <c r="D24" s="876"/>
      <c r="E24" s="876"/>
      <c r="F24" s="876"/>
      <c r="G24" s="876"/>
      <c r="H24" s="876"/>
      <c r="I24" s="286"/>
    </row>
    <row r="25" spans="1:12" s="9" customFormat="1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12" x14ac:dyDescent="0.2">
      <c r="A26" s="1080" t="s">
        <v>477</v>
      </c>
      <c r="B26" s="1081"/>
      <c r="C26" s="1081"/>
      <c r="D26" s="33">
        <v>112.896</v>
      </c>
      <c r="E26" s="33"/>
      <c r="F26" s="12">
        <f t="shared" ref="F26:F32" si="3">IF(A26&lt;&gt;0,VLOOKUP(A26,Equipos,6,FALSE),$J$1)</f>
        <v>3710</v>
      </c>
      <c r="G26" s="14">
        <v>2</v>
      </c>
      <c r="H26" s="7">
        <f t="shared" ref="H26:H32" si="4">IF(A26&lt;&gt;0,ROUND((F26/D26)*G26,2),$J$1)</f>
        <v>65.72</v>
      </c>
      <c r="I26" s="69"/>
    </row>
    <row r="27" spans="1:12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12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12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12" x14ac:dyDescent="0.2">
      <c r="A30" s="1293"/>
      <c r="B30" s="1371"/>
      <c r="C30" s="1371"/>
      <c r="D30" s="386"/>
      <c r="E30" s="386"/>
      <c r="F30" s="370" t="str">
        <f t="shared" si="3"/>
        <v>-</v>
      </c>
      <c r="G30" s="387"/>
      <c r="H30" s="372" t="str">
        <f t="shared" si="4"/>
        <v>-</v>
      </c>
      <c r="I30" s="297"/>
    </row>
    <row r="31" spans="1:12" x14ac:dyDescent="0.2">
      <c r="A31" s="1370"/>
      <c r="B31" s="1371"/>
      <c r="C31" s="1371"/>
      <c r="D31" s="386"/>
      <c r="E31" s="386"/>
      <c r="F31" s="370" t="str">
        <f t="shared" si="3"/>
        <v>-</v>
      </c>
      <c r="G31" s="387"/>
      <c r="H31" s="372" t="str">
        <f t="shared" si="4"/>
        <v>-</v>
      </c>
      <c r="I31" s="297"/>
    </row>
    <row r="32" spans="1:12" x14ac:dyDescent="0.2">
      <c r="A32" s="1293"/>
      <c r="B32" s="1294"/>
      <c r="C32" s="1294"/>
      <c r="D32" s="331"/>
      <c r="E32" s="331"/>
      <c r="F32" s="332" t="str">
        <f t="shared" si="3"/>
        <v>-</v>
      </c>
      <c r="G32" s="333"/>
      <c r="H32" s="334" t="str">
        <f t="shared" si="4"/>
        <v>-</v>
      </c>
      <c r="I32" s="373"/>
    </row>
    <row r="33" spans="1:9" x14ac:dyDescent="0.2">
      <c r="A33" s="887" t="s">
        <v>2221</v>
      </c>
      <c r="B33" s="888"/>
      <c r="C33" s="888"/>
      <c r="D33" s="374"/>
      <c r="E33" s="375"/>
      <c r="F33" s="375"/>
      <c r="G33" s="375"/>
      <c r="H33" s="376"/>
      <c r="I33" s="395">
        <f>SUM(H26:H32)</f>
        <v>65.72</v>
      </c>
    </row>
    <row r="34" spans="1:9" x14ac:dyDescent="0.2">
      <c r="A34" s="890"/>
      <c r="B34" s="5"/>
      <c r="C34" s="5"/>
      <c r="D34" s="27"/>
      <c r="E34" s="27"/>
      <c r="F34" s="27"/>
      <c r="G34" s="27"/>
      <c r="H34" s="27"/>
      <c r="I34" s="394"/>
    </row>
    <row r="35" spans="1:9" x14ac:dyDescent="0.2">
      <c r="A35" s="855" t="s">
        <v>2222</v>
      </c>
      <c r="B35" s="856"/>
      <c r="C35" s="228"/>
      <c r="D35" s="876"/>
      <c r="E35" s="876"/>
      <c r="F35" s="876"/>
      <c r="G35" s="876"/>
      <c r="H35" s="876"/>
      <c r="I35" s="286"/>
    </row>
    <row r="36" spans="1:9" s="9" customFormat="1" ht="25.5" x14ac:dyDescent="0.2">
      <c r="A36" s="402" t="s">
        <v>26</v>
      </c>
      <c r="B36" s="403"/>
      <c r="C36" s="403"/>
      <c r="D36" s="404" t="s">
        <v>2223</v>
      </c>
      <c r="E36" s="404"/>
      <c r="F36" s="405" t="s">
        <v>2224</v>
      </c>
      <c r="G36" s="405" t="s">
        <v>2225</v>
      </c>
      <c r="H36" s="405" t="s">
        <v>2216</v>
      </c>
      <c r="I36" s="72"/>
    </row>
    <row r="37" spans="1:9" x14ac:dyDescent="0.2">
      <c r="A37" s="890"/>
      <c r="B37" s="1105" t="s">
        <v>2226</v>
      </c>
      <c r="C37" s="1104"/>
      <c r="D37" s="46"/>
      <c r="E37" s="47"/>
      <c r="F37" s="15"/>
      <c r="G37" s="12"/>
      <c r="H37" s="7"/>
      <c r="I37" s="343">
        <f>SUM(H38:H40)</f>
        <v>0</v>
      </c>
    </row>
    <row r="38" spans="1:9" x14ac:dyDescent="0.2">
      <c r="A38" s="1086"/>
      <c r="B38" s="1087"/>
      <c r="C38" s="1119"/>
      <c r="D38" s="46" t="str">
        <f>IF(A38&lt;&gt;0,VLOOKUP(A38,Transporte,8,FALSE),$J$1)</f>
        <v>-</v>
      </c>
      <c r="E38" s="47"/>
      <c r="F38" s="15" t="str">
        <f t="shared" ref="F38:F43" si="5">IF(A38&lt;&gt;0,VLOOKUP(A38,Transporte,2,FALSE),$J$1)</f>
        <v>-</v>
      </c>
      <c r="G38" s="12"/>
      <c r="H38" s="7" t="str">
        <f t="shared" ref="H38:H43" si="6">IF(A38&lt;&gt;0,D38/F38*G38,$J$1)</f>
        <v>-</v>
      </c>
      <c r="I38" s="396"/>
    </row>
    <row r="39" spans="1:9" x14ac:dyDescent="0.2">
      <c r="A39" s="1086"/>
      <c r="B39" s="1087"/>
      <c r="C39" s="1119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5"/>
    </row>
    <row r="40" spans="1:9" x14ac:dyDescent="0.2">
      <c r="A40" s="1086"/>
      <c r="B40" s="1087"/>
      <c r="C40" s="1119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7" t="str">
        <f t="shared" si="6"/>
        <v>-</v>
      </c>
      <c r="I40" s="345"/>
    </row>
    <row r="41" spans="1:9" x14ac:dyDescent="0.2">
      <c r="B41" s="1105" t="s">
        <v>2227</v>
      </c>
      <c r="C41" s="1104"/>
      <c r="D41" s="46"/>
      <c r="E41" s="47"/>
      <c r="F41" s="15"/>
      <c r="G41" s="12"/>
      <c r="H41" s="7"/>
      <c r="I41" s="343">
        <f>SUM(H42:H43)</f>
        <v>0</v>
      </c>
    </row>
    <row r="42" spans="1:9" x14ac:dyDescent="0.2">
      <c r="A42" s="1086"/>
      <c r="B42" s="1087"/>
      <c r="C42" s="1119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345"/>
    </row>
    <row r="43" spans="1:9" x14ac:dyDescent="0.2">
      <c r="A43" s="1086"/>
      <c r="B43" s="1087"/>
      <c r="C43" s="1119"/>
      <c r="D43" s="337" t="str">
        <f>IF(A32&lt;&gt;0,VLOOKUP(A43,Transporte,8,FALSE),$J$1)</f>
        <v>-</v>
      </c>
      <c r="E43" s="337"/>
      <c r="F43" s="398" t="str">
        <f t="shared" si="5"/>
        <v>-</v>
      </c>
      <c r="G43" s="332"/>
      <c r="H43" s="372" t="str">
        <f t="shared" si="6"/>
        <v>-</v>
      </c>
      <c r="I43" s="380"/>
    </row>
    <row r="44" spans="1:9" x14ac:dyDescent="0.2">
      <c r="A44" s="884" t="s">
        <v>2228</v>
      </c>
      <c r="B44" s="377"/>
      <c r="C44" s="377"/>
      <c r="D44" s="377"/>
      <c r="E44" s="377"/>
      <c r="F44" s="377"/>
      <c r="G44" s="377"/>
      <c r="H44" s="377"/>
      <c r="I44" s="347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406"/>
    </row>
    <row r="48" spans="1:9" x14ac:dyDescent="0.2">
      <c r="A48" s="1080" t="s">
        <v>58</v>
      </c>
      <c r="B48" s="1081"/>
      <c r="C48" s="1081"/>
      <c r="D48" s="1082">
        <f>IF(A48&lt;&gt;0,VLOOKUP(A48,Cuadrillas,7,FALSE),$J$1)</f>
        <v>238818.0834375</v>
      </c>
      <c r="E48" s="1082"/>
      <c r="F48" s="1083">
        <v>343.45691006512465</v>
      </c>
      <c r="G48" s="1083"/>
      <c r="H48" s="7">
        <f>IF(A48&lt;&gt;0,ROUND(D48/F48,2),$J$1)</f>
        <v>695.34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256"/>
      <c r="B52" s="1257"/>
      <c r="C52" s="1257"/>
      <c r="D52" s="1255" t="str">
        <f>IF(A52&lt;&gt;0,VLOOKUP(A52,Cuadrillas,7,FALSE),$J$1)</f>
        <v>-</v>
      </c>
      <c r="E52" s="1255"/>
      <c r="F52" s="1265"/>
      <c r="G52" s="1265"/>
      <c r="H52" s="293" t="str">
        <f>IF(A52&lt;&gt;0,ROUND(D52/F52,2),$J$1)</f>
        <v>-</v>
      </c>
      <c r="I52" s="301"/>
    </row>
    <row r="53" spans="1:9" x14ac:dyDescent="0.2">
      <c r="A53" s="1106" t="s">
        <v>2231</v>
      </c>
      <c r="B53" s="1203"/>
      <c r="C53" s="1203"/>
      <c r="D53" s="1203"/>
      <c r="E53" s="1203"/>
      <c r="F53" s="1203"/>
      <c r="G53" s="1203"/>
      <c r="H53" s="1203"/>
      <c r="I53" s="938">
        <f>SUM(H48:H52)</f>
        <v>695.34</v>
      </c>
    </row>
    <row r="54" spans="1:9" x14ac:dyDescent="0.2">
      <c r="A54" s="1252"/>
      <c r="B54" s="1253"/>
      <c r="C54" s="1253"/>
      <c r="D54" s="1253"/>
      <c r="E54" s="1253"/>
      <c r="F54" s="1253"/>
      <c r="G54" s="1253"/>
      <c r="H54" s="1253"/>
      <c r="I54" s="1254"/>
    </row>
    <row r="55" spans="1:9" x14ac:dyDescent="0.2">
      <c r="A55" s="1273" t="s">
        <v>2232</v>
      </c>
      <c r="B55" s="1274"/>
      <c r="C55" s="1274"/>
      <c r="D55" s="1274"/>
      <c r="E55" s="1274"/>
      <c r="F55" s="1274"/>
      <c r="G55" s="1274"/>
      <c r="H55" s="1274"/>
      <c r="I55" s="324">
        <f>I22+I33+I44</f>
        <v>65.72</v>
      </c>
    </row>
    <row r="56" spans="1:9" ht="13.5" thickBot="1" x14ac:dyDescent="0.25">
      <c r="A56" s="1258" t="s">
        <v>2233</v>
      </c>
      <c r="B56" s="1259"/>
      <c r="C56" s="1259"/>
      <c r="D56" s="1259"/>
      <c r="E56" s="1259"/>
      <c r="F56" s="1259"/>
      <c r="G56" s="1259"/>
      <c r="H56" s="1259"/>
      <c r="I56" s="311">
        <f>I53</f>
        <v>695.34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>
        <f>I55+I56</f>
        <v>761.06000000000006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>
        <f>I57*D58</f>
        <v>228.31800000000001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>
        <f>I57+F58</f>
        <v>989.37800000000004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activeCell="B5" sqref="B5"/>
      <pageMargins left="0" right="0" top="0" bottom="0" header="0" footer="0"/>
      <printOptions horizontalCentered="1" verticalCentered="1"/>
      <pageSetup scale="74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10:C10"/>
    <mergeCell ref="A1:C1"/>
    <mergeCell ref="H1:I1"/>
    <mergeCell ref="C5:I5"/>
    <mergeCell ref="A8:C8"/>
    <mergeCell ref="A9:C9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42:C42"/>
    <mergeCell ref="A27:C27"/>
    <mergeCell ref="A28:C28"/>
    <mergeCell ref="A29:C29"/>
    <mergeCell ref="A30:C30"/>
    <mergeCell ref="A31:C31"/>
    <mergeCell ref="A32:C32"/>
    <mergeCell ref="B37:C37"/>
    <mergeCell ref="A38:C38"/>
    <mergeCell ref="A39:C39"/>
    <mergeCell ref="A40:C40"/>
    <mergeCell ref="B41:C41"/>
    <mergeCell ref="A43:C43"/>
    <mergeCell ref="A45:I45"/>
    <mergeCell ref="A46:I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1:C51"/>
    <mergeCell ref="D51:E51"/>
    <mergeCell ref="F51:G51"/>
    <mergeCell ref="A59:G59"/>
    <mergeCell ref="H59:I59"/>
    <mergeCell ref="A52:C52"/>
    <mergeCell ref="D52:E52"/>
    <mergeCell ref="F52:G52"/>
    <mergeCell ref="A53:H53"/>
    <mergeCell ref="A54:I54"/>
    <mergeCell ref="A55:H55"/>
    <mergeCell ref="A56:H56"/>
    <mergeCell ref="A57:G57"/>
    <mergeCell ref="A58:C58"/>
    <mergeCell ref="D58:E58"/>
    <mergeCell ref="F58:I58"/>
  </mergeCells>
  <dataValidations disablePrompts="1" count="5">
    <dataValidation type="list" allowBlank="1" showInputMessage="1" showErrorMessage="1" sqref="A42:A44 A37:A40">
      <formula1>Descrip_transporte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26:A32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2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6">
    <tabColor indexed="42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268</v>
      </c>
      <c r="B8" s="1081"/>
      <c r="C8" s="1081"/>
      <c r="D8" s="844" t="e">
        <f t="shared" ref="D8:D18" si="0">IF(A8&lt;&gt;0,VLOOKUP(A8,Materiales,2,FALSE),$J$1)</f>
        <v>#REF!</v>
      </c>
      <c r="E8" s="12">
        <v>3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293</v>
      </c>
      <c r="B9" s="1219"/>
      <c r="C9" s="1219"/>
      <c r="D9" s="844" t="e">
        <f t="shared" si="0"/>
        <v>#REF!</v>
      </c>
      <c r="E9" s="12">
        <v>0.12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185.5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>
        <v>1</v>
      </c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185.5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35</v>
      </c>
      <c r="G45" s="1083"/>
      <c r="H45" s="7">
        <f>IF(A45&lt;&gt;0,ROUND(D45/F45,2),$J$1)</f>
        <v>9407.1200000000008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9407.1200000000008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9407.1200000000008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4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:E4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tabColor indexed="42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2354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130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291</v>
      </c>
      <c r="B8" s="1081"/>
      <c r="C8" s="1081"/>
      <c r="D8" s="844" t="e">
        <f t="shared" ref="D8:D18" si="0">IF(A8&lt;&gt;0,VLOOKUP(A8,Materiales,2,FALSE),$J$1)</f>
        <v>#REF!</v>
      </c>
      <c r="E8" s="12">
        <v>0.03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185.5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>
        <v>1</v>
      </c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185.5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85</v>
      </c>
      <c r="G45" s="1083"/>
      <c r="H45" s="7">
        <f>IF(A45&lt;&gt;0,ROUND(D45/F45,2),$J$1)</f>
        <v>3873.52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3873.52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3873.52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8">
    <tabColor indexed="42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2355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130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291</v>
      </c>
      <c r="B8" s="1081"/>
      <c r="C8" s="1081"/>
      <c r="D8" s="844" t="e">
        <f t="shared" ref="D8:D18" si="0">IF(A8&lt;&gt;0,VLOOKUP(A8,Materiales,2,FALSE),$J$1)</f>
        <v>#REF!</v>
      </c>
      <c r="E8" s="12">
        <v>0.06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185.5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>
        <v>1</v>
      </c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185.5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85</v>
      </c>
      <c r="G45" s="1083"/>
      <c r="H45" s="7">
        <f>IF(A45&lt;&gt;0,ROUND(D45/F45,2),$J$1)</f>
        <v>3873.52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3873.52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3873.52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8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5.9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24.75" customHeight="1" x14ac:dyDescent="0.2">
      <c r="A8" s="1303" t="s">
        <v>164</v>
      </c>
      <c r="B8" s="1304"/>
      <c r="C8" s="1305"/>
      <c r="D8" s="55" t="e">
        <f t="shared" ref="D8:D18" si="0">IF(A8&lt;&gt;0,VLOOKUP(A8,Materiales,2,FALSE),$J$1)</f>
        <v>#REF!</v>
      </c>
      <c r="E8" s="510">
        <v>1.03</v>
      </c>
      <c r="F8" s="531" t="e">
        <f t="shared" ref="F8:F15" si="1">IF(A8&lt;&gt;0,VLOOKUP(A8,Materiales,6,FALSE),$J$1)</f>
        <v>#REF!</v>
      </c>
      <c r="G8" s="531"/>
      <c r="H8" s="512" t="e">
        <f t="shared" ref="H8:H18" si="2">IF(A8&lt;&gt;0,ROUND(E8*F8,2),$J$1)</f>
        <v>#REF!</v>
      </c>
      <c r="I8" s="69"/>
    </row>
    <row r="9" spans="1:10" ht="12.75" customHeight="1" x14ac:dyDescent="0.2">
      <c r="A9" s="1317" t="s">
        <v>451</v>
      </c>
      <c r="B9" s="1318"/>
      <c r="C9" s="1318"/>
      <c r="D9" s="55" t="e">
        <f t="shared" si="0"/>
        <v>#REF!</v>
      </c>
      <c r="E9" s="510">
        <v>0.3</v>
      </c>
      <c r="F9" s="531" t="e">
        <f t="shared" si="1"/>
        <v>#REF!</v>
      </c>
      <c r="G9" s="531"/>
      <c r="H9" s="512" t="e">
        <f t="shared" si="2"/>
        <v>#REF!</v>
      </c>
      <c r="I9" s="69"/>
    </row>
    <row r="10" spans="1:10" x14ac:dyDescent="0.2">
      <c r="A10" s="1315" t="s">
        <v>209</v>
      </c>
      <c r="B10" s="1316"/>
      <c r="C10" s="1316"/>
      <c r="D10" s="55" t="e">
        <f t="shared" si="0"/>
        <v>#REF!</v>
      </c>
      <c r="E10" s="510">
        <v>0.8</v>
      </c>
      <c r="F10" s="531" t="e">
        <f t="shared" si="1"/>
        <v>#REF!</v>
      </c>
      <c r="G10" s="531"/>
      <c r="H10" s="512" t="e">
        <f t="shared" si="2"/>
        <v>#REF!</v>
      </c>
      <c r="I10" s="69"/>
    </row>
    <row r="11" spans="1:10" x14ac:dyDescent="0.2">
      <c r="A11" s="1080" t="s">
        <v>298</v>
      </c>
      <c r="B11" s="1081"/>
      <c r="C11" s="1081"/>
      <c r="D11" s="844" t="e">
        <f t="shared" si="0"/>
        <v>#REF!</v>
      </c>
      <c r="E11" s="12">
        <v>3.5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742</v>
      </c>
      <c r="I23" s="69"/>
    </row>
    <row r="24" spans="1:9" x14ac:dyDescent="0.2">
      <c r="A24" s="1080"/>
      <c r="B24" s="1081"/>
      <c r="C24" s="1081"/>
      <c r="D24" s="109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742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43</v>
      </c>
      <c r="B45" s="1081"/>
      <c r="C45" s="1081"/>
      <c r="D45" s="1082">
        <f>IF(A45&lt;&gt;0,VLOOKUP(A45,Cuadrillas,7,FALSE),$J$1)</f>
        <v>190336.22</v>
      </c>
      <c r="E45" s="1082"/>
      <c r="F45" s="1083">
        <v>10</v>
      </c>
      <c r="G45" s="1083"/>
      <c r="H45" s="7">
        <f>IF(A45&lt;&gt;0,ROUND(D45/F45,2),$J$1)</f>
        <v>19033.62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19033.62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19033.62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4:E4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9">
    <tabColor indexed="42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idden="1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hidden="1" customHeight="1" x14ac:dyDescent="0.2">
      <c r="A9" s="1400"/>
      <c r="B9" s="1401"/>
      <c r="C9" s="140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 t="s">
        <v>370</v>
      </c>
      <c r="B10" s="1081"/>
      <c r="C10" s="1081"/>
      <c r="D10" s="844" t="e">
        <f t="shared" si="0"/>
        <v>#REF!</v>
      </c>
      <c r="E10" s="12">
        <v>1.03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289</v>
      </c>
      <c r="B11" s="1081"/>
      <c r="C11" s="1081"/>
      <c r="D11" s="844" t="e">
        <f t="shared" si="0"/>
        <v>#REF!</v>
      </c>
      <c r="E11" s="12">
        <v>0.03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452">
        <v>2.3375757575757601</v>
      </c>
      <c r="E23" s="33"/>
      <c r="F23" s="12">
        <f t="shared" ref="F23:F29" si="3">IF(A23&lt;&gt;0,VLOOKUP(A23,Equipos,6,FALSE),$J$1)</f>
        <v>3710</v>
      </c>
      <c r="G23" s="14">
        <v>0.02</v>
      </c>
      <c r="H23" s="7">
        <f t="shared" ref="H23:H29" si="4">IF(A23&lt;&gt;0,ROUND((F23/D23)*G23,2),$J$1)</f>
        <v>31.74</v>
      </c>
      <c r="I23" s="69"/>
    </row>
    <row r="24" spans="1:9" hidden="1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 t="s">
        <v>470</v>
      </c>
      <c r="B25" s="1081"/>
      <c r="C25" s="1081"/>
      <c r="D25" s="33">
        <v>1</v>
      </c>
      <c r="E25" s="33"/>
      <c r="F25" s="12">
        <f t="shared" si="3"/>
        <v>32012</v>
      </c>
      <c r="G25" s="14">
        <v>0.01</v>
      </c>
      <c r="H25" s="7">
        <f t="shared" si="4"/>
        <v>320.12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351.86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54</v>
      </c>
      <c r="B45" s="1081"/>
      <c r="C45" s="1081"/>
      <c r="D45" s="1082">
        <f>IF(A45&lt;&gt;0,VLOOKUP(A45,Cuadrillas,7,FALSE),$J$1)</f>
        <v>293183.03000000003</v>
      </c>
      <c r="E45" s="1082"/>
      <c r="F45" s="1083">
        <v>20</v>
      </c>
      <c r="G45" s="1083"/>
      <c r="H45" s="7">
        <f>IF(A45&lt;&gt;0,ROUND(D45/F45,2),$J$1)</f>
        <v>14659.15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14659.15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14659.15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hiddenRows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4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:E4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8">
    <tabColor indexed="42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139</v>
      </c>
      <c r="B8" s="1081"/>
      <c r="C8" s="1081"/>
      <c r="D8" s="844" t="e">
        <f t="shared" ref="D8:D18" si="0">IF(A8&lt;&gt;0,VLOOKUP(A8,Materiales,2,FALSE),$J$1)</f>
        <v>#REF!</v>
      </c>
      <c r="E8" s="12">
        <v>5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291</v>
      </c>
      <c r="B9" s="1219"/>
      <c r="C9" s="1219"/>
      <c r="D9" s="844" t="e">
        <f t="shared" si="0"/>
        <v>#REF!</v>
      </c>
      <c r="E9" s="12">
        <v>0.09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210</v>
      </c>
      <c r="B10" s="1081"/>
      <c r="C10" s="1081"/>
      <c r="D10" s="844" t="e">
        <f t="shared" si="0"/>
        <v>#REF!</v>
      </c>
      <c r="E10" s="12">
        <v>13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262</v>
      </c>
      <c r="B11" s="1081"/>
      <c r="C11" s="1081"/>
      <c r="D11" s="844" t="e">
        <f t="shared" si="0"/>
        <v>#REF!</v>
      </c>
      <c r="E11" s="12">
        <v>0.7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0.1</v>
      </c>
      <c r="H23" s="7">
        <f t="shared" ref="H23:H29" si="4">IF(A23&lt;&gt;0,ROUND((F23/D23)*G23,2),$J$1)</f>
        <v>371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371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11</v>
      </c>
      <c r="G45" s="1083"/>
      <c r="H45" s="7">
        <f>IF(A45&lt;&gt;0,ROUND(D45/F45,2),$J$1)</f>
        <v>29931.73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29931.73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29931.73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4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:E4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0">
    <tabColor indexed="42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idden="1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hidden="1" customHeight="1" x14ac:dyDescent="0.2">
      <c r="A9" s="1400"/>
      <c r="B9" s="1401"/>
      <c r="C9" s="1401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 t="s">
        <v>369</v>
      </c>
      <c r="B10" s="1081"/>
      <c r="C10" s="1081"/>
      <c r="D10" s="844" t="e">
        <f t="shared" si="0"/>
        <v>#REF!</v>
      </c>
      <c r="E10" s="12">
        <v>1.03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289</v>
      </c>
      <c r="B11" s="1081"/>
      <c r="C11" s="1081"/>
      <c r="D11" s="844" t="e">
        <f t="shared" si="0"/>
        <v>#REF!</v>
      </c>
      <c r="E11" s="12">
        <v>8.0000000000000002E-3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452">
        <v>1</v>
      </c>
      <c r="E23" s="33"/>
      <c r="F23" s="12">
        <f t="shared" ref="F23:F29" si="3">IF(A23&lt;&gt;0,VLOOKUP(A23,Equipos,6,FALSE),$J$1)</f>
        <v>3710</v>
      </c>
      <c r="G23" s="14">
        <v>0.02</v>
      </c>
      <c r="H23" s="7">
        <f t="shared" ref="H23:H29" si="4">IF(A23&lt;&gt;0,ROUND((F23/D23)*G23,2),$J$1)</f>
        <v>74.2</v>
      </c>
      <c r="I23" s="69"/>
    </row>
    <row r="24" spans="1:9" hidden="1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 t="s">
        <v>470</v>
      </c>
      <c r="B25" s="1081"/>
      <c r="C25" s="1081"/>
      <c r="D25" s="33">
        <v>1</v>
      </c>
      <c r="E25" s="33"/>
      <c r="F25" s="12">
        <f t="shared" si="3"/>
        <v>32012</v>
      </c>
      <c r="G25" s="14">
        <v>0.01</v>
      </c>
      <c r="H25" s="7">
        <f t="shared" si="4"/>
        <v>320.12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394.32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54</v>
      </c>
      <c r="B45" s="1081"/>
      <c r="C45" s="1081"/>
      <c r="D45" s="1082">
        <f>IF(A45&lt;&gt;0,VLOOKUP(A45,Cuadrillas,7,FALSE),$J$1)</f>
        <v>293183.03000000003</v>
      </c>
      <c r="E45" s="1082"/>
      <c r="F45" s="1083">
        <v>60</v>
      </c>
      <c r="G45" s="1083"/>
      <c r="H45" s="7">
        <f>IF(A45&lt;&gt;0,ROUND(D45/F45,2),$J$1)</f>
        <v>4886.38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4886.38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4886.38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hiddenRows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4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:E4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tabColor rgb="FFFFFF00"/>
    <pageSetUpPr fitToPage="1"/>
  </sheetPr>
  <dimension ref="A1:K62"/>
  <sheetViews>
    <sheetView view="pageBreakPreview" zoomScale="85" zoomScaleNormal="100" zoomScaleSheetLayoutView="85" workbookViewId="0">
      <selection activeCell="A4" sqref="A4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20.25" thickTop="1" x14ac:dyDescent="0.2">
      <c r="A1" s="1131"/>
      <c r="B1" s="1220"/>
      <c r="C1" s="1220"/>
      <c r="D1" s="93"/>
      <c r="E1" s="93"/>
      <c r="F1" s="93"/>
      <c r="G1" s="164"/>
      <c r="H1" s="1129"/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36.7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47" t="s">
        <v>2297</v>
      </c>
      <c r="C5" s="1227" t="s">
        <v>2313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119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121</v>
      </c>
      <c r="B8" s="1216"/>
      <c r="C8" s="1217"/>
      <c r="D8" s="851" t="e">
        <f t="shared" ref="D8:D18" si="0">IF(A8&lt;&gt;0,VLOOKUP(A8,Materiales,2,FALSE),$J$1)</f>
        <v>#REF!</v>
      </c>
      <c r="E8" s="12">
        <v>1.05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145</v>
      </c>
      <c r="B9" s="1216"/>
      <c r="C9" s="1217"/>
      <c r="D9" s="851" t="e">
        <f t="shared" si="0"/>
        <v>#REF!</v>
      </c>
      <c r="E9" s="13">
        <v>0.03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180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20.61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20.61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12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69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69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12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69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675</v>
      </c>
      <c r="G45" s="1222"/>
      <c r="H45" s="8">
        <f>IF(A45&lt;&gt;0,ROUND(D45/F45,2),$J$1)</f>
        <v>640.14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640.14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640.14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4.25" thickTop="1" thickBot="1" x14ac:dyDescent="0.25"/>
    <row r="58" spans="1:11" ht="13.5" thickTop="1" x14ac:dyDescent="0.2">
      <c r="A58" s="983" t="str">
        <f>+'Datos entrada'!$B$5</f>
        <v>INGENIERO CIVIL HEBER EDUARDO YEPES VILLOTA</v>
      </c>
      <c r="B58" s="983"/>
      <c r="C58" s="983"/>
      <c r="D58" s="983"/>
      <c r="E58" s="983"/>
      <c r="F58" s="983"/>
      <c r="G58" s="983"/>
      <c r="H58" s="983"/>
      <c r="I58" s="983"/>
    </row>
    <row r="59" spans="1:11" x14ac:dyDescent="0.2">
      <c r="A59" s="984"/>
      <c r="B59" s="984"/>
      <c r="C59" s="984"/>
      <c r="D59" s="984"/>
      <c r="E59" s="984"/>
      <c r="F59" s="984"/>
      <c r="G59" s="984"/>
      <c r="H59" s="984"/>
      <c r="I59" s="984"/>
    </row>
    <row r="60" spans="1:11" x14ac:dyDescent="0.2">
      <c r="A60" s="984"/>
      <c r="B60" s="984"/>
      <c r="C60" s="984"/>
      <c r="D60" s="984"/>
      <c r="E60" s="984"/>
      <c r="F60" s="984"/>
      <c r="G60" s="984"/>
      <c r="H60" s="984"/>
      <c r="I60" s="984"/>
    </row>
    <row r="61" spans="1:11" x14ac:dyDescent="0.2">
      <c r="A61" s="984"/>
      <c r="B61" s="984"/>
      <c r="C61" s="984"/>
      <c r="D61" s="984"/>
      <c r="E61" s="984"/>
      <c r="F61" s="984"/>
      <c r="G61" s="984"/>
      <c r="H61" s="984"/>
      <c r="I61" s="984"/>
    </row>
    <row r="62" spans="1:11" x14ac:dyDescent="0.2">
      <c r="A62" s="1234"/>
      <c r="B62" s="1234"/>
      <c r="C62" s="1234"/>
      <c r="D62" s="1234"/>
    </row>
  </sheetData>
  <customSheetViews>
    <customSheetView guid="{93F324B6-F965-4669-93FF-DBB148734A46}" fitToPage="1">
      <selection activeCell="L4" sqref="L4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4">
    <mergeCell ref="A58:I61"/>
    <mergeCell ref="A1:C1"/>
    <mergeCell ref="B34:C34"/>
    <mergeCell ref="B38:C38"/>
    <mergeCell ref="D46:E46"/>
    <mergeCell ref="H1:I1"/>
    <mergeCell ref="C5:I5"/>
    <mergeCell ref="A8:C8"/>
    <mergeCell ref="A41:H41"/>
    <mergeCell ref="A42:I42"/>
    <mergeCell ref="A23:C23"/>
    <mergeCell ref="A9:C9"/>
    <mergeCell ref="A10:C10"/>
    <mergeCell ref="A24:C24"/>
    <mergeCell ref="A25:C25"/>
    <mergeCell ref="A43:I43"/>
    <mergeCell ref="F45:G45"/>
    <mergeCell ref="F44:G44"/>
    <mergeCell ref="A46:C46"/>
    <mergeCell ref="D44:E44"/>
    <mergeCell ref="D45:E45"/>
    <mergeCell ref="A45:C45"/>
    <mergeCell ref="A44:C44"/>
    <mergeCell ref="F48:G48"/>
    <mergeCell ref="D47:E47"/>
    <mergeCell ref="D48:E48"/>
    <mergeCell ref="A47:C47"/>
    <mergeCell ref="F46:G46"/>
    <mergeCell ref="A62:D62"/>
    <mergeCell ref="A56:G56"/>
    <mergeCell ref="H56:I56"/>
    <mergeCell ref="F47:G47"/>
    <mergeCell ref="A49:C49"/>
    <mergeCell ref="A52:H52"/>
    <mergeCell ref="A51:I51"/>
    <mergeCell ref="A50:H50"/>
    <mergeCell ref="A54:G54"/>
    <mergeCell ref="F49:G49"/>
    <mergeCell ref="A55:C55"/>
    <mergeCell ref="D55:E55"/>
    <mergeCell ref="F55:I55"/>
    <mergeCell ref="A53:H53"/>
    <mergeCell ref="D49:E49"/>
    <mergeCell ref="A48:C48"/>
  </mergeCells>
  <phoneticPr fontId="0" type="noConversion"/>
  <dataValidations disablePrompts="1" count="5">
    <dataValidation type="list" allowBlank="1" showInputMessage="1" showErrorMessage="1" sqref="A9:A18 B11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6:C29 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2" orientation="portrait" blackAndWhite="1" errors="blank" r:id="rId2"/>
  <headerFooter alignWithMargins="0">
    <oddFooter xml:space="preserve">&amp;C  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indexed="42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2356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114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 t="s">
        <v>291</v>
      </c>
      <c r="B9" s="1219"/>
      <c r="C9" s="1219"/>
      <c r="D9" s="844" t="e">
        <f t="shared" si="0"/>
        <v>#REF!</v>
      </c>
      <c r="E9" s="12">
        <v>0.03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209</v>
      </c>
      <c r="B10" s="1081"/>
      <c r="C10" s="1081"/>
      <c r="D10" s="844" t="e">
        <f t="shared" si="0"/>
        <v>#REF!</v>
      </c>
      <c r="E10" s="12">
        <v>0.2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371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60</v>
      </c>
      <c r="G45" s="1083"/>
      <c r="H45" s="7">
        <f>IF(A45&lt;&gt;0,ROUND(D45/F45,2),$J$1)</f>
        <v>5487.48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5487.48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5487.48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4">
    <mergeCell ref="A4:E4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9">
    <tabColor indexed="42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139</v>
      </c>
      <c r="B8" s="1081"/>
      <c r="C8" s="1081"/>
      <c r="D8" s="844" t="e">
        <f t="shared" ref="D8:D18" si="0">IF(A8&lt;&gt;0,VLOOKUP(A8,Materiales,2,FALSE),$J$1)</f>
        <v>#REF!</v>
      </c>
      <c r="E8" s="12">
        <v>3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291</v>
      </c>
      <c r="B9" s="1219"/>
      <c r="C9" s="1219"/>
      <c r="D9" s="844" t="e">
        <f t="shared" si="0"/>
        <v>#REF!</v>
      </c>
      <c r="E9" s="12">
        <v>0.03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210</v>
      </c>
      <c r="B10" s="1081"/>
      <c r="C10" s="1081"/>
      <c r="D10" s="844" t="e">
        <f t="shared" si="0"/>
        <v>#REF!</v>
      </c>
      <c r="E10" s="12">
        <v>5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262</v>
      </c>
      <c r="B11" s="1081"/>
      <c r="C11" s="1081"/>
      <c r="D11" s="844" t="e">
        <f t="shared" si="0"/>
        <v>#REF!</v>
      </c>
      <c r="E11" s="12">
        <v>0.12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0.1</v>
      </c>
      <c r="H23" s="7">
        <f t="shared" ref="H23:H29" si="4">IF(A23&lt;&gt;0,ROUND((F23/D23)*G23,2),$J$1)</f>
        <v>371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371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17</v>
      </c>
      <c r="G45" s="1083"/>
      <c r="H45" s="7">
        <f>IF(A45&lt;&gt;0,ROUND(D45/F45,2),$J$1)</f>
        <v>19367.59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19367.59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19367.59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4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:E4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>
    <tabColor indexed="42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2357</v>
      </c>
      <c r="C5" s="267" t="s">
        <v>2358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114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139</v>
      </c>
      <c r="B8" s="1081"/>
      <c r="C8" s="1081"/>
      <c r="D8" s="844" t="e">
        <f t="shared" ref="D8:D18" si="0">IF(A8&lt;&gt;0,VLOOKUP(A8,Materiales,2,FALSE),$J$1)</f>
        <v>#REF!</v>
      </c>
      <c r="E8" s="12">
        <v>3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291</v>
      </c>
      <c r="B9" s="1219"/>
      <c r="C9" s="1219"/>
      <c r="D9" s="844" t="e">
        <f t="shared" si="0"/>
        <v>#REF!</v>
      </c>
      <c r="E9" s="12">
        <v>0.03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210</v>
      </c>
      <c r="B10" s="1081"/>
      <c r="C10" s="1081"/>
      <c r="D10" s="844" t="e">
        <f t="shared" si="0"/>
        <v>#REF!</v>
      </c>
      <c r="E10" s="12">
        <v>5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262</v>
      </c>
      <c r="B11" s="1081"/>
      <c r="C11" s="1081"/>
      <c r="D11" s="844" t="e">
        <f t="shared" si="0"/>
        <v>#REF!</v>
      </c>
      <c r="E11" s="12">
        <v>0.12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326</v>
      </c>
      <c r="B12" s="1081"/>
      <c r="C12" s="1081"/>
      <c r="D12" s="844" t="e">
        <f t="shared" si="0"/>
        <v>#REF!</v>
      </c>
      <c r="E12" s="12">
        <v>0.45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371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16</v>
      </c>
      <c r="G45" s="1083"/>
      <c r="H45" s="7">
        <f>IF(A45&lt;&gt;0,ROUND(D45/F45,2),$J$1)</f>
        <v>20578.060000000001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20578.060000000001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20578.060000000001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0">
    <tabColor indexed="44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402" t="s">
        <v>238</v>
      </c>
      <c r="B8" s="1403"/>
      <c r="C8" s="1404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218" t="s">
        <v>351</v>
      </c>
      <c r="B9" s="1219"/>
      <c r="C9" s="1219"/>
      <c r="D9" s="844" t="e">
        <f t="shared" si="0"/>
        <v>#REF!</v>
      </c>
      <c r="E9" s="12">
        <v>0.3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0.05</v>
      </c>
      <c r="H23" s="7">
        <f t="shared" ref="H23:H29" si="4">IF(A23&lt;&gt;0,ROUND((F23/D23)*G23,2),$J$1)</f>
        <v>185.5</v>
      </c>
      <c r="I23" s="69"/>
    </row>
    <row r="24" spans="1:9" x14ac:dyDescent="0.2">
      <c r="A24" s="1120" t="s">
        <v>482</v>
      </c>
      <c r="B24" s="1081"/>
      <c r="C24" s="1081"/>
      <c r="D24" s="33">
        <v>1</v>
      </c>
      <c r="E24" s="33"/>
      <c r="F24" s="12">
        <f t="shared" si="3"/>
        <v>1590</v>
      </c>
      <c r="G24" s="14">
        <v>0.25</v>
      </c>
      <c r="H24" s="7">
        <f t="shared" si="4"/>
        <v>397.5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583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51</v>
      </c>
      <c r="B45" s="1081"/>
      <c r="C45" s="1081"/>
      <c r="D45" s="1082">
        <f>IF(A45&lt;&gt;0,VLOOKUP(A45,Cuadrillas,7,FALSE),$J$1)</f>
        <v>418739.68</v>
      </c>
      <c r="E45" s="1082"/>
      <c r="F45" s="1083">
        <v>18</v>
      </c>
      <c r="G45" s="1083"/>
      <c r="H45" s="7">
        <f>IF(A45&lt;&gt;0,ROUND(D45/F45,2),$J$1)</f>
        <v>23263.32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23263.32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23263.32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5">
    <tabColor indexed="44"/>
    <pageSetUpPr fitToPage="1"/>
  </sheetPr>
  <dimension ref="A1:J57"/>
  <sheetViews>
    <sheetView workbookViewId="0">
      <selection activeCell="A8" sqref="A8:C8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42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402" t="s">
        <v>129</v>
      </c>
      <c r="B8" s="1403"/>
      <c r="C8" s="1404"/>
      <c r="D8" s="844" t="e">
        <f t="shared" ref="D8:D18" si="0">IF(A8&lt;&gt;0,VLOOKUP(A8,Materiales,2,FALSE),$J$1)</f>
        <v>#REF!</v>
      </c>
      <c r="E8" s="12">
        <v>1.03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0.1</v>
      </c>
      <c r="H23" s="7">
        <f t="shared" ref="H23:H29" si="4">IF(A23&lt;&gt;0,ROUND((F23/D23)*G23,2),$J$1)</f>
        <v>37.1</v>
      </c>
      <c r="I23" s="69"/>
    </row>
    <row r="24" spans="1:9" x14ac:dyDescent="0.2">
      <c r="A24" s="1120" t="s">
        <v>482</v>
      </c>
      <c r="B24" s="1081"/>
      <c r="C24" s="1081"/>
      <c r="D24" s="33">
        <v>3</v>
      </c>
      <c r="E24" s="33"/>
      <c r="F24" s="12">
        <f t="shared" si="3"/>
        <v>1590</v>
      </c>
      <c r="G24" s="14">
        <v>0.25</v>
      </c>
      <c r="H24" s="7">
        <f t="shared" si="4"/>
        <v>132.5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169.6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51</v>
      </c>
      <c r="B45" s="1081"/>
      <c r="C45" s="1081"/>
      <c r="D45" s="1082">
        <f>IF(A45&lt;&gt;0,VLOOKUP(A45,Cuadrillas,7,FALSE),$J$1)</f>
        <v>418739.68</v>
      </c>
      <c r="E45" s="1082"/>
      <c r="F45" s="1083">
        <v>43</v>
      </c>
      <c r="G45" s="1083"/>
      <c r="H45" s="7">
        <f>IF(A45&lt;&gt;0,ROUND(D45/F45,2),$J$1)</f>
        <v>9738.1299999999992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9738.1299999999992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9738.1299999999992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activeCell="A8" sqref="A8:C8"/>
      <pageMargins left="0" right="0" top="0" bottom="0" header="0" footer="0"/>
      <printOptions horizontalCentered="1" verticalCentered="1"/>
      <pageSetup scale="75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5" orientation="portrait" blackAndWhite="1" errors="blank" r:id="rId2"/>
  <headerFooter alignWithMargins="0">
    <oddFooter xml:space="preserve">&amp;C  </oddFooter>
  </headerFooter>
  <drawing r:id="rId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4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2359</v>
      </c>
      <c r="C5" s="267" t="s">
        <v>2360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130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230</v>
      </c>
      <c r="B8" s="1081"/>
      <c r="C8" s="1081"/>
      <c r="D8" s="844" t="e">
        <f t="shared" ref="D8:D18" si="0">IF(A8&lt;&gt;0,VLOOKUP(A8,Materiales,2,FALSE),$J$1)</f>
        <v>#REF!</v>
      </c>
      <c r="E8" s="12">
        <v>0.12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282</v>
      </c>
      <c r="B9" s="1219"/>
      <c r="C9" s="1219"/>
      <c r="D9" s="844" t="e">
        <f t="shared" si="0"/>
        <v>#REF!</v>
      </c>
      <c r="E9" s="12">
        <v>14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124</v>
      </c>
      <c r="B10" s="1081"/>
      <c r="C10" s="1081"/>
      <c r="D10" s="844" t="e">
        <f t="shared" si="0"/>
        <v>#REF!</v>
      </c>
      <c r="E10" s="12">
        <v>15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1855</v>
      </c>
      <c r="I23" s="69"/>
    </row>
    <row r="24" spans="1:9" x14ac:dyDescent="0.2">
      <c r="A24" s="1080" t="s">
        <v>473</v>
      </c>
      <c r="B24" s="1081"/>
      <c r="C24" s="1081"/>
      <c r="D24" s="33">
        <v>0.4</v>
      </c>
      <c r="E24" s="33"/>
      <c r="F24" s="12">
        <f t="shared" si="3"/>
        <v>2438</v>
      </c>
      <c r="G24" s="14">
        <v>1</v>
      </c>
      <c r="H24" s="7">
        <f t="shared" si="4"/>
        <v>6095</v>
      </c>
      <c r="I24" s="69"/>
    </row>
    <row r="25" spans="1:9" x14ac:dyDescent="0.2">
      <c r="A25" s="1080" t="s">
        <v>486</v>
      </c>
      <c r="B25" s="1081"/>
      <c r="C25" s="1081"/>
      <c r="D25" s="33">
        <v>0.3</v>
      </c>
      <c r="E25" s="33"/>
      <c r="F25" s="12">
        <f t="shared" si="3"/>
        <v>1812.6</v>
      </c>
      <c r="G25" s="14">
        <v>1</v>
      </c>
      <c r="H25" s="7">
        <f t="shared" si="4"/>
        <v>6042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13992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49</v>
      </c>
      <c r="B45" s="1081"/>
      <c r="C45" s="1081"/>
      <c r="D45" s="1082">
        <f>IF(A45&lt;&gt;0,VLOOKUP(A45,Cuadrillas,7,FALSE),$J$1)</f>
        <v>432095.84</v>
      </c>
      <c r="E45" s="1082"/>
      <c r="F45" s="1083">
        <v>8</v>
      </c>
      <c r="G45" s="1083"/>
      <c r="H45" s="7">
        <f>IF(A45&lt;&gt;0,ROUND(D45/F45,2),$J$1)</f>
        <v>54011.98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54011.98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54011.98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5:C35"/>
    <mergeCell ref="A36:C36"/>
    <mergeCell ref="A37:C37"/>
    <mergeCell ref="A39:C39"/>
    <mergeCell ref="A40:C40"/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7">
    <tabColor indexed="44"/>
    <pageSetUpPr fitToPage="1"/>
  </sheetPr>
  <dimension ref="A1:K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213" t="s">
        <v>272</v>
      </c>
      <c r="B8" s="1214"/>
      <c r="C8" s="1214"/>
      <c r="D8" s="844" t="e">
        <f t="shared" ref="D8:D18" si="0">IF(A8&lt;&gt;0,VLOOKUP(A8,Materiales,2,FALSE),$J$1)</f>
        <v>#REF!</v>
      </c>
      <c r="E8" s="12">
        <v>1.05</v>
      </c>
      <c r="F8" s="58" t="e">
        <f t="shared" ref="F8:F16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353</v>
      </c>
      <c r="B9" s="1219"/>
      <c r="C9" s="1219"/>
      <c r="D9" s="844" t="e">
        <f t="shared" si="0"/>
        <v>#REF!</v>
      </c>
      <c r="E9" s="12">
        <v>0.03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213"/>
      <c r="B10" s="1214"/>
      <c r="C10" s="1214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213"/>
      <c r="B11" s="1214"/>
      <c r="C11" s="1214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13"/>
      <c r="B12" s="1214"/>
      <c r="C12" s="1214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13"/>
      <c r="B13" s="1214"/>
      <c r="C13" s="1214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213"/>
      <c r="B14" s="1214"/>
      <c r="C14" s="1214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213"/>
      <c r="B15" s="1214"/>
      <c r="C15" s="1214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213"/>
      <c r="B16" s="1214"/>
      <c r="C16" s="1214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0.15</v>
      </c>
      <c r="H23" s="7">
        <f t="shared" ref="H23:H29" si="4">IF(A23&lt;&gt;0,ROUND((F23/D23)*G23,2),$J$1)</f>
        <v>556.5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556.5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4" t="s">
        <v>2226</v>
      </c>
      <c r="C34" s="1405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28</v>
      </c>
      <c r="G45" s="1083"/>
      <c r="H45" s="7">
        <f>IF(A45&lt;&gt;0,ROUND(D45/F45,2),$J$1)</f>
        <v>11758.89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11758.89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11758.89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4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:E4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9">
    <tabColor indexed="44"/>
    <pageSetUpPr fitToPage="1"/>
  </sheetPr>
  <dimension ref="A1:K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469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213" t="s">
        <v>342</v>
      </c>
      <c r="B8" s="1214"/>
      <c r="C8" s="1214"/>
      <c r="D8" s="844" t="e">
        <f t="shared" ref="D8:D18" si="0">IF(A8&lt;&gt;0,VLOOKUP(A8,Materiales,2,FALSE),$J$1)</f>
        <v>#REF!</v>
      </c>
      <c r="E8" s="12">
        <v>1</v>
      </c>
      <c r="F8" s="58" t="e">
        <f t="shared" ref="F8:F16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213"/>
      <c r="B10" s="1214"/>
      <c r="C10" s="1214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213"/>
      <c r="B11" s="1214"/>
      <c r="C11" s="1214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213"/>
      <c r="B12" s="1214"/>
      <c r="C12" s="1214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13"/>
      <c r="B13" s="1214"/>
      <c r="C13" s="1214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213"/>
      <c r="B14" s="1214"/>
      <c r="C14" s="1214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213"/>
      <c r="B15" s="1214"/>
      <c r="C15" s="1214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213"/>
      <c r="B16" s="1214"/>
      <c r="C16" s="1214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5</v>
      </c>
      <c r="E23" s="33"/>
      <c r="F23" s="12">
        <f t="shared" ref="F23:F29" si="3">IF(A23&lt;&gt;0,VLOOKUP(A23,Equipos,6,FALSE),$J$1)</f>
        <v>3710</v>
      </c>
      <c r="G23" s="14">
        <v>0.1</v>
      </c>
      <c r="H23" s="7">
        <f t="shared" ref="H23:H29" si="4">IF(A23&lt;&gt;0,ROUND((F23/D23)*G23,2),$J$1)</f>
        <v>74.2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74.2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4" t="s">
        <v>2226</v>
      </c>
      <c r="C34" s="1405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50</v>
      </c>
      <c r="G45" s="1083"/>
      <c r="H45" s="7">
        <f>IF(A45&lt;&gt;0,ROUND(D45/F45,2),$J$1)</f>
        <v>6584.98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6584.98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6584.98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4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:E4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4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2361</v>
      </c>
      <c r="C5" s="267" t="s">
        <v>2362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114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406" t="s">
        <v>205</v>
      </c>
      <c r="B8" s="1407"/>
      <c r="C8" s="1407"/>
      <c r="D8" s="844" t="e">
        <f t="shared" ref="D8:D18" si="0">IF(A8&lt;&gt;0,VLOOKUP(A8,Materiales,2,FALSE),$J$1)</f>
        <v>#REF!</v>
      </c>
      <c r="E8" s="12">
        <v>1.02</v>
      </c>
      <c r="F8" s="58" t="e">
        <f t="shared" ref="F8:F16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408" t="s">
        <v>432</v>
      </c>
      <c r="B9" s="1409"/>
      <c r="C9" s="1409"/>
      <c r="D9" s="844" t="e">
        <f t="shared" si="0"/>
        <v>#REF!</v>
      </c>
      <c r="E9" s="12">
        <v>0.25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406" t="s">
        <v>371</v>
      </c>
      <c r="B10" s="1407"/>
      <c r="C10" s="1407"/>
      <c r="D10" s="844" t="e">
        <f t="shared" si="0"/>
        <v>#REF!</v>
      </c>
      <c r="E10" s="12">
        <v>0.03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406" t="s">
        <v>371</v>
      </c>
      <c r="B11" s="1407"/>
      <c r="C11" s="1407"/>
      <c r="D11" s="844" t="e">
        <f t="shared" si="0"/>
        <v>#REF!</v>
      </c>
      <c r="E11" s="12">
        <v>0.03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406" t="s">
        <v>431</v>
      </c>
      <c r="B12" s="1407"/>
      <c r="C12" s="1407"/>
      <c r="D12" s="844" t="e">
        <f t="shared" si="0"/>
        <v>#REF!</v>
      </c>
      <c r="E12" s="12">
        <v>0.09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406" t="s">
        <v>394</v>
      </c>
      <c r="B13" s="1407"/>
      <c r="C13" s="1407"/>
      <c r="D13" s="844" t="e">
        <f t="shared" si="0"/>
        <v>#REF!</v>
      </c>
      <c r="E13" s="12">
        <v>2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406" t="s">
        <v>357</v>
      </c>
      <c r="B14" s="1407"/>
      <c r="C14" s="1407"/>
      <c r="D14" s="844" t="e">
        <f t="shared" si="0"/>
        <v>#REF!</v>
      </c>
      <c r="E14" s="12">
        <v>1.33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406" t="s">
        <v>265</v>
      </c>
      <c r="B15" s="1407"/>
      <c r="C15" s="1407"/>
      <c r="D15" s="844" t="e">
        <f t="shared" si="0"/>
        <v>#REF!</v>
      </c>
      <c r="E15" s="12">
        <v>0.15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406" t="s">
        <v>277</v>
      </c>
      <c r="B16" s="1407"/>
      <c r="C16" s="1407"/>
      <c r="D16" s="844" t="e">
        <f t="shared" si="0"/>
        <v>#REF!</v>
      </c>
      <c r="E16" s="12">
        <v>0.02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742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742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4" t="s">
        <v>2226</v>
      </c>
      <c r="C34" s="1405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50</v>
      </c>
      <c r="G45" s="1083"/>
      <c r="H45" s="7">
        <f>IF(A45&lt;&gt;0,ROUND(D45/F45,2),$J$1)</f>
        <v>6584.98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6584.98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6584.98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1">
    <tabColor theme="2" tint="-0.499984740745262"/>
    <pageSetUpPr fitToPage="1"/>
  </sheetPr>
  <dimension ref="A1:K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307</v>
      </c>
      <c r="B8" s="1081"/>
      <c r="C8" s="1081"/>
      <c r="D8" s="844" t="e">
        <f t="shared" ref="D8:D18" si="0">IF(A8&lt;&gt;0,VLOOKUP(A8,Materiales,2,FALSE),$J$1)</f>
        <v>#REF!</v>
      </c>
      <c r="E8" s="12">
        <v>7.48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24.75" customHeight="1" x14ac:dyDescent="0.2">
      <c r="A9" s="1218" t="s">
        <v>309</v>
      </c>
      <c r="B9" s="1219"/>
      <c r="C9" s="1219"/>
      <c r="D9" s="844" t="e">
        <f t="shared" si="0"/>
        <v>#REF!</v>
      </c>
      <c r="E9" s="12">
        <v>0.99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397</v>
      </c>
      <c r="B10" s="1081"/>
      <c r="C10" s="1081"/>
      <c r="D10" s="844" t="e">
        <f t="shared" si="0"/>
        <v>#REF!</v>
      </c>
      <c r="E10" s="12">
        <v>7.27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313</v>
      </c>
      <c r="B11" s="1081"/>
      <c r="C11" s="1081"/>
      <c r="D11" s="844" t="e">
        <f t="shared" si="0"/>
        <v>#REF!</v>
      </c>
      <c r="E11" s="12">
        <v>1.79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373</v>
      </c>
      <c r="B12" s="1081"/>
      <c r="C12" s="1081"/>
      <c r="D12" s="844" t="e">
        <f t="shared" si="0"/>
        <v>#REF!</v>
      </c>
      <c r="E12" s="12">
        <v>6.11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344</v>
      </c>
      <c r="B13" s="1081"/>
      <c r="C13" s="1081"/>
      <c r="D13" s="844" t="e">
        <f t="shared" si="0"/>
        <v>#REF!</v>
      </c>
      <c r="E13" s="12">
        <v>15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0.5</v>
      </c>
      <c r="E23" s="33"/>
      <c r="F23" s="12">
        <f t="shared" ref="F23:F29" si="3">IF(A23&lt;&gt;0,VLOOKUP(A23,Equipos,6,FALSE),$J$1)</f>
        <v>3710</v>
      </c>
      <c r="G23" s="14">
        <v>0.35</v>
      </c>
      <c r="H23" s="7">
        <f t="shared" ref="H23:H29" si="4">IF(A23&lt;&gt;0,ROUND((F23/D23)*G23,2),$J$1)</f>
        <v>2597</v>
      </c>
      <c r="I23" s="69"/>
    </row>
    <row r="24" spans="1:9" x14ac:dyDescent="0.2">
      <c r="A24" s="1080" t="s">
        <v>476</v>
      </c>
      <c r="B24" s="1081"/>
      <c r="C24" s="1081"/>
      <c r="D24" s="33">
        <v>0.8</v>
      </c>
      <c r="E24" s="33"/>
      <c r="F24" s="12">
        <f t="shared" si="3"/>
        <v>5807.74</v>
      </c>
      <c r="G24" s="14">
        <v>0.45</v>
      </c>
      <c r="H24" s="7">
        <f t="shared" si="4"/>
        <v>3266.85</v>
      </c>
      <c r="I24" s="69"/>
    </row>
    <row r="25" spans="1:9" x14ac:dyDescent="0.2">
      <c r="A25" s="1080" t="s">
        <v>482</v>
      </c>
      <c r="B25" s="1081"/>
      <c r="C25" s="1081"/>
      <c r="D25" s="33">
        <v>0.5</v>
      </c>
      <c r="E25" s="33"/>
      <c r="F25" s="12">
        <f t="shared" si="3"/>
        <v>1590</v>
      </c>
      <c r="G25" s="14">
        <v>0.35</v>
      </c>
      <c r="H25" s="7">
        <f t="shared" si="4"/>
        <v>1113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6976.85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64</v>
      </c>
      <c r="B45" s="1081"/>
      <c r="C45" s="1081"/>
      <c r="D45" s="1082">
        <f>IF(A45&lt;&gt;0,VLOOKUP(A45,Cuadrillas,7,FALSE),$J$1)</f>
        <v>456806.92</v>
      </c>
      <c r="E45" s="1082"/>
      <c r="F45" s="1083">
        <v>9</v>
      </c>
      <c r="G45" s="1083"/>
      <c r="H45" s="7">
        <f>IF(A45&lt;&gt;0,ROUND(D45/F45,2),$J$1)</f>
        <v>50756.32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50756.32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50756.32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+I53+I52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11:C11"/>
    <mergeCell ref="A1:C1"/>
    <mergeCell ref="H1:I1"/>
    <mergeCell ref="A8:C8"/>
    <mergeCell ref="A9:C9"/>
    <mergeCell ref="A10:C10"/>
    <mergeCell ref="A4:E4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indexed="50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s">
        <v>2297</v>
      </c>
      <c r="C5" s="1227" t="s">
        <v>678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s">
        <v>119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ht="24.75" customHeight="1" x14ac:dyDescent="0.2">
      <c r="A8" s="1241" t="s">
        <v>278</v>
      </c>
      <c r="B8" s="1242"/>
      <c r="C8" s="1243"/>
      <c r="D8" s="545" t="e">
        <f t="shared" ref="D8:D18" si="0">IF(A8&lt;&gt;0,VLOOKUP(A8,Materiales,2,FALSE),$J$1)</f>
        <v>#REF!</v>
      </c>
      <c r="E8" s="510">
        <v>1.05</v>
      </c>
      <c r="F8" s="546" t="e">
        <f>IF(A8&lt;&gt;0,VLOOKUP(A8,Materiales,6,FALSE),$J$1)</f>
        <v>#REF!</v>
      </c>
      <c r="G8" s="547"/>
      <c r="H8" s="842" t="e">
        <f t="shared" ref="H8:H18" si="1">IF(A8&lt;&gt;0,ROUND(E8*F8,2),$J$1)</f>
        <v>#REF!</v>
      </c>
      <c r="I8" s="69"/>
    </row>
    <row r="9" spans="1:10" x14ac:dyDescent="0.2">
      <c r="A9" s="1215" t="s">
        <v>145</v>
      </c>
      <c r="B9" s="1216"/>
      <c r="C9" s="1217"/>
      <c r="D9" s="851" t="e">
        <f t="shared" si="0"/>
        <v>#REF!</v>
      </c>
      <c r="E9" s="13">
        <v>0.03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881" t="s">
        <v>2295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180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20.61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20.61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12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69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69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12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69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675</v>
      </c>
      <c r="G45" s="1222"/>
      <c r="H45" s="8">
        <f>IF(A45&lt;&gt;0,ROUND(D45/F45,2),$J$1)</f>
        <v>640.14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640.14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640.14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/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2">
    <mergeCell ref="B38:C38"/>
    <mergeCell ref="H1:I1"/>
    <mergeCell ref="A9:C9"/>
    <mergeCell ref="A10:C10"/>
    <mergeCell ref="A24:C24"/>
    <mergeCell ref="A25:C25"/>
    <mergeCell ref="C5:I5"/>
    <mergeCell ref="A8:C8"/>
    <mergeCell ref="A23:C23"/>
    <mergeCell ref="A1:C1"/>
    <mergeCell ref="B34:C34"/>
    <mergeCell ref="D44:E44"/>
    <mergeCell ref="D45:E45"/>
    <mergeCell ref="A44:C44"/>
    <mergeCell ref="A41:H41"/>
    <mergeCell ref="A42:I42"/>
    <mergeCell ref="A43:I43"/>
    <mergeCell ref="F44:G44"/>
    <mergeCell ref="A56:G56"/>
    <mergeCell ref="H56:I56"/>
    <mergeCell ref="F47:G47"/>
    <mergeCell ref="A49:C49"/>
    <mergeCell ref="A52:H52"/>
    <mergeCell ref="A51:I51"/>
    <mergeCell ref="A50:H50"/>
    <mergeCell ref="A54:G54"/>
    <mergeCell ref="F49:G49"/>
    <mergeCell ref="A55:C55"/>
    <mergeCell ref="D55:E55"/>
    <mergeCell ref="F55:I55"/>
    <mergeCell ref="A53:H53"/>
    <mergeCell ref="D49:E49"/>
    <mergeCell ref="A48:C48"/>
    <mergeCell ref="F48:G48"/>
    <mergeCell ref="F46:G46"/>
    <mergeCell ref="D47:E47"/>
    <mergeCell ref="D48:E48"/>
    <mergeCell ref="A47:C47"/>
    <mergeCell ref="F45:G45"/>
    <mergeCell ref="A46:C46"/>
    <mergeCell ref="D46:E46"/>
    <mergeCell ref="A45:C45"/>
  </mergeCells>
  <phoneticPr fontId="0" type="noConversion"/>
  <dataValidations count="5">
    <dataValidation type="list" allowBlank="1" showInputMessage="1" showErrorMessage="1" sqref="A9:A18 B11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6:C29 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3">
    <tabColor theme="2" tint="-0.499984740745262"/>
    <pageSetUpPr fitToPage="1"/>
  </sheetPr>
  <dimension ref="A1:K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7"/>
      <c r="C4" s="727"/>
      <c r="D4" s="727"/>
      <c r="E4" s="728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307</v>
      </c>
      <c r="B8" s="1081"/>
      <c r="C8" s="1081"/>
      <c r="D8" s="844" t="e">
        <f t="shared" ref="D8:D18" si="0">IF(A8&lt;&gt;0,VLOOKUP(A8,Materiales,2,FALSE),$J$1)</f>
        <v>#REF!</v>
      </c>
      <c r="E8" s="12">
        <v>10.199999999999999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308</v>
      </c>
      <c r="B9" s="1219"/>
      <c r="C9" s="1219"/>
      <c r="D9" s="844" t="e">
        <f t="shared" si="0"/>
        <v>#REF!</v>
      </c>
      <c r="E9" s="12">
        <v>1.18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373</v>
      </c>
      <c r="B10" s="1081"/>
      <c r="C10" s="1081"/>
      <c r="D10" s="844" t="e">
        <f t="shared" si="0"/>
        <v>#REF!</v>
      </c>
      <c r="E10" s="12">
        <v>21.15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397</v>
      </c>
      <c r="B11" s="1081"/>
      <c r="C11" s="1081"/>
      <c r="D11" s="844" t="e">
        <f t="shared" si="0"/>
        <v>#REF!</v>
      </c>
      <c r="E11" s="12">
        <v>32.69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167</v>
      </c>
      <c r="B12" s="1081"/>
      <c r="C12" s="1081"/>
      <c r="D12" s="844" t="e">
        <f t="shared" si="0"/>
        <v>#REF!</v>
      </c>
      <c r="E12" s="12">
        <v>0.57999999999999996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0.7</v>
      </c>
      <c r="E23" s="33"/>
      <c r="F23" s="12">
        <f t="shared" ref="F23:F29" si="3">IF(A23&lt;&gt;0,VLOOKUP(A23,Equipos,6,FALSE),$J$1)</f>
        <v>3710</v>
      </c>
      <c r="G23" s="14">
        <v>0.35</v>
      </c>
      <c r="H23" s="7">
        <f t="shared" ref="H23:H29" si="4">IF(A23&lt;&gt;0,ROUND((F23/D23)*G23,2),$J$1)</f>
        <v>1855</v>
      </c>
      <c r="I23" s="69"/>
    </row>
    <row r="24" spans="1:9" x14ac:dyDescent="0.2">
      <c r="A24" s="1080" t="s">
        <v>476</v>
      </c>
      <c r="B24" s="1081"/>
      <c r="C24" s="1081"/>
      <c r="D24" s="33">
        <v>0.4</v>
      </c>
      <c r="E24" s="33"/>
      <c r="F24" s="12">
        <f t="shared" si="3"/>
        <v>5807.74</v>
      </c>
      <c r="G24" s="14">
        <v>0.32</v>
      </c>
      <c r="H24" s="7">
        <f t="shared" si="4"/>
        <v>4646.1899999999996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6501.19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64</v>
      </c>
      <c r="B45" s="1081"/>
      <c r="C45" s="1081"/>
      <c r="D45" s="1082">
        <f>IF(A45&lt;&gt;0,VLOOKUP(A45,Cuadrillas,7,FALSE),$J$1)</f>
        <v>456806.92</v>
      </c>
      <c r="E45" s="1082"/>
      <c r="F45" s="1083">
        <v>16</v>
      </c>
      <c r="G45" s="1083"/>
      <c r="H45" s="7">
        <f>IF(A45&lt;&gt;0,ROUND(D45/F45,2),$J$1)</f>
        <v>28550.43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28550.43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28550.43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+I53+I52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6">
    <tabColor theme="2" tint="-0.499984740745262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27" customHeight="1" x14ac:dyDescent="0.2">
      <c r="A8" s="1410" t="s">
        <v>308</v>
      </c>
      <c r="B8" s="1411"/>
      <c r="C8" s="1412"/>
      <c r="D8" s="844" t="e">
        <f t="shared" ref="D8:D18" si="0">IF(A8&lt;&gt;0,VLOOKUP(A8,Materiales,2,FALSE),$J$1)</f>
        <v>#REF!</v>
      </c>
      <c r="E8" s="12">
        <v>1.03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410" t="s">
        <v>373</v>
      </c>
      <c r="B9" s="1411"/>
      <c r="C9" s="1412"/>
      <c r="D9" s="844" t="e">
        <f t="shared" si="0"/>
        <v>#REF!</v>
      </c>
      <c r="E9" s="12">
        <v>1.2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212</v>
      </c>
      <c r="B10" s="1081"/>
      <c r="C10" s="1081"/>
      <c r="D10" s="844" t="e">
        <f t="shared" si="0"/>
        <v>#REF!</v>
      </c>
      <c r="E10" s="12">
        <v>4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0.01</v>
      </c>
      <c r="H23" s="7">
        <f t="shared" ref="H23:H29" si="4">IF(A23&lt;&gt;0,ROUND((F23/D23)*G23,2),$J$1)</f>
        <v>37.1</v>
      </c>
      <c r="I23" s="69"/>
    </row>
    <row r="24" spans="1:9" x14ac:dyDescent="0.2">
      <c r="A24" s="1080" t="s">
        <v>476</v>
      </c>
      <c r="B24" s="1081"/>
      <c r="C24" s="1081"/>
      <c r="D24" s="33">
        <v>1</v>
      </c>
      <c r="E24" s="33"/>
      <c r="F24" s="12">
        <f t="shared" si="3"/>
        <v>5807.74</v>
      </c>
      <c r="G24" s="14">
        <v>0.05</v>
      </c>
      <c r="H24" s="7">
        <f t="shared" si="4"/>
        <v>290.39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327.49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64</v>
      </c>
      <c r="B45" s="1081"/>
      <c r="C45" s="1081"/>
      <c r="D45" s="1082">
        <f>IF(A45&lt;&gt;0,VLOOKUP(A45,Cuadrillas,7,FALSE),$J$1)</f>
        <v>456806.92</v>
      </c>
      <c r="E45" s="1082"/>
      <c r="F45" s="1083">
        <v>35</v>
      </c>
      <c r="G45" s="1083"/>
      <c r="H45" s="7">
        <f>IF(A45&lt;&gt;0,ROUND(D45/F45,2),$J$1)</f>
        <v>13051.63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13051.63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13051.63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+I53+I52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3">
    <tabColor theme="2" tint="-0.499984740745262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410" t="s">
        <v>303</v>
      </c>
      <c r="B8" s="1411"/>
      <c r="C8" s="1412"/>
      <c r="D8" s="844" t="e">
        <f t="shared" ref="D8:D15" si="0">IF(A8&lt;&gt;0,VLOOKUP(A8,Materiales,2,FALSE),$J$1)</f>
        <v>#REF!</v>
      </c>
      <c r="E8" s="12">
        <v>1.8</v>
      </c>
      <c r="F8" s="58" t="e">
        <f t="shared" ref="F8:F15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ht="12.75" customHeight="1" x14ac:dyDescent="0.2">
      <c r="A9" s="1410" t="s">
        <v>304</v>
      </c>
      <c r="B9" s="1411"/>
      <c r="C9" s="1412"/>
      <c r="D9" s="844" t="e">
        <f t="shared" si="0"/>
        <v>#REF!</v>
      </c>
      <c r="E9" s="12">
        <v>1.2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ht="12.75" customHeight="1" x14ac:dyDescent="0.2">
      <c r="A10" s="1410" t="s">
        <v>304</v>
      </c>
      <c r="B10" s="1411"/>
      <c r="C10" s="1412"/>
      <c r="D10" s="844" t="s">
        <v>114</v>
      </c>
      <c r="E10" s="12"/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305</v>
      </c>
      <c r="B11" s="1081"/>
      <c r="C11" s="1081"/>
      <c r="D11" s="844" t="e">
        <f t="shared" si="0"/>
        <v>#REF!</v>
      </c>
      <c r="E11" s="12">
        <v>4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306</v>
      </c>
      <c r="B12" s="1081"/>
      <c r="C12" s="1081"/>
      <c r="D12" s="844" t="e">
        <f t="shared" si="0"/>
        <v>#REF!</v>
      </c>
      <c r="E12" s="12"/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151</v>
      </c>
      <c r="B13" s="1081"/>
      <c r="C13" s="1081"/>
      <c r="D13" s="844" t="e">
        <f t="shared" si="0"/>
        <v>#REF!</v>
      </c>
      <c r="E13" s="12">
        <v>16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396</v>
      </c>
      <c r="B14" s="1081"/>
      <c r="C14" s="1081"/>
      <c r="D14" s="844" t="e">
        <f t="shared" si="0"/>
        <v>#REF!</v>
      </c>
      <c r="E14" s="12"/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392</v>
      </c>
      <c r="B15" s="1081"/>
      <c r="C15" s="1081"/>
      <c r="D15" s="844" t="e">
        <f t="shared" si="0"/>
        <v>#REF!</v>
      </c>
      <c r="E15" s="12"/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/>
      <c r="E18" s="12"/>
      <c r="F18" s="58"/>
      <c r="G18" s="58"/>
      <c r="H18" s="7" t="str">
        <f t="shared" si="2"/>
        <v>-</v>
      </c>
      <c r="I18" s="69"/>
    </row>
    <row r="19" spans="1:9" x14ac:dyDescent="0.2">
      <c r="A19" s="1080"/>
      <c r="B19" s="1081"/>
      <c r="C19" s="1081"/>
      <c r="D19" s="844"/>
      <c r="E19" s="12"/>
      <c r="F19" s="58"/>
      <c r="G19" s="58"/>
      <c r="H19" s="7" t="str">
        <f t="shared" si="2"/>
        <v>-</v>
      </c>
      <c r="I19" s="73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x14ac:dyDescent="0.2">
      <c r="A21" s="76"/>
      <c r="B21" s="27"/>
      <c r="C21" s="27"/>
      <c r="D21" s="27"/>
      <c r="E21" s="27"/>
      <c r="F21" s="27"/>
      <c r="G21" s="27"/>
      <c r="H21" s="27"/>
      <c r="I21" s="64"/>
    </row>
    <row r="22" spans="1:9" x14ac:dyDescent="0.2">
      <c r="A22" s="875" t="s">
        <v>454</v>
      </c>
      <c r="B22" s="876"/>
      <c r="C22" s="876"/>
      <c r="D22" s="876"/>
      <c r="E22" s="876"/>
      <c r="F22" s="876"/>
      <c r="G22" s="876"/>
      <c r="H22" s="876"/>
      <c r="I22" s="286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1</v>
      </c>
      <c r="E24" s="33"/>
      <c r="F24" s="12">
        <f t="shared" ref="F24:F30" si="3">IF(A24&lt;&gt;0,VLOOKUP(A24,Equipos,6,FALSE),$J$1)</f>
        <v>3710</v>
      </c>
      <c r="G24" s="14">
        <v>0.01</v>
      </c>
      <c r="H24" s="7">
        <f t="shared" ref="H24:H30" si="4">IF(A24&lt;&gt;0,ROUND((F24/D24)*G24,2),$J$1)</f>
        <v>37.1</v>
      </c>
      <c r="I24" s="69"/>
    </row>
    <row r="25" spans="1:9" x14ac:dyDescent="0.2">
      <c r="A25" s="1080" t="s">
        <v>476</v>
      </c>
      <c r="B25" s="1081"/>
      <c r="C25" s="1081"/>
      <c r="D25" s="33">
        <v>1</v>
      </c>
      <c r="E25" s="33"/>
      <c r="F25" s="12">
        <f t="shared" si="3"/>
        <v>5807.74</v>
      </c>
      <c r="G25" s="14">
        <v>0.05</v>
      </c>
      <c r="H25" s="7">
        <f t="shared" si="4"/>
        <v>290.39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080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73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327.49</v>
      </c>
    </row>
    <row r="32" spans="1:9" x14ac:dyDescent="0.2">
      <c r="A32" s="76"/>
      <c r="B32" s="27"/>
      <c r="C32" s="27"/>
      <c r="D32" s="27"/>
      <c r="E32" s="27"/>
      <c r="F32" s="27"/>
      <c r="G32" s="27"/>
      <c r="H32" s="27"/>
      <c r="I32" s="64"/>
    </row>
    <row r="33" spans="1:9" x14ac:dyDescent="0.2">
      <c r="A33" s="855" t="s">
        <v>2222</v>
      </c>
      <c r="B33" s="856"/>
      <c r="C33" s="228"/>
      <c r="D33" s="876"/>
      <c r="E33" s="876"/>
      <c r="F33" s="876"/>
      <c r="G33" s="876"/>
      <c r="H33" s="876"/>
      <c r="I33" s="877"/>
    </row>
    <row r="34" spans="1:9" s="9" customFormat="1" ht="25.5" x14ac:dyDescent="0.2">
      <c r="A34" s="233" t="s">
        <v>26</v>
      </c>
      <c r="B34" s="234"/>
      <c r="C34" s="234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72"/>
    </row>
    <row r="35" spans="1:9" x14ac:dyDescent="0.2">
      <c r="A35" s="890"/>
      <c r="B35" s="1105" t="s">
        <v>2226</v>
      </c>
      <c r="C35" s="1104"/>
      <c r="D35" s="46"/>
      <c r="E35" s="47"/>
      <c r="F35" s="15"/>
      <c r="G35" s="12"/>
      <c r="H35" s="7"/>
      <c r="I35" s="343">
        <f>SUM(H36:H38)</f>
        <v>0</v>
      </c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7" t="str">
        <f t="shared" ref="H36:H41" si="6">IF(A36&lt;&gt;0,D36/F36*G36,$J$1)</f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4"/>
    </row>
    <row r="38" spans="1:9" x14ac:dyDescent="0.2">
      <c r="A38" s="1215"/>
      <c r="B38" s="1216"/>
      <c r="C38" s="1217"/>
      <c r="D38" s="46" t="str">
        <f>IF(A27&lt;&gt;0,VLOOKUP(A38,Transporte,8,FALSE),$J$1)</f>
        <v>-</v>
      </c>
      <c r="E38" s="47"/>
      <c r="F38" s="15" t="str">
        <f t="shared" si="5"/>
        <v>-</v>
      </c>
      <c r="G38" s="12"/>
      <c r="H38" s="7" t="str">
        <f t="shared" si="6"/>
        <v>-</v>
      </c>
      <c r="I38" s="345"/>
    </row>
    <row r="39" spans="1:9" x14ac:dyDescent="0.2">
      <c r="A39" s="871"/>
      <c r="B39" s="1105" t="s">
        <v>2227</v>
      </c>
      <c r="C39" s="1104"/>
      <c r="D39" s="46"/>
      <c r="E39" s="47"/>
      <c r="F39" s="15"/>
      <c r="G39" s="12"/>
      <c r="H39" s="7"/>
      <c r="I39" s="343">
        <f>SUM(H40:H41)</f>
        <v>0</v>
      </c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4"/>
    </row>
    <row r="41" spans="1:9" x14ac:dyDescent="0.2">
      <c r="A41" s="1215"/>
      <c r="B41" s="1216"/>
      <c r="C41" s="1217"/>
      <c r="D41" s="61" t="str">
        <f>IF(A30&lt;&gt;0,VLOOKUP(A41,Transporte,8,FALSE),$J$1)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346"/>
    </row>
    <row r="42" spans="1:9" x14ac:dyDescent="0.2">
      <c r="A42" s="1106" t="s">
        <v>2228</v>
      </c>
      <c r="B42" s="1107"/>
      <c r="C42" s="1107"/>
      <c r="D42" s="1107"/>
      <c r="E42" s="1107"/>
      <c r="F42" s="1107"/>
      <c r="G42" s="1107"/>
      <c r="H42" s="1107"/>
      <c r="I42" s="347">
        <f>SUM(I35:I41)</f>
        <v>0</v>
      </c>
    </row>
    <row r="43" spans="1:9" x14ac:dyDescent="0.2">
      <c r="A43" s="1086"/>
      <c r="B43" s="1087"/>
      <c r="C43" s="1087"/>
      <c r="D43" s="1087"/>
      <c r="E43" s="1087"/>
      <c r="F43" s="1087"/>
      <c r="G43" s="1087"/>
      <c r="H43" s="1087"/>
      <c r="I43" s="1088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46" t="s">
        <v>2229</v>
      </c>
      <c r="B45" s="1247"/>
      <c r="C45" s="1247"/>
      <c r="D45" s="1248" t="s">
        <v>2230</v>
      </c>
      <c r="E45" s="1248"/>
      <c r="F45" s="1248" t="s">
        <v>2218</v>
      </c>
      <c r="G45" s="1248"/>
      <c r="H45" s="881" t="s">
        <v>2216</v>
      </c>
      <c r="I45" s="72"/>
    </row>
    <row r="46" spans="1:9" x14ac:dyDescent="0.2">
      <c r="A46" s="1080" t="s">
        <v>64</v>
      </c>
      <c r="B46" s="1081"/>
      <c r="C46" s="1081"/>
      <c r="D46" s="1082">
        <f>IF(A46&lt;&gt;0,VLOOKUP(A46,Cuadrillas,7,FALSE),$J$1)</f>
        <v>456806.92</v>
      </c>
      <c r="E46" s="1082"/>
      <c r="F46" s="1083">
        <v>15</v>
      </c>
      <c r="G46" s="1083"/>
      <c r="H46" s="7">
        <f>IF(A46&lt;&gt;0,ROUND(D46/F46,2),$J$1)</f>
        <v>30453.79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080"/>
      <c r="B50" s="1081"/>
      <c r="C50" s="1081"/>
      <c r="D50" s="1082" t="str">
        <f>IF(A50&lt;&gt;0,VLOOKUP(A50,Cuadrillas,7,FALSE),$J$1)</f>
        <v>-</v>
      </c>
      <c r="E50" s="1082"/>
      <c r="F50" s="1083"/>
      <c r="G50" s="1083"/>
      <c r="H50" s="7" t="str">
        <f>IF(A50&lt;&gt;0,ROUND(D50/F50,2),$J$1)</f>
        <v>-</v>
      </c>
      <c r="I50" s="69"/>
    </row>
    <row r="51" spans="1:9" x14ac:dyDescent="0.2">
      <c r="A51" s="1106" t="s">
        <v>2231</v>
      </c>
      <c r="B51" s="1203"/>
      <c r="C51" s="1203"/>
      <c r="D51" s="1203"/>
      <c r="E51" s="1203"/>
      <c r="F51" s="1203"/>
      <c r="G51" s="1203"/>
      <c r="H51" s="1203"/>
      <c r="I51" s="242">
        <f>SUM(H46:H50)</f>
        <v>30453.79</v>
      </c>
    </row>
    <row r="52" spans="1:9" x14ac:dyDescent="0.2">
      <c r="A52" s="1086"/>
      <c r="B52" s="1087"/>
      <c r="C52" s="1087"/>
      <c r="D52" s="1087"/>
      <c r="E52" s="1087"/>
      <c r="F52" s="1087"/>
      <c r="G52" s="1087"/>
      <c r="H52" s="1087"/>
      <c r="I52" s="1088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193" t="s">
        <v>2233</v>
      </c>
      <c r="B54" s="1194"/>
      <c r="C54" s="1194"/>
      <c r="D54" s="1194"/>
      <c r="E54" s="1194"/>
      <c r="F54" s="1194"/>
      <c r="G54" s="1194"/>
      <c r="H54" s="1194"/>
      <c r="I54" s="238">
        <f>I51</f>
        <v>30453.79</v>
      </c>
    </row>
    <row r="55" spans="1:9" s="9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+I54+I53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096"/>
      <c r="D56" s="1097">
        <f>+'Datos entrada'!B7</f>
        <v>0.3</v>
      </c>
      <c r="E56" s="1098"/>
      <c r="F56" s="1099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>
      <c r="I58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7:G57"/>
    <mergeCell ref="H57:I57"/>
    <mergeCell ref="A10:C10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  <mergeCell ref="F50:G50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4:I44"/>
    <mergeCell ref="A29:C29"/>
    <mergeCell ref="A30:C30"/>
    <mergeCell ref="B35:C35"/>
    <mergeCell ref="A36:C36"/>
    <mergeCell ref="A37:C37"/>
    <mergeCell ref="A38:C38"/>
    <mergeCell ref="B39:C39"/>
    <mergeCell ref="A40:C40"/>
    <mergeCell ref="A41:C41"/>
    <mergeCell ref="A42:H42"/>
    <mergeCell ref="A43:I43"/>
    <mergeCell ref="A28:C28"/>
    <mergeCell ref="A13:C13"/>
    <mergeCell ref="A14:C14"/>
    <mergeCell ref="A15:C15"/>
    <mergeCell ref="A16:C16"/>
    <mergeCell ref="A17:C17"/>
    <mergeCell ref="A18:C18"/>
    <mergeCell ref="A19:C19"/>
    <mergeCell ref="A24:C24"/>
    <mergeCell ref="A25:C25"/>
    <mergeCell ref="A26:C26"/>
    <mergeCell ref="A27:C27"/>
    <mergeCell ref="A12:C12"/>
    <mergeCell ref="A1:C1"/>
    <mergeCell ref="H1:I1"/>
    <mergeCell ref="A8:C8"/>
    <mergeCell ref="A9:C9"/>
    <mergeCell ref="A11:C11"/>
  </mergeCells>
  <dataValidations count="5">
    <dataValidation type="list" allowBlank="1" showInputMessage="1" showErrorMessage="1" sqref="A9:A19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5:A41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tabColor indexed="4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2363</v>
      </c>
      <c r="C5" s="267" t="s">
        <v>2319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114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271</v>
      </c>
      <c r="B8" s="1081"/>
      <c r="C8" s="1081"/>
      <c r="D8" s="844" t="e">
        <f t="shared" ref="D8:D18" si="0">IF(A8&lt;&gt;0,VLOOKUP(A8,Materiales,2,FALSE),$J$1)</f>
        <v>#REF!</v>
      </c>
      <c r="E8" s="12">
        <v>0.08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354</v>
      </c>
      <c r="B9" s="1219"/>
      <c r="C9" s="1219"/>
      <c r="D9" s="844" t="e">
        <f t="shared" si="0"/>
        <v>#REF!</v>
      </c>
      <c r="E9" s="12">
        <v>0.22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2320</v>
      </c>
      <c r="B10" s="1081"/>
      <c r="C10" s="1081"/>
      <c r="D10" s="844" t="e">
        <f t="shared" si="0"/>
        <v>#REF!</v>
      </c>
      <c r="E10" s="12">
        <v>0.02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246</v>
      </c>
      <c r="B11" s="1081"/>
      <c r="C11" s="1081"/>
      <c r="D11" s="844" t="e">
        <f t="shared" si="0"/>
        <v>#REF!</v>
      </c>
      <c r="E11" s="12">
        <v>0.02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166</v>
      </c>
      <c r="B12" s="1081"/>
      <c r="C12" s="1081"/>
      <c r="D12" s="844" t="e">
        <f t="shared" si="0"/>
        <v>#REF!</v>
      </c>
      <c r="E12" s="12">
        <v>0.6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470</v>
      </c>
      <c r="B23" s="1081"/>
      <c r="C23" s="1081"/>
      <c r="D23" s="33">
        <v>35</v>
      </c>
      <c r="E23" s="33"/>
      <c r="F23" s="12">
        <f t="shared" ref="F23:F29" si="3">IF(A23&lt;&gt;0,VLOOKUP(A23,Equipos,6,FALSE),$J$1)</f>
        <v>32012</v>
      </c>
      <c r="G23" s="14">
        <v>1</v>
      </c>
      <c r="H23" s="7">
        <f t="shared" ref="H23:H29" si="4">IF(A23&lt;&gt;0,ROUND((F23/D23)*G23,2),$J$1)</f>
        <v>914.63</v>
      </c>
      <c r="I23" s="69"/>
    </row>
    <row r="24" spans="1:9" x14ac:dyDescent="0.2">
      <c r="A24" s="1080" t="s">
        <v>467</v>
      </c>
      <c r="B24" s="1081"/>
      <c r="C24" s="1081"/>
      <c r="D24" s="33">
        <v>40</v>
      </c>
      <c r="E24" s="33"/>
      <c r="F24" s="12">
        <f t="shared" si="3"/>
        <v>24592</v>
      </c>
      <c r="G24" s="14">
        <v>1</v>
      </c>
      <c r="H24" s="7">
        <f t="shared" si="4"/>
        <v>614.79999999999995</v>
      </c>
      <c r="I24" s="69"/>
    </row>
    <row r="25" spans="1:9" x14ac:dyDescent="0.2">
      <c r="A25" s="1080" t="s">
        <v>461</v>
      </c>
      <c r="B25" s="1081"/>
      <c r="C25" s="1081"/>
      <c r="D25" s="33">
        <v>40</v>
      </c>
      <c r="E25" s="33"/>
      <c r="F25" s="12">
        <f t="shared" si="3"/>
        <v>127200</v>
      </c>
      <c r="G25" s="14">
        <v>1</v>
      </c>
      <c r="H25" s="7">
        <f t="shared" si="4"/>
        <v>3180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4709.43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40</v>
      </c>
      <c r="G45" s="1083"/>
      <c r="H45" s="7">
        <f>IF(A45&lt;&gt;0,ROUND(D45/F45,2),$J$1)</f>
        <v>5386.87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5386.87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5386.87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5:C35"/>
    <mergeCell ref="A36:C36"/>
    <mergeCell ref="A37:C37"/>
    <mergeCell ref="A39:C39"/>
    <mergeCell ref="A40:C40"/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tabColor indexed="4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2364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270</v>
      </c>
      <c r="B8" s="1081"/>
      <c r="C8" s="1081"/>
      <c r="D8" s="844" t="e">
        <f t="shared" ref="D8:D18" si="0">IF(A8&lt;&gt;0,VLOOKUP(A8,Materiales,2,FALSE),$J$1)</f>
        <v>#REF!</v>
      </c>
      <c r="E8" s="12">
        <v>0.23</v>
      </c>
      <c r="F8" s="58" t="e">
        <f t="shared" ref="F8:F16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354</v>
      </c>
      <c r="B9" s="1284"/>
      <c r="C9" s="1284"/>
      <c r="D9" s="844" t="e">
        <f t="shared" si="0"/>
        <v>#REF!</v>
      </c>
      <c r="E9" s="12">
        <v>0.6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2320</v>
      </c>
      <c r="B10" s="1081"/>
      <c r="C10" s="1081"/>
      <c r="D10" s="844" t="e">
        <f t="shared" si="0"/>
        <v>#REF!</v>
      </c>
      <c r="E10" s="12">
        <v>0.06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246</v>
      </c>
      <c r="B11" s="1081"/>
      <c r="C11" s="1081"/>
      <c r="D11" s="844" t="e">
        <f t="shared" si="0"/>
        <v>#REF!</v>
      </c>
      <c r="E11" s="12">
        <v>0.12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168</v>
      </c>
      <c r="B12" s="1081"/>
      <c r="C12" s="1081"/>
      <c r="D12" s="844" t="e">
        <f t="shared" si="0"/>
        <v>#REF!</v>
      </c>
      <c r="E12" s="12">
        <v>0.5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361</v>
      </c>
      <c r="B13" s="1081"/>
      <c r="C13" s="1081"/>
      <c r="D13" s="844" t="e">
        <f>IF(A13&lt;&gt;0,VLOOKUP(A13,Materiales,2,FALSE),$J$1)</f>
        <v>#REF!</v>
      </c>
      <c r="E13" s="12">
        <v>1.72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408</v>
      </c>
      <c r="B14" s="1081"/>
      <c r="C14" s="1081"/>
      <c r="D14" s="844" t="e">
        <f t="shared" si="0"/>
        <v>#REF!</v>
      </c>
      <c r="E14" s="12">
        <v>2.12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299</v>
      </c>
      <c r="B15" s="1081"/>
      <c r="C15" s="1081"/>
      <c r="D15" s="844" t="e">
        <f t="shared" si="0"/>
        <v>#REF!</v>
      </c>
      <c r="E15" s="12">
        <v>1.1200000000000001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 t="s">
        <v>287</v>
      </c>
      <c r="B16" s="1081"/>
      <c r="C16" s="1081"/>
      <c r="D16" s="844" t="e">
        <f t="shared" si="0"/>
        <v>#REF!</v>
      </c>
      <c r="E16" s="12">
        <v>1.86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470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32012</v>
      </c>
      <c r="G23" s="14">
        <v>0.1</v>
      </c>
      <c r="H23" s="7">
        <f t="shared" ref="H23:H29" si="4">IF(A23&lt;&gt;0,ROUND((F23/D23)*G23,2),$J$1)</f>
        <v>3201.2</v>
      </c>
      <c r="I23" s="69"/>
    </row>
    <row r="24" spans="1:9" x14ac:dyDescent="0.2">
      <c r="A24" s="1080" t="s">
        <v>467</v>
      </c>
      <c r="B24" s="1081"/>
      <c r="C24" s="1081"/>
      <c r="D24" s="33">
        <v>1</v>
      </c>
      <c r="E24" s="33"/>
      <c r="F24" s="12">
        <f t="shared" si="3"/>
        <v>24592</v>
      </c>
      <c r="G24" s="14">
        <v>0.04</v>
      </c>
      <c r="H24" s="7">
        <f t="shared" si="4"/>
        <v>983.68</v>
      </c>
      <c r="I24" s="69"/>
    </row>
    <row r="25" spans="1:9" x14ac:dyDescent="0.2">
      <c r="A25" s="1080" t="s">
        <v>461</v>
      </c>
      <c r="B25" s="1081"/>
      <c r="C25" s="1081"/>
      <c r="D25" s="33">
        <v>1</v>
      </c>
      <c r="E25" s="33"/>
      <c r="F25" s="12">
        <f t="shared" si="3"/>
        <v>127200</v>
      </c>
      <c r="G25" s="14">
        <v>0.05</v>
      </c>
      <c r="H25" s="7">
        <f t="shared" si="4"/>
        <v>6360</v>
      </c>
      <c r="I25" s="69"/>
    </row>
    <row r="26" spans="1:9" x14ac:dyDescent="0.2">
      <c r="A26" s="1080" t="s">
        <v>477</v>
      </c>
      <c r="B26" s="1081"/>
      <c r="C26" s="1081"/>
      <c r="D26" s="33">
        <v>1</v>
      </c>
      <c r="E26" s="33"/>
      <c r="F26" s="12">
        <f t="shared" si="3"/>
        <v>3710</v>
      </c>
      <c r="G26" s="14">
        <v>0.05</v>
      </c>
      <c r="H26" s="7">
        <f t="shared" si="4"/>
        <v>185.5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10730.380000000001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/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4.5</v>
      </c>
      <c r="G45" s="1083"/>
      <c r="H45" s="7">
        <f>IF(A45&lt;&gt;0,ROUND(D45/F45,2),$J$1)</f>
        <v>47883.33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47883.33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47883.33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5:C35"/>
    <mergeCell ref="A36:C36"/>
    <mergeCell ref="A37:C37"/>
    <mergeCell ref="A39:C39"/>
    <mergeCell ref="A40:C40"/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>
    <tabColor indexed="4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361</v>
      </c>
      <c r="B8" s="1081"/>
      <c r="C8" s="1081"/>
      <c r="D8" s="844" t="e">
        <f t="shared" ref="D8:D18" si="0">IF(A8&lt;&gt;0,VLOOKUP(A8,Materiales,2,FALSE),$J$1)</f>
        <v>#REF!</v>
      </c>
      <c r="E8" s="12">
        <v>1.6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354</v>
      </c>
      <c r="B9" s="1284"/>
      <c r="C9" s="1284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2320</v>
      </c>
      <c r="B10" s="1081"/>
      <c r="C10" s="1081"/>
      <c r="D10" s="844" t="e">
        <f t="shared" si="0"/>
        <v>#REF!</v>
      </c>
      <c r="E10" s="13">
        <v>0.05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246</v>
      </c>
      <c r="B11" s="1081"/>
      <c r="C11" s="1081"/>
      <c r="D11" s="844" t="e">
        <f t="shared" si="0"/>
        <v>#REF!</v>
      </c>
      <c r="E11" s="13">
        <v>0.12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287</v>
      </c>
      <c r="B12" s="1081"/>
      <c r="C12" s="1081"/>
      <c r="D12" s="844" t="e">
        <f t="shared" si="0"/>
        <v>#REF!</v>
      </c>
      <c r="E12" s="12">
        <v>1.68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408</v>
      </c>
      <c r="B13" s="1081"/>
      <c r="C13" s="1081"/>
      <c r="D13" s="844" t="e">
        <f t="shared" si="0"/>
        <v>#REF!</v>
      </c>
      <c r="E13" s="12">
        <v>3.78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470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32012</v>
      </c>
      <c r="G23" s="14">
        <v>0.1</v>
      </c>
      <c r="H23" s="7">
        <f t="shared" ref="H23:H29" si="4">IF(A23&lt;&gt;0,ROUND((F23/D23)*G23,2),$J$1)</f>
        <v>3201.2</v>
      </c>
      <c r="I23" s="69"/>
    </row>
    <row r="24" spans="1:9" x14ac:dyDescent="0.2">
      <c r="A24" s="1080" t="s">
        <v>467</v>
      </c>
      <c r="B24" s="1081"/>
      <c r="C24" s="1081"/>
      <c r="D24" s="33">
        <v>1</v>
      </c>
      <c r="E24" s="33"/>
      <c r="F24" s="12">
        <f t="shared" si="3"/>
        <v>24592</v>
      </c>
      <c r="G24" s="14">
        <v>0.04</v>
      </c>
      <c r="H24" s="7">
        <f t="shared" si="4"/>
        <v>983.68</v>
      </c>
      <c r="I24" s="69"/>
    </row>
    <row r="25" spans="1:9" x14ac:dyDescent="0.2">
      <c r="A25" s="1080" t="s">
        <v>461</v>
      </c>
      <c r="B25" s="1081"/>
      <c r="C25" s="1081"/>
      <c r="D25" s="33">
        <v>1</v>
      </c>
      <c r="E25" s="33"/>
      <c r="F25" s="12">
        <f t="shared" si="3"/>
        <v>127200</v>
      </c>
      <c r="G25" s="14">
        <v>0.05</v>
      </c>
      <c r="H25" s="7">
        <f t="shared" si="4"/>
        <v>6360</v>
      </c>
      <c r="I25" s="69"/>
    </row>
    <row r="26" spans="1:9" x14ac:dyDescent="0.2">
      <c r="A26" s="1080" t="s">
        <v>477</v>
      </c>
      <c r="B26" s="1081"/>
      <c r="C26" s="1081"/>
      <c r="D26" s="33">
        <v>1</v>
      </c>
      <c r="E26" s="33"/>
      <c r="F26" s="12">
        <f t="shared" si="3"/>
        <v>3710</v>
      </c>
      <c r="G26" s="14">
        <v>0.05</v>
      </c>
      <c r="H26" s="7">
        <f t="shared" si="4"/>
        <v>185.5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10730.380000000001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/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5.3</v>
      </c>
      <c r="G45" s="1083"/>
      <c r="H45" s="7">
        <f>IF(A45&lt;&gt;0,ROUND(D45/F45,2),$J$1)</f>
        <v>40655.65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40655.65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40655.65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9:C39"/>
    <mergeCell ref="A40:C40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35:C35"/>
    <mergeCell ref="A36:C36"/>
    <mergeCell ref="A37:C37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tabColor indexed="4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" width="9.140625" style="1"/>
    <col min="17" max="17" width="10.5703125" style="1" bestFit="1" customWidth="1"/>
    <col min="18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271</v>
      </c>
      <c r="B8" s="1081"/>
      <c r="C8" s="1081"/>
      <c r="D8" s="844" t="e">
        <f t="shared" ref="D8:D18" si="0">IF(A8&lt;&gt;0,VLOOKUP(A8,Materiales,2,FALSE),$J$1)</f>
        <v>#REF!</v>
      </c>
      <c r="E8" s="12">
        <f>1.8*0.65</f>
        <v>1.1700000000000002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354</v>
      </c>
      <c r="B9" s="1284"/>
      <c r="C9" s="1284"/>
      <c r="D9" s="844" t="e">
        <f t="shared" si="0"/>
        <v>#REF!</v>
      </c>
      <c r="E9" s="12">
        <v>3.5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2320</v>
      </c>
      <c r="B10" s="1081"/>
      <c r="C10" s="1081"/>
      <c r="D10" s="844" t="e">
        <f t="shared" si="0"/>
        <v>#REF!</v>
      </c>
      <c r="E10" s="12">
        <v>0.4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246</v>
      </c>
      <c r="B11" s="1081"/>
      <c r="C11" s="1081"/>
      <c r="D11" s="844" t="e">
        <f t="shared" si="0"/>
        <v>#REF!</v>
      </c>
      <c r="E11" s="12">
        <v>0.4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316</v>
      </c>
      <c r="B12" s="1081"/>
      <c r="C12" s="1081"/>
      <c r="D12" s="844" t="e">
        <f t="shared" si="0"/>
        <v>#REF!</v>
      </c>
      <c r="E12" s="12">
        <f>1.8*2</f>
        <v>3.6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120" t="s">
        <v>249</v>
      </c>
      <c r="B13" s="1121"/>
      <c r="C13" s="1121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314</v>
      </c>
      <c r="B14" s="1081"/>
      <c r="C14" s="1081"/>
      <c r="D14" s="844" t="e">
        <f t="shared" si="0"/>
        <v>#REF!</v>
      </c>
      <c r="E14" s="12">
        <v>2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470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32012</v>
      </c>
      <c r="G23" s="14">
        <v>0.2</v>
      </c>
      <c r="H23" s="7">
        <f t="shared" ref="H23:H29" si="4">IF(A23&lt;&gt;0,ROUND((F23/D23)*G23,2),$J$1)</f>
        <v>6402.4</v>
      </c>
      <c r="I23" s="69"/>
    </row>
    <row r="24" spans="1:9" x14ac:dyDescent="0.2">
      <c r="A24" s="1080" t="s">
        <v>467</v>
      </c>
      <c r="B24" s="1081"/>
      <c r="C24" s="1081"/>
      <c r="D24" s="33">
        <v>1</v>
      </c>
      <c r="E24" s="33"/>
      <c r="F24" s="12">
        <f t="shared" si="3"/>
        <v>24592</v>
      </c>
      <c r="G24" s="14">
        <v>0.32</v>
      </c>
      <c r="H24" s="7">
        <f t="shared" si="4"/>
        <v>7869.44</v>
      </c>
      <c r="I24" s="69"/>
    </row>
    <row r="25" spans="1:9" x14ac:dyDescent="0.2">
      <c r="A25" s="1080" t="s">
        <v>461</v>
      </c>
      <c r="B25" s="1081"/>
      <c r="C25" s="1081"/>
      <c r="D25" s="33">
        <v>1</v>
      </c>
      <c r="E25" s="33"/>
      <c r="F25" s="12">
        <f t="shared" si="3"/>
        <v>127200</v>
      </c>
      <c r="G25" s="14">
        <v>0.3</v>
      </c>
      <c r="H25" s="7">
        <f t="shared" si="4"/>
        <v>38160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52431.839999999997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2</v>
      </c>
      <c r="G45" s="1083"/>
      <c r="H45" s="7">
        <f>IF(A45&lt;&gt;0,ROUND(D45/F45,2),$J$1)</f>
        <v>107737.48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107737.48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107737.48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rowBreaks count="1" manualBreakCount="1">
        <brk id="33" max="8" man="1"/>
      </rowBreaks>
      <colBreaks count="1" manualBreakCount="1">
        <brk id="3" max="53" man="1"/>
      </colBreaks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9:C39"/>
    <mergeCell ref="A40:C40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35:C35"/>
    <mergeCell ref="A36:C36"/>
    <mergeCell ref="A37:C37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rowBreaks count="1" manualBreakCount="1">
    <brk id="33" max="8" man="1"/>
  </rowBreaks>
  <colBreaks count="1" manualBreakCount="1">
    <brk id="3" max="53" man="1"/>
  </colBreaks>
  <drawing r:id="rId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8">
    <tabColor indexed="46"/>
    <pageSetUpPr fitToPage="1"/>
  </sheetPr>
  <dimension ref="A1:K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404</v>
      </c>
      <c r="B8" s="1081"/>
      <c r="C8" s="1081"/>
      <c r="D8" s="844" t="e">
        <f t="shared" ref="D8:D18" si="0">IF(A8&lt;&gt;0,VLOOKUP(A8,Materiales,2,FALSE),$J$1)</f>
        <v>#REF!</v>
      </c>
      <c r="E8" s="12">
        <v>1.03</v>
      </c>
      <c r="F8" s="58" t="e">
        <f t="shared" ref="F8:F17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2320</v>
      </c>
      <c r="B9" s="1219"/>
      <c r="C9" s="1219"/>
      <c r="D9" s="844" t="e">
        <f t="shared" si="0"/>
        <v>#REF!</v>
      </c>
      <c r="E9" s="12">
        <v>0.01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354</v>
      </c>
      <c r="B10" s="1081"/>
      <c r="C10" s="1081"/>
      <c r="D10" s="844" t="e">
        <f t="shared" si="0"/>
        <v>#REF!</v>
      </c>
      <c r="E10" s="12">
        <v>0.25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289</v>
      </c>
      <c r="B11" s="1081"/>
      <c r="C11" s="1081"/>
      <c r="D11" s="844" t="e">
        <f t="shared" si="0"/>
        <v>#REF!</v>
      </c>
      <c r="E11" s="12">
        <v>0.01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142" t="s">
        <v>391</v>
      </c>
      <c r="B12" s="1143"/>
      <c r="C12" s="1143"/>
      <c r="D12" s="847" t="e">
        <f t="shared" si="0"/>
        <v>#REF!</v>
      </c>
      <c r="E12" s="407">
        <v>2</v>
      </c>
      <c r="F12" s="58" t="e">
        <f t="shared" si="1"/>
        <v>#REF!</v>
      </c>
      <c r="G12" s="408"/>
      <c r="H12" s="409" t="e">
        <f t="shared" si="2"/>
        <v>#REF!</v>
      </c>
      <c r="I12" s="69"/>
    </row>
    <row r="13" spans="1:10" x14ac:dyDescent="0.2">
      <c r="A13" s="1213" t="s">
        <v>246</v>
      </c>
      <c r="B13" s="1214"/>
      <c r="C13" s="1214"/>
      <c r="D13" s="844" t="e">
        <f t="shared" si="0"/>
        <v>#REF!</v>
      </c>
      <c r="E13" s="12">
        <v>0.01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246</v>
      </c>
      <c r="B14" s="1081"/>
      <c r="C14" s="1081"/>
      <c r="D14" s="844" t="e">
        <f t="shared" si="0"/>
        <v>#REF!</v>
      </c>
      <c r="E14" s="12">
        <v>0.01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318</v>
      </c>
      <c r="B15" s="1081"/>
      <c r="C15" s="1081"/>
      <c r="D15" s="844" t="e">
        <f t="shared" si="0"/>
        <v>#REF!</v>
      </c>
      <c r="E15" s="12">
        <v>1.5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30</v>
      </c>
      <c r="E23" s="33"/>
      <c r="F23" s="12">
        <f t="shared" ref="F23:F29" si="3">IF(A23&lt;&gt;0,VLOOKUP(A23,Equipos,6,FALSE),$J$1)</f>
        <v>3710</v>
      </c>
      <c r="G23" s="14">
        <v>0.2</v>
      </c>
      <c r="H23" s="7">
        <f t="shared" ref="H23:H29" si="4">IF(A23&lt;&gt;0,ROUND((F23/D23)*G23,2),$J$1)</f>
        <v>24.73</v>
      </c>
      <c r="I23" s="69"/>
    </row>
    <row r="24" spans="1:9" x14ac:dyDescent="0.2">
      <c r="A24" s="1080" t="s">
        <v>467</v>
      </c>
      <c r="B24" s="1081"/>
      <c r="C24" s="1081"/>
      <c r="D24" s="33">
        <v>25</v>
      </c>
      <c r="E24" s="33"/>
      <c r="F24" s="12">
        <f t="shared" si="3"/>
        <v>24592</v>
      </c>
      <c r="G24" s="14">
        <v>0.45</v>
      </c>
      <c r="H24" s="7">
        <f t="shared" si="4"/>
        <v>442.66</v>
      </c>
      <c r="I24" s="69"/>
    </row>
    <row r="25" spans="1:9" x14ac:dyDescent="0.2">
      <c r="A25" s="1080" t="s">
        <v>464</v>
      </c>
      <c r="B25" s="1081"/>
      <c r="C25" s="1081"/>
      <c r="D25" s="33">
        <v>15</v>
      </c>
      <c r="E25" s="33"/>
      <c r="F25" s="12">
        <f t="shared" si="3"/>
        <v>33920</v>
      </c>
      <c r="G25" s="14">
        <v>0.35</v>
      </c>
      <c r="H25" s="7">
        <f t="shared" si="4"/>
        <v>791.47</v>
      </c>
      <c r="I25" s="69"/>
    </row>
    <row r="26" spans="1:9" x14ac:dyDescent="0.2">
      <c r="A26" s="1080" t="s">
        <v>470</v>
      </c>
      <c r="B26" s="1081"/>
      <c r="C26" s="1081"/>
      <c r="D26" s="33">
        <v>15</v>
      </c>
      <c r="E26" s="33"/>
      <c r="F26" s="12">
        <f t="shared" si="3"/>
        <v>32012</v>
      </c>
      <c r="G26" s="14">
        <v>0.5</v>
      </c>
      <c r="H26" s="7">
        <f t="shared" si="4"/>
        <v>1067.07</v>
      </c>
      <c r="I26" s="69"/>
    </row>
    <row r="27" spans="1:9" x14ac:dyDescent="0.2">
      <c r="A27" s="1080" t="s">
        <v>461</v>
      </c>
      <c r="B27" s="1081"/>
      <c r="C27" s="1081"/>
      <c r="D27" s="33">
        <v>15</v>
      </c>
      <c r="E27" s="33"/>
      <c r="F27" s="12">
        <f t="shared" si="3"/>
        <v>127200</v>
      </c>
      <c r="G27" s="14">
        <v>0.17</v>
      </c>
      <c r="H27" s="7">
        <f t="shared" si="4"/>
        <v>1441.6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3767.53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12</v>
      </c>
      <c r="G45" s="1083"/>
      <c r="H45" s="7">
        <f>IF(A45&lt;&gt;0,ROUND(D45/F45,2),$J$1)</f>
        <v>17956.25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17956.25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17956.25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  <mergeCell ref="A4:E4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indexed="4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2365</v>
      </c>
      <c r="C5" s="267" t="s">
        <v>2366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114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20" t="s">
        <v>409</v>
      </c>
      <c r="B8" s="1121"/>
      <c r="C8" s="1121"/>
      <c r="D8" s="844" t="e">
        <f t="shared" ref="D8:D18" si="0">IF(A8&lt;&gt;0,VLOOKUP(A8,Materiales,2,FALSE),$J$1)</f>
        <v>#REF!</v>
      </c>
      <c r="E8" s="12">
        <v>2.5499999999999998</v>
      </c>
      <c r="F8" s="58" t="e">
        <f t="shared" ref="F8:F16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410</v>
      </c>
      <c r="B9" s="1284"/>
      <c r="C9" s="1284"/>
      <c r="D9" s="844" t="e">
        <f t="shared" si="0"/>
        <v>#REF!</v>
      </c>
      <c r="E9" s="12">
        <v>4.33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20" t="s">
        <v>319</v>
      </c>
      <c r="B10" s="1121"/>
      <c r="C10" s="1121"/>
      <c r="D10" s="844" t="e">
        <f t="shared" si="0"/>
        <v>#REF!</v>
      </c>
      <c r="E10" s="12">
        <v>0.70099999999999996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20" t="s">
        <v>391</v>
      </c>
      <c r="B11" s="1121"/>
      <c r="C11" s="1121"/>
      <c r="D11" s="844" t="e">
        <f t="shared" si="0"/>
        <v>#REF!</v>
      </c>
      <c r="E11" s="12">
        <v>2.82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120" t="s">
        <v>354</v>
      </c>
      <c r="B12" s="1121"/>
      <c r="C12" s="1121"/>
      <c r="D12" s="844" t="e">
        <f t="shared" si="0"/>
        <v>#REF!</v>
      </c>
      <c r="E12" s="12">
        <v>0.2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120" t="s">
        <v>230</v>
      </c>
      <c r="B13" s="1121"/>
      <c r="C13" s="1121"/>
      <c r="D13" s="844" t="e">
        <f t="shared" si="0"/>
        <v>#REF!</v>
      </c>
      <c r="E13" s="12">
        <v>0.02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120" t="s">
        <v>2320</v>
      </c>
      <c r="B14" s="1121"/>
      <c r="C14" s="1121"/>
      <c r="D14" s="844" t="e">
        <f t="shared" si="0"/>
        <v>#REF!</v>
      </c>
      <c r="E14" s="12">
        <v>0.09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246</v>
      </c>
      <c r="B15" s="1081"/>
      <c r="C15" s="1081"/>
      <c r="D15" s="844" t="e">
        <f t="shared" si="0"/>
        <v>#REF!</v>
      </c>
      <c r="E15" s="12">
        <v>0.18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 t="s">
        <v>315</v>
      </c>
      <c r="B16" s="1081"/>
      <c r="C16" s="1081"/>
      <c r="D16" s="844" t="e">
        <f t="shared" si="0"/>
        <v>#REF!</v>
      </c>
      <c r="E16" s="12">
        <v>2.1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0.2</v>
      </c>
      <c r="H23" s="7">
        <f t="shared" ref="H23:H29" si="4">IF(A23&lt;&gt;0,ROUND((F23/D23)*G23,2),$J$1)</f>
        <v>742</v>
      </c>
      <c r="I23" s="69"/>
    </row>
    <row r="24" spans="1:9" x14ac:dyDescent="0.2">
      <c r="A24" s="1080" t="s">
        <v>467</v>
      </c>
      <c r="B24" s="1081"/>
      <c r="C24" s="1081"/>
      <c r="D24" s="33">
        <v>1</v>
      </c>
      <c r="E24" s="33"/>
      <c r="F24" s="12">
        <f t="shared" si="3"/>
        <v>24592</v>
      </c>
      <c r="G24" s="14">
        <v>0.22</v>
      </c>
      <c r="H24" s="7">
        <f t="shared" si="4"/>
        <v>5410.24</v>
      </c>
      <c r="I24" s="69"/>
    </row>
    <row r="25" spans="1:9" x14ac:dyDescent="0.2">
      <c r="A25" s="1080" t="s">
        <v>464</v>
      </c>
      <c r="B25" s="1081"/>
      <c r="C25" s="1081"/>
      <c r="D25" s="33">
        <v>1</v>
      </c>
      <c r="E25" s="33"/>
      <c r="F25" s="12">
        <f t="shared" si="3"/>
        <v>33920</v>
      </c>
      <c r="G25" s="14">
        <v>0.03</v>
      </c>
      <c r="H25" s="7">
        <f t="shared" si="4"/>
        <v>1017.6</v>
      </c>
      <c r="I25" s="69"/>
    </row>
    <row r="26" spans="1:9" x14ac:dyDescent="0.2">
      <c r="A26" s="1080" t="s">
        <v>469</v>
      </c>
      <c r="B26" s="1081"/>
      <c r="C26" s="1081"/>
      <c r="D26" s="33">
        <v>1</v>
      </c>
      <c r="E26" s="33"/>
      <c r="F26" s="12">
        <f t="shared" si="3"/>
        <v>21200</v>
      </c>
      <c r="G26" s="14">
        <v>0.08</v>
      </c>
      <c r="H26" s="7">
        <f t="shared" si="4"/>
        <v>1696</v>
      </c>
      <c r="I26" s="69"/>
    </row>
    <row r="27" spans="1:9" x14ac:dyDescent="0.2">
      <c r="A27" s="1080" t="s">
        <v>470</v>
      </c>
      <c r="B27" s="1081"/>
      <c r="C27" s="1081"/>
      <c r="D27" s="33">
        <v>1</v>
      </c>
      <c r="E27" s="33"/>
      <c r="F27" s="12">
        <f t="shared" si="3"/>
        <v>32012</v>
      </c>
      <c r="G27" s="14">
        <v>0.12</v>
      </c>
      <c r="H27" s="7">
        <f t="shared" si="4"/>
        <v>3841.44</v>
      </c>
      <c r="I27" s="69"/>
    </row>
    <row r="28" spans="1:9" x14ac:dyDescent="0.2">
      <c r="A28" s="1080" t="s">
        <v>461</v>
      </c>
      <c r="B28" s="1081"/>
      <c r="C28" s="1081"/>
      <c r="D28" s="33">
        <v>1</v>
      </c>
      <c r="E28" s="33"/>
      <c r="F28" s="12">
        <f t="shared" si="3"/>
        <v>127200</v>
      </c>
      <c r="G28" s="14">
        <v>0.11</v>
      </c>
      <c r="H28" s="7">
        <f t="shared" si="4"/>
        <v>13992</v>
      </c>
      <c r="I28" s="69"/>
    </row>
    <row r="29" spans="1:9" x14ac:dyDescent="0.2">
      <c r="A29" s="1080"/>
      <c r="B29" s="1081"/>
      <c r="C29" s="1081"/>
      <c r="D29" s="1413"/>
      <c r="E29" s="1119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26699.279999999999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3.9</v>
      </c>
      <c r="G45" s="1083"/>
      <c r="H45" s="7">
        <f>IF(A45&lt;&gt;0,ROUND(D45/F45,2),$J$1)</f>
        <v>55249.99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55249.99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55249.99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D29:E29"/>
    <mergeCell ref="A35:C35"/>
    <mergeCell ref="A36:C36"/>
    <mergeCell ref="A37:C37"/>
    <mergeCell ref="A39:C39"/>
    <mergeCell ref="A29:C29"/>
    <mergeCell ref="A40:C40"/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8:C8"/>
    <mergeCell ref="A9:C9"/>
    <mergeCell ref="A10:C10"/>
    <mergeCell ref="A11:C11"/>
    <mergeCell ref="A12:C12"/>
    <mergeCell ref="A13:C13"/>
    <mergeCell ref="A14:C14"/>
    <mergeCell ref="A23:C23"/>
    <mergeCell ref="A24:C24"/>
    <mergeCell ref="A15:C15"/>
    <mergeCell ref="A16:C16"/>
    <mergeCell ref="A17:C17"/>
    <mergeCell ref="A18:C18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tabColor indexed="4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2367</v>
      </c>
      <c r="C5" s="267" t="s">
        <v>2368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130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20" t="s">
        <v>447</v>
      </c>
      <c r="B8" s="1081"/>
      <c r="C8" s="1081"/>
      <c r="D8" s="844" t="e">
        <f t="shared" ref="D8:D18" si="0">IF(A8&lt;&gt;0,VLOOKUP(A8,Materiales,2,FALSE),$J$1)</f>
        <v>#REF!</v>
      </c>
      <c r="E8" s="12">
        <v>14.2</v>
      </c>
      <c r="F8" s="58" t="e">
        <f>IF(A8&lt;&gt;0,VLOOKUP(A8,Materiales,6,FALSE),$J$1)</f>
        <v>#REF!</v>
      </c>
      <c r="G8" s="58"/>
      <c r="H8" s="7" t="e">
        <f t="shared" ref="H8:H18" si="1">IF(A8&lt;&gt;0,ROUND(E8*F8,2),$J$1)</f>
        <v>#REF!</v>
      </c>
      <c r="I8" s="69"/>
    </row>
    <row r="9" spans="1:10" ht="12.75" customHeight="1" x14ac:dyDescent="0.2">
      <c r="A9" s="1120" t="s">
        <v>2320</v>
      </c>
      <c r="B9" s="1081"/>
      <c r="C9" s="1081"/>
      <c r="D9" s="844" t="e">
        <f t="shared" si="0"/>
        <v>#REF!</v>
      </c>
      <c r="E9" s="12">
        <v>0.03</v>
      </c>
      <c r="F9" s="58" t="e">
        <f t="shared" ref="F9:F15" si="2">IF(A9&lt;&gt;0,VLOOKUP(A9,Materiales,6,FALSE),$J$1)</f>
        <v>#REF!</v>
      </c>
      <c r="G9" s="58"/>
      <c r="H9" s="7" t="e">
        <f t="shared" si="1"/>
        <v>#REF!</v>
      </c>
      <c r="I9" s="69"/>
    </row>
    <row r="10" spans="1:10" x14ac:dyDescent="0.2">
      <c r="A10" s="1080" t="s">
        <v>354</v>
      </c>
      <c r="B10" s="1081"/>
      <c r="C10" s="1081"/>
      <c r="D10" s="844" t="e">
        <f t="shared" si="0"/>
        <v>#REF!</v>
      </c>
      <c r="E10" s="12">
        <v>0.5</v>
      </c>
      <c r="F10" s="58" t="e">
        <f t="shared" si="2"/>
        <v>#REF!</v>
      </c>
      <c r="G10" s="58"/>
      <c r="H10" s="7" t="e">
        <f t="shared" si="1"/>
        <v>#REF!</v>
      </c>
      <c r="I10" s="69"/>
    </row>
    <row r="11" spans="1:10" x14ac:dyDescent="0.2">
      <c r="A11" s="1080" t="s">
        <v>246</v>
      </c>
      <c r="B11" s="1081"/>
      <c r="C11" s="1081"/>
      <c r="D11" s="844" t="e">
        <f t="shared" si="0"/>
        <v>#REF!</v>
      </c>
      <c r="E11" s="12">
        <v>0.03</v>
      </c>
      <c r="F11" s="58" t="e">
        <f t="shared" si="2"/>
        <v>#REF!</v>
      </c>
      <c r="G11" s="58"/>
      <c r="H11" s="7" t="e">
        <f t="shared" si="1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2"/>
        <v>-</v>
      </c>
      <c r="G12" s="58"/>
      <c r="H12" s="7" t="str">
        <f t="shared" si="1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2"/>
        <v>-</v>
      </c>
      <c r="G13" s="58"/>
      <c r="H13" s="7" t="str">
        <f t="shared" si="1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2"/>
        <v>-</v>
      </c>
      <c r="G14" s="58"/>
      <c r="H14" s="7" t="str">
        <f t="shared" si="1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2"/>
        <v>-</v>
      </c>
      <c r="G15" s="58"/>
      <c r="H15" s="7" t="str">
        <f t="shared" si="1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1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1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1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170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21.82</v>
      </c>
      <c r="I23" s="69"/>
    </row>
    <row r="24" spans="1:9" x14ac:dyDescent="0.2">
      <c r="A24" s="1080" t="s">
        <v>467</v>
      </c>
      <c r="B24" s="1081"/>
      <c r="C24" s="1081"/>
      <c r="D24" s="33">
        <v>25</v>
      </c>
      <c r="E24" s="33"/>
      <c r="F24" s="12">
        <f t="shared" si="3"/>
        <v>24592</v>
      </c>
      <c r="G24" s="14">
        <v>1</v>
      </c>
      <c r="H24" s="7">
        <f t="shared" si="4"/>
        <v>983.68</v>
      </c>
      <c r="I24" s="69"/>
    </row>
    <row r="25" spans="1:9" x14ac:dyDescent="0.2">
      <c r="A25" s="1080" t="s">
        <v>464</v>
      </c>
      <c r="B25" s="1081"/>
      <c r="C25" s="1081"/>
      <c r="D25" s="33">
        <v>15</v>
      </c>
      <c r="E25" s="33"/>
      <c r="F25" s="12">
        <f t="shared" si="3"/>
        <v>33920</v>
      </c>
      <c r="G25" s="14">
        <v>1</v>
      </c>
      <c r="H25" s="7">
        <f t="shared" si="4"/>
        <v>2261.33</v>
      </c>
      <c r="I25" s="69"/>
    </row>
    <row r="26" spans="1:9" x14ac:dyDescent="0.2">
      <c r="A26" s="1080" t="s">
        <v>461</v>
      </c>
      <c r="B26" s="1081"/>
      <c r="C26" s="1081"/>
      <c r="D26" s="33">
        <v>75</v>
      </c>
      <c r="E26" s="33"/>
      <c r="F26" s="12">
        <f t="shared" si="3"/>
        <v>127200</v>
      </c>
      <c r="G26" s="14">
        <v>1</v>
      </c>
      <c r="H26" s="7">
        <f t="shared" si="4"/>
        <v>1696</v>
      </c>
      <c r="I26" s="69"/>
    </row>
    <row r="27" spans="1:9" x14ac:dyDescent="0.2">
      <c r="A27" s="1080" t="s">
        <v>470</v>
      </c>
      <c r="B27" s="1081"/>
      <c r="C27" s="1081"/>
      <c r="D27" s="33">
        <v>15</v>
      </c>
      <c r="E27" s="33"/>
      <c r="F27" s="12">
        <f t="shared" si="3"/>
        <v>32012</v>
      </c>
      <c r="G27" s="14">
        <v>1</v>
      </c>
      <c r="H27" s="7">
        <f t="shared" si="4"/>
        <v>2134.13</v>
      </c>
      <c r="I27" s="69"/>
    </row>
    <row r="28" spans="1:9" x14ac:dyDescent="0.2">
      <c r="A28" s="1080" t="s">
        <v>461</v>
      </c>
      <c r="B28" s="1081"/>
      <c r="C28" s="1081"/>
      <c r="D28" s="33">
        <v>30</v>
      </c>
      <c r="E28" s="33"/>
      <c r="F28" s="12">
        <f t="shared" si="3"/>
        <v>127200</v>
      </c>
      <c r="G28" s="14"/>
      <c r="H28" s="7">
        <f t="shared" si="4"/>
        <v>0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7096.96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6</v>
      </c>
      <c r="G45" s="1083"/>
      <c r="H45" s="7">
        <f>IF(A45&lt;&gt;0,ROUND(D45/F45,2),$J$1)</f>
        <v>35912.49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35912.49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35912.49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5:C35"/>
    <mergeCell ref="A36:C36"/>
    <mergeCell ref="A37:C37"/>
    <mergeCell ref="A39:C39"/>
    <mergeCell ref="A40:C40"/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indexed="50"/>
    <pageSetUpPr fitToPage="1"/>
  </sheetPr>
  <dimension ref="A1:J57"/>
  <sheetViews>
    <sheetView topLeftCell="A28"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93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s">
        <v>2297</v>
      </c>
      <c r="C5" s="267" t="s">
        <v>2315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244" t="s">
        <v>273</v>
      </c>
      <c r="B8" s="1245"/>
      <c r="C8" s="1245"/>
      <c r="D8" s="844" t="e">
        <f t="shared" ref="D8:D19" si="0">IF(A8&lt;&gt;0,VLOOKUP(A8,Materiales,2,FALSE),$J$1)</f>
        <v>#REF!</v>
      </c>
      <c r="E8" s="12">
        <v>2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200</v>
      </c>
      <c r="B9" s="1143"/>
      <c r="C9" s="1143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390</v>
      </c>
      <c r="B10" s="1143"/>
      <c r="C10" s="1143"/>
      <c r="D10" s="844" t="e">
        <f t="shared" si="0"/>
        <v>#REF!</v>
      </c>
      <c r="E10" s="12">
        <v>4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142</v>
      </c>
      <c r="B11" s="1143"/>
      <c r="C11" s="1143"/>
      <c r="D11" s="844" t="e">
        <f t="shared" si="0"/>
        <v>#REF!</v>
      </c>
      <c r="E11" s="12">
        <v>50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/>
      <c r="B12" s="1250"/>
      <c r="C12" s="125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249"/>
      <c r="B13" s="1250"/>
      <c r="C13" s="125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249"/>
      <c r="B14" s="1250"/>
      <c r="C14" s="125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139"/>
      <c r="B15" s="1140"/>
      <c r="C15" s="114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139"/>
      <c r="B16" s="1140"/>
      <c r="C16" s="114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139"/>
      <c r="B17" s="1140"/>
      <c r="C17" s="114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215"/>
      <c r="B18" s="1216"/>
      <c r="C18" s="1217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04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875" t="s">
        <v>454</v>
      </c>
      <c r="B22" s="213"/>
      <c r="C22" s="213"/>
      <c r="D22" s="213"/>
      <c r="E22" s="213"/>
      <c r="F22" s="213"/>
      <c r="G22" s="213"/>
      <c r="H22" s="213"/>
      <c r="I22" s="80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881" t="s">
        <v>2295</v>
      </c>
      <c r="G23" s="858" t="s">
        <v>2220</v>
      </c>
      <c r="H23" s="858" t="s">
        <v>2216</v>
      </c>
      <c r="I23" s="72"/>
    </row>
    <row r="24" spans="1:9" x14ac:dyDescent="0.2">
      <c r="A24" s="1080"/>
      <c r="B24" s="1081"/>
      <c r="C24" s="1081"/>
      <c r="D24" s="33"/>
      <c r="E24" s="33"/>
      <c r="F24" s="12" t="str">
        <f t="shared" ref="F24:F30" si="3">IF(A24&lt;&gt;0,VLOOKUP(A24,Equipos,6,FALSE),$J$1)</f>
        <v>-</v>
      </c>
      <c r="G24" s="14"/>
      <c r="H24" s="7" t="str">
        <f t="shared" ref="H24:H30" si="4">IF(A24&lt;&gt;0,ROUND((F24/D24)*G24,2),$J$1)</f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8" t="str">
        <f t="shared" si="4"/>
        <v>-</v>
      </c>
      <c r="I30" s="305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0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1200" t="s">
        <v>2222</v>
      </c>
      <c r="B33" s="1201"/>
      <c r="C33" s="1201"/>
      <c r="D33" s="1201"/>
      <c r="E33" s="1201"/>
      <c r="F33" s="1201"/>
      <c r="G33" s="1201"/>
      <c r="H33" s="1201"/>
      <c r="I33" s="1202"/>
    </row>
    <row r="34" spans="1:9" s="9" customFormat="1" ht="25.5" x14ac:dyDescent="0.2">
      <c r="A34" s="1229" t="s">
        <v>26</v>
      </c>
      <c r="B34" s="1230"/>
      <c r="C34" s="1231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06"/>
    </row>
    <row r="35" spans="1:9" x14ac:dyDescent="0.2">
      <c r="B35" s="1266" t="s">
        <v>2226</v>
      </c>
      <c r="C35" s="1267"/>
      <c r="D35" s="1268"/>
      <c r="E35" s="1269"/>
      <c r="F35" s="15"/>
      <c r="G35" s="12"/>
      <c r="H35" s="7"/>
      <c r="I35" s="312">
        <f>SUM(H36:H37)</f>
        <v>0</v>
      </c>
    </row>
    <row r="36" spans="1:9" x14ac:dyDescent="0.2">
      <c r="A36" s="1086"/>
      <c r="B36" s="1087"/>
      <c r="C36" s="1119"/>
      <c r="D36" s="61" t="str">
        <f>IF(A36&lt;&gt;0,VLOOKUP(A36,Transporte,8,FALSE),$J$1)</f>
        <v>-</v>
      </c>
      <c r="E36" s="61"/>
      <c r="F36" s="15" t="str">
        <f>IF(A36&lt;&gt;0,VLOOKUP(A36,Transporte,2,FALSE),$J$1)</f>
        <v>-</v>
      </c>
      <c r="G36" s="12"/>
      <c r="H36" s="7" t="str">
        <f>IF(A36&lt;&gt;0,D36/F36*G36,$J$1)</f>
        <v>-</v>
      </c>
      <c r="I36" s="317">
        <f>SUM(H39:H40)</f>
        <v>0</v>
      </c>
    </row>
    <row r="37" spans="1:9" x14ac:dyDescent="0.2">
      <c r="A37" s="1086"/>
      <c r="B37" s="1087"/>
      <c r="C37" s="1119"/>
      <c r="D37" s="61" t="str">
        <f>IF(A37&lt;&gt;0,VLOOKUP(A37,Transporte,8,FALSE),$J$1)</f>
        <v>-</v>
      </c>
      <c r="E37" s="61"/>
      <c r="F37" s="15" t="str">
        <f>IF(A37&lt;&gt;0,VLOOKUP(A37,Transporte,2,FALSE),$J$1)</f>
        <v>-</v>
      </c>
      <c r="G37" s="12"/>
      <c r="H37" s="7" t="str">
        <f>IF(A37&lt;&gt;0,D37/F37*G37,$J$1)</f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318"/>
      <c r="F38" s="15"/>
      <c r="G38" s="12"/>
      <c r="H38" s="7"/>
      <c r="I38" s="312">
        <f>SUM(H39:H40)</f>
        <v>0</v>
      </c>
    </row>
    <row r="39" spans="1:9" x14ac:dyDescent="0.2">
      <c r="A39" s="1086"/>
      <c r="B39" s="1087"/>
      <c r="C39" s="1119"/>
      <c r="D39" s="61" t="str">
        <f>IF(A39&lt;&gt;0,VLOOKUP(A39,Transporte,8,FALSE),$J$1)</f>
        <v>-</v>
      </c>
      <c r="E39" s="61"/>
      <c r="F39" s="15" t="str">
        <f>IF(A39&lt;&gt;0,VLOOKUP(A39,Transporte,2,FALSE),$J$1)</f>
        <v>-</v>
      </c>
      <c r="G39" s="12"/>
      <c r="H39" s="7" t="str">
        <f>IF(A39&lt;&gt;0,D39/F39*G39,$J$1)</f>
        <v>-</v>
      </c>
      <c r="I39" s="69"/>
    </row>
    <row r="40" spans="1:9" x14ac:dyDescent="0.2">
      <c r="A40" s="1086"/>
      <c r="B40" s="1087"/>
      <c r="C40" s="1119"/>
      <c r="D40" s="61" t="str">
        <f>IF(A40&lt;&gt;0,VLOOKUP(A40,Transporte,8,FALSE),$J$1)</f>
        <v>-</v>
      </c>
      <c r="E40" s="61"/>
      <c r="F40" s="15" t="str">
        <f>IF(A40&lt;&gt;0,VLOOKUP(A40,Transporte,2,FALSE),$J$1)</f>
        <v>-</v>
      </c>
      <c r="G40" s="12"/>
      <c r="H40" s="7" t="str">
        <f>IF(A40&lt;&gt;0,D40/F40*G40,$J$1)</f>
        <v>-</v>
      </c>
      <c r="I40" s="69"/>
    </row>
    <row r="41" spans="1:9" x14ac:dyDescent="0.2">
      <c r="A41" s="1084" t="s">
        <v>2228</v>
      </c>
      <c r="B41" s="1085"/>
      <c r="C41" s="1085"/>
      <c r="D41" s="1085"/>
      <c r="E41" s="1085"/>
      <c r="F41" s="1085"/>
      <c r="G41" s="1085"/>
      <c r="H41" s="1133"/>
      <c r="I41" s="313">
        <f>+I38+I35</f>
        <v>0</v>
      </c>
    </row>
    <row r="42" spans="1:9" x14ac:dyDescent="0.2">
      <c r="A42" s="1252"/>
      <c r="B42" s="1253"/>
      <c r="C42" s="1253"/>
      <c r="D42" s="1253"/>
      <c r="E42" s="1253"/>
      <c r="F42" s="1253"/>
      <c r="G42" s="1253"/>
      <c r="H42" s="1253"/>
      <c r="I42" s="1254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51</v>
      </c>
      <c r="B45" s="1081"/>
      <c r="C45" s="1081"/>
      <c r="D45" s="1082">
        <f>IF(A45&lt;&gt;0,VLOOKUP(A45,Cuadrillas,7,FALSE),$J$1)</f>
        <v>418739.68</v>
      </c>
      <c r="E45" s="1082"/>
      <c r="F45" s="1083">
        <v>10</v>
      </c>
      <c r="G45" s="1083"/>
      <c r="H45" s="7">
        <f>IF(A45&lt;&gt;0,ROUND(D45/F45,2),$J$1)</f>
        <v>41873.97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256"/>
      <c r="B49" s="1257"/>
      <c r="C49" s="1257"/>
      <c r="D49" s="1255" t="str">
        <f>IF(A49&lt;&gt;0,VLOOKUP(A49,Cuadrillas,7,FALSE),$J$1)</f>
        <v>-</v>
      </c>
      <c r="E49" s="1255"/>
      <c r="F49" s="1265"/>
      <c r="G49" s="1265"/>
      <c r="H49" s="293" t="str">
        <f>IF(A49&lt;&gt;0,ROUND(D49/F49,2),$J$1)</f>
        <v>-</v>
      </c>
      <c r="I49" s="297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41873.97</v>
      </c>
    </row>
    <row r="51" spans="1:9" x14ac:dyDescent="0.2">
      <c r="A51" s="1260"/>
      <c r="B51" s="1261"/>
      <c r="C51" s="1261"/>
      <c r="D51" s="1261"/>
      <c r="E51" s="1261"/>
      <c r="F51" s="1261"/>
      <c r="G51" s="1261"/>
      <c r="H51" s="1261"/>
      <c r="I51" s="1262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+I20+I31+I41</f>
        <v>#REF!</v>
      </c>
    </row>
    <row r="53" spans="1:9" ht="13.5" thickBot="1" x14ac:dyDescent="0.25">
      <c r="A53" s="1258" t="s">
        <v>2233</v>
      </c>
      <c r="B53" s="1259"/>
      <c r="C53" s="1259"/>
      <c r="D53" s="1259"/>
      <c r="E53" s="1259"/>
      <c r="F53" s="1259"/>
      <c r="G53" s="1259"/>
      <c r="H53" s="1259"/>
      <c r="I53" s="311">
        <f>I50</f>
        <v>41873.97</v>
      </c>
    </row>
    <row r="54" spans="1:9" s="9" customFormat="1" ht="25.5" customHeight="1" thickTop="1" thickBot="1" x14ac:dyDescent="0.25">
      <c r="A54" s="1263" t="s">
        <v>2234</v>
      </c>
      <c r="B54" s="1264"/>
      <c r="C54" s="1264"/>
      <c r="D54" s="1264"/>
      <c r="E54" s="1264"/>
      <c r="F54" s="1264"/>
      <c r="G54" s="1264"/>
      <c r="H54" s="236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 topLeftCell="A28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1">
    <mergeCell ref="A30:C30"/>
    <mergeCell ref="A26:C26"/>
    <mergeCell ref="A1:C1"/>
    <mergeCell ref="B38:C38"/>
    <mergeCell ref="A41:H41"/>
    <mergeCell ref="B35:C35"/>
    <mergeCell ref="A34:C34"/>
    <mergeCell ref="A33:I33"/>
    <mergeCell ref="D35:E35"/>
    <mergeCell ref="A36:C36"/>
    <mergeCell ref="A37:C37"/>
    <mergeCell ref="A39:C39"/>
    <mergeCell ref="A40:C40"/>
    <mergeCell ref="A11:C11"/>
    <mergeCell ref="H1:I1"/>
    <mergeCell ref="A27:C27"/>
    <mergeCell ref="A14:C14"/>
    <mergeCell ref="A15:C15"/>
    <mergeCell ref="A18:C18"/>
    <mergeCell ref="A19:C19"/>
    <mergeCell ref="A16:C16"/>
    <mergeCell ref="A17:C17"/>
    <mergeCell ref="F55:I55"/>
    <mergeCell ref="A51:I51"/>
    <mergeCell ref="A54:G54"/>
    <mergeCell ref="A52:H52"/>
    <mergeCell ref="F49:G49"/>
    <mergeCell ref="A55:C55"/>
    <mergeCell ref="D55:E55"/>
    <mergeCell ref="A56:G56"/>
    <mergeCell ref="A42:I42"/>
    <mergeCell ref="F44:G44"/>
    <mergeCell ref="F45:G45"/>
    <mergeCell ref="A43:I43"/>
    <mergeCell ref="D49:E49"/>
    <mergeCell ref="H56:I56"/>
    <mergeCell ref="A47:C47"/>
    <mergeCell ref="A48:C48"/>
    <mergeCell ref="F46:G46"/>
    <mergeCell ref="A50:H50"/>
    <mergeCell ref="D47:E47"/>
    <mergeCell ref="F47:G47"/>
    <mergeCell ref="A49:C49"/>
    <mergeCell ref="D48:E48"/>
    <mergeCell ref="A53:H53"/>
    <mergeCell ref="F48:G48"/>
    <mergeCell ref="A8:C8"/>
    <mergeCell ref="A9:C9"/>
    <mergeCell ref="A10:C10"/>
    <mergeCell ref="D45:E45"/>
    <mergeCell ref="A44:C44"/>
    <mergeCell ref="A45:C45"/>
    <mergeCell ref="D44:E44"/>
    <mergeCell ref="A46:C46"/>
    <mergeCell ref="D46:E46"/>
    <mergeCell ref="A28:C28"/>
    <mergeCell ref="A29:C29"/>
    <mergeCell ref="A12:C12"/>
    <mergeCell ref="A13:C13"/>
    <mergeCell ref="A24:C24"/>
    <mergeCell ref="A25:C25"/>
  </mergeCells>
  <phoneticPr fontId="0" type="noConversion"/>
  <dataValidations count="4">
    <dataValidation type="list" allowBlank="1" showInputMessage="1" showErrorMessage="1" sqref="A45:C49">
      <formula1>Descrip_cuadrillas</formula1>
    </dataValidation>
    <dataValidation type="list" allowBlank="1" showInputMessage="1" showErrorMessage="1" sqref="A24:A30">
      <formula1>Descrip_equipos</formula1>
    </dataValidation>
    <dataValidation type="list" allowBlank="1" showInputMessage="1" showErrorMessage="1" sqref="A36:A41">
      <formula1>Descrip_transporte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>
    <tabColor indexed="4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2369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20" t="s">
        <v>447</v>
      </c>
      <c r="B8" s="1081"/>
      <c r="C8" s="1081"/>
      <c r="D8" s="844" t="e">
        <f t="shared" ref="D8:D18" si="0">IF(A8&lt;&gt;0,VLOOKUP(A8,Materiales,2,FALSE),$J$1)</f>
        <v>#REF!</v>
      </c>
      <c r="E8" s="12">
        <v>94</v>
      </c>
      <c r="F8" s="58" t="e">
        <f t="shared" ref="F8:F16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2320</v>
      </c>
      <c r="B9" s="1219"/>
      <c r="C9" s="1219"/>
      <c r="D9" s="844" t="e">
        <f t="shared" si="0"/>
        <v>#REF!</v>
      </c>
      <c r="E9" s="12">
        <v>0.3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354</v>
      </c>
      <c r="B10" s="1081"/>
      <c r="C10" s="1081"/>
      <c r="D10" s="844" t="e">
        <f t="shared" si="0"/>
        <v>#REF!</v>
      </c>
      <c r="E10" s="12">
        <v>4.3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246</v>
      </c>
      <c r="B11" s="1081"/>
      <c r="C11" s="1081"/>
      <c r="D11" s="844" t="e">
        <f t="shared" si="0"/>
        <v>#REF!</v>
      </c>
      <c r="E11" s="12">
        <v>0.3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414</v>
      </c>
      <c r="B12" s="1081"/>
      <c r="C12" s="1081"/>
      <c r="D12" s="844" t="e">
        <f t="shared" si="0"/>
        <v>#REF!</v>
      </c>
      <c r="E12" s="12">
        <v>0.15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448</v>
      </c>
      <c r="B13" s="1081"/>
      <c r="C13" s="1081"/>
      <c r="D13" s="844" t="e">
        <f t="shared" si="0"/>
        <v>#REF!</v>
      </c>
      <c r="E13" s="12">
        <v>0.5</v>
      </c>
      <c r="F13" s="58" t="e">
        <f>IF(A13&lt;&gt;0,VLOOKUP(A13,Materiales,6,FALSE),$J$1)</f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250</v>
      </c>
      <c r="B14" s="1081"/>
      <c r="C14" s="1081"/>
      <c r="D14" s="844" t="e">
        <f t="shared" si="0"/>
        <v>#REF!</v>
      </c>
      <c r="E14" s="12">
        <v>1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318</v>
      </c>
      <c r="B15" s="1081"/>
      <c r="C15" s="1081"/>
      <c r="D15" s="844" t="e">
        <f t="shared" si="0"/>
        <v>#REF!</v>
      </c>
      <c r="E15" s="12">
        <v>1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170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21.82</v>
      </c>
      <c r="I23" s="69"/>
    </row>
    <row r="24" spans="1:9" x14ac:dyDescent="0.2">
      <c r="A24" s="1080" t="s">
        <v>467</v>
      </c>
      <c r="B24" s="1081"/>
      <c r="C24" s="1081"/>
      <c r="D24" s="33">
        <v>2.2000000000000002</v>
      </c>
      <c r="E24" s="33"/>
      <c r="F24" s="12">
        <f t="shared" si="3"/>
        <v>24592</v>
      </c>
      <c r="G24" s="14">
        <v>1</v>
      </c>
      <c r="H24" s="7">
        <f t="shared" si="4"/>
        <v>11178.18</v>
      </c>
      <c r="I24" s="69"/>
    </row>
    <row r="25" spans="1:9" x14ac:dyDescent="0.2">
      <c r="A25" s="1080" t="s">
        <v>464</v>
      </c>
      <c r="B25" s="1081"/>
      <c r="C25" s="1081"/>
      <c r="D25" s="33">
        <v>8</v>
      </c>
      <c r="E25" s="33"/>
      <c r="F25" s="12">
        <f t="shared" si="3"/>
        <v>33920</v>
      </c>
      <c r="G25" s="14">
        <v>1</v>
      </c>
      <c r="H25" s="7">
        <f t="shared" si="4"/>
        <v>4240</v>
      </c>
      <c r="I25" s="69"/>
    </row>
    <row r="26" spans="1:9" x14ac:dyDescent="0.2">
      <c r="A26" s="1080" t="s">
        <v>461</v>
      </c>
      <c r="B26" s="1081"/>
      <c r="C26" s="1081"/>
      <c r="D26" s="33">
        <v>4</v>
      </c>
      <c r="E26" s="33"/>
      <c r="F26" s="12">
        <f t="shared" si="3"/>
        <v>127200</v>
      </c>
      <c r="G26" s="14">
        <v>1</v>
      </c>
      <c r="H26" s="7">
        <f t="shared" si="4"/>
        <v>31800</v>
      </c>
      <c r="I26" s="69"/>
    </row>
    <row r="27" spans="1:9" x14ac:dyDescent="0.2">
      <c r="A27" s="1080" t="s">
        <v>470</v>
      </c>
      <c r="B27" s="1081"/>
      <c r="C27" s="1081"/>
      <c r="D27" s="33">
        <v>3</v>
      </c>
      <c r="E27" s="33"/>
      <c r="F27" s="12">
        <f t="shared" si="3"/>
        <v>32012</v>
      </c>
      <c r="G27" s="14">
        <v>1</v>
      </c>
      <c r="H27" s="7">
        <f t="shared" si="4"/>
        <v>10670.67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57910.67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IF(A40&lt;&gt;0,VLOOKUP(A40,Transporte,8,FALSE),$J$1)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1.2</v>
      </c>
      <c r="G45" s="1083"/>
      <c r="H45" s="7">
        <f>IF(A45&lt;&gt;0,ROUND(D45/F45,2),$J$1)</f>
        <v>179562.47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179562.47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179562.47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9:C39"/>
    <mergeCell ref="A40:C40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35:C35"/>
    <mergeCell ref="A36:C36"/>
    <mergeCell ref="A37:C37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tabColor indexed="4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2370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20" t="s">
        <v>447</v>
      </c>
      <c r="B8" s="1081"/>
      <c r="C8" s="1081"/>
      <c r="D8" s="844" t="e">
        <f t="shared" ref="D8:D18" si="0">IF(A8&lt;&gt;0,VLOOKUP(A8,Materiales,2,FALSE),$J$1)</f>
        <v>#REF!</v>
      </c>
      <c r="E8" s="12">
        <v>32</v>
      </c>
      <c r="F8" s="58" t="e">
        <f t="shared" ref="F8:F16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2320</v>
      </c>
      <c r="B9" s="1219"/>
      <c r="C9" s="1219"/>
      <c r="D9" s="844" t="e">
        <f t="shared" si="0"/>
        <v>#REF!</v>
      </c>
      <c r="E9" s="12">
        <v>0.1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354</v>
      </c>
      <c r="B10" s="1081"/>
      <c r="C10" s="1081"/>
      <c r="D10" s="844" t="e">
        <f t="shared" si="0"/>
        <v>#REF!</v>
      </c>
      <c r="E10" s="12">
        <v>2.5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246</v>
      </c>
      <c r="B11" s="1081"/>
      <c r="C11" s="1081"/>
      <c r="D11" s="844" t="e">
        <f t="shared" si="0"/>
        <v>#REF!</v>
      </c>
      <c r="E11" s="12">
        <v>0.1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2371</v>
      </c>
      <c r="B12" s="1081"/>
      <c r="C12" s="1081"/>
      <c r="D12" s="844" t="e">
        <f t="shared" si="0"/>
        <v>#REF!</v>
      </c>
      <c r="E12" s="12">
        <v>0.15</v>
      </c>
      <c r="F12" s="58" t="e">
        <f t="shared" si="1"/>
        <v>#REF!</v>
      </c>
      <c r="G12" s="58"/>
      <c r="H12" s="7"/>
      <c r="I12" s="69"/>
    </row>
    <row r="13" spans="1:10" x14ac:dyDescent="0.2">
      <c r="A13" s="1080" t="s">
        <v>448</v>
      </c>
      <c r="B13" s="1081"/>
      <c r="C13" s="1081"/>
      <c r="D13" s="844" t="e">
        <f t="shared" si="0"/>
        <v>#REF!</v>
      </c>
      <c r="E13" s="12">
        <v>0.5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250</v>
      </c>
      <c r="B14" s="1081"/>
      <c r="C14" s="1081"/>
      <c r="D14" s="844" t="e">
        <f t="shared" si="0"/>
        <v>#REF!</v>
      </c>
      <c r="E14" s="12">
        <v>1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318</v>
      </c>
      <c r="B15" s="1081"/>
      <c r="C15" s="1081"/>
      <c r="D15" s="844" t="e">
        <f t="shared" si="0"/>
        <v>#REF!</v>
      </c>
      <c r="E15" s="12">
        <v>1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170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21.82</v>
      </c>
      <c r="I23" s="69"/>
    </row>
    <row r="24" spans="1:9" x14ac:dyDescent="0.2">
      <c r="A24" s="1080" t="s">
        <v>467</v>
      </c>
      <c r="B24" s="1081"/>
      <c r="C24" s="1081"/>
      <c r="D24" s="33">
        <v>5</v>
      </c>
      <c r="E24" s="33"/>
      <c r="F24" s="12">
        <f t="shared" si="3"/>
        <v>24592</v>
      </c>
      <c r="G24" s="14">
        <v>1</v>
      </c>
      <c r="H24" s="7">
        <f t="shared" si="4"/>
        <v>4918.3999999999996</v>
      </c>
      <c r="I24" s="69"/>
    </row>
    <row r="25" spans="1:9" x14ac:dyDescent="0.2">
      <c r="A25" s="1080" t="s">
        <v>464</v>
      </c>
      <c r="B25" s="1081"/>
      <c r="C25" s="1081"/>
      <c r="D25" s="33">
        <v>10</v>
      </c>
      <c r="E25" s="33"/>
      <c r="F25" s="12">
        <f t="shared" si="3"/>
        <v>33920</v>
      </c>
      <c r="G25" s="14">
        <v>1</v>
      </c>
      <c r="H25" s="7">
        <f t="shared" si="4"/>
        <v>3392</v>
      </c>
      <c r="I25" s="69"/>
    </row>
    <row r="26" spans="1:9" x14ac:dyDescent="0.2">
      <c r="A26" s="1080" t="s">
        <v>461</v>
      </c>
      <c r="B26" s="1081"/>
      <c r="C26" s="1081"/>
      <c r="D26" s="33">
        <v>6</v>
      </c>
      <c r="E26" s="33"/>
      <c r="F26" s="12">
        <f t="shared" si="3"/>
        <v>127200</v>
      </c>
      <c r="G26" s="14">
        <v>1</v>
      </c>
      <c r="H26" s="7">
        <f t="shared" si="4"/>
        <v>21200</v>
      </c>
      <c r="I26" s="69"/>
    </row>
    <row r="27" spans="1:9" x14ac:dyDescent="0.2">
      <c r="A27" s="1080" t="s">
        <v>470</v>
      </c>
      <c r="B27" s="1081"/>
      <c r="C27" s="1081"/>
      <c r="D27" s="33">
        <v>5</v>
      </c>
      <c r="E27" s="33"/>
      <c r="F27" s="12">
        <f t="shared" si="3"/>
        <v>32012</v>
      </c>
      <c r="G27" s="14">
        <v>1</v>
      </c>
      <c r="H27" s="7">
        <f t="shared" si="4"/>
        <v>6402.4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35934.620000000003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1.799990828182487</v>
      </c>
      <c r="G45" s="1083"/>
      <c r="H45" s="7">
        <f>IF(A45&lt;&gt;0,ROUND(D45/F45,2),$J$1)</f>
        <v>119708.92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119708.92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119708.92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5:C35"/>
    <mergeCell ref="A36:C36"/>
    <mergeCell ref="A37:C37"/>
    <mergeCell ref="A39:C39"/>
    <mergeCell ref="A40:C40"/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tabColor indexed="46"/>
    <pageSetUpPr fitToPage="1"/>
  </sheetPr>
  <dimension ref="A1:J61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74" t="s">
        <v>2213</v>
      </c>
      <c r="B5" s="275" t="s">
        <v>2372</v>
      </c>
      <c r="C5" s="267" t="s">
        <v>2373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10" t="s">
        <v>130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213"/>
      <c r="B8" s="1214"/>
      <c r="C8" s="1214"/>
      <c r="D8" s="844">
        <f t="shared" ref="D8:D13" si="0">IF(A8&lt;&gt;0,VLOOKUP(A8,Materiales,2,FALSE),$J$1)</f>
        <v>0</v>
      </c>
      <c r="E8" s="12">
        <v>2</v>
      </c>
      <c r="F8" s="58">
        <f t="shared" ref="F8:F13" si="1">IF(A8&lt;&gt;0,VLOOKUP(A8,Materiales,6,FALSE),$J$1)</f>
        <v>0</v>
      </c>
      <c r="G8" s="58"/>
      <c r="H8" s="7">
        <f t="shared" ref="H8:H22" si="2">IF(A8&lt;&gt;0,ROUND(E8*F8,2),$J$1)</f>
        <v>0</v>
      </c>
      <c r="I8" s="69"/>
    </row>
    <row r="9" spans="1:10" ht="12.75" customHeight="1" x14ac:dyDescent="0.2">
      <c r="A9" s="1218" t="s">
        <v>271</v>
      </c>
      <c r="B9" s="1219"/>
      <c r="C9" s="1219"/>
      <c r="D9" s="844" t="e">
        <f t="shared" si="0"/>
        <v>#REF!</v>
      </c>
      <c r="E9" s="12">
        <v>0.5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213" t="s">
        <v>354</v>
      </c>
      <c r="B10" s="1214"/>
      <c r="C10" s="1214"/>
      <c r="D10" s="844" t="e">
        <f t="shared" si="0"/>
        <v>#REF!</v>
      </c>
      <c r="E10" s="12">
        <v>0.2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213" t="s">
        <v>2320</v>
      </c>
      <c r="B11" s="1214"/>
      <c r="C11" s="1214"/>
      <c r="D11" s="844" t="e">
        <f t="shared" si="0"/>
        <v>#REF!</v>
      </c>
      <c r="E11" s="12">
        <v>0.05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10" t="s">
        <v>246</v>
      </c>
      <c r="B12" s="1211"/>
      <c r="C12" s="1212"/>
      <c r="D12" s="844" t="e">
        <f t="shared" si="0"/>
        <v>#REF!</v>
      </c>
      <c r="E12" s="12">
        <v>0.05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13" t="s">
        <v>121</v>
      </c>
      <c r="B13" s="1214"/>
      <c r="C13" s="1214"/>
      <c r="D13" s="844" t="e">
        <f t="shared" si="0"/>
        <v>#REF!</v>
      </c>
      <c r="E13" s="12">
        <v>0.4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213"/>
      <c r="B14" s="1214"/>
      <c r="C14" s="1214"/>
      <c r="D14" s="844"/>
      <c r="E14" s="12"/>
      <c r="F14" s="58"/>
      <c r="G14" s="58"/>
      <c r="H14" s="7">
        <f t="shared" si="2"/>
        <v>0</v>
      </c>
      <c r="I14" s="69"/>
    </row>
    <row r="15" spans="1:10" x14ac:dyDescent="0.2">
      <c r="A15" s="1213"/>
      <c r="B15" s="1214"/>
      <c r="C15" s="1214"/>
      <c r="D15" s="844"/>
      <c r="E15" s="12"/>
      <c r="F15" s="58"/>
      <c r="G15" s="58"/>
      <c r="H15" s="7">
        <f t="shared" si="2"/>
        <v>0</v>
      </c>
      <c r="I15" s="69"/>
    </row>
    <row r="16" spans="1:10" x14ac:dyDescent="0.2">
      <c r="A16" s="1213"/>
      <c r="B16" s="1214"/>
      <c r="C16" s="1214"/>
      <c r="D16" s="844"/>
      <c r="E16" s="12"/>
      <c r="F16" s="58"/>
      <c r="G16" s="58"/>
      <c r="H16" s="7">
        <f t="shared" si="2"/>
        <v>0</v>
      </c>
      <c r="I16" s="69"/>
    </row>
    <row r="17" spans="1:9" x14ac:dyDescent="0.2">
      <c r="A17" s="1213"/>
      <c r="B17" s="1214"/>
      <c r="C17" s="1214"/>
      <c r="D17" s="844"/>
      <c r="E17" s="12"/>
      <c r="F17" s="58"/>
      <c r="G17" s="58"/>
      <c r="H17" s="7">
        <f t="shared" si="2"/>
        <v>0</v>
      </c>
      <c r="I17" s="69"/>
    </row>
    <row r="18" spans="1:9" x14ac:dyDescent="0.2">
      <c r="A18" s="1213"/>
      <c r="B18" s="1214"/>
      <c r="C18" s="1214"/>
      <c r="D18" s="844"/>
      <c r="E18" s="12"/>
      <c r="F18" s="58"/>
      <c r="G18" s="58"/>
      <c r="H18" s="7">
        <f t="shared" si="2"/>
        <v>0</v>
      </c>
      <c r="I18" s="69"/>
    </row>
    <row r="19" spans="1:9" x14ac:dyDescent="0.2">
      <c r="A19" s="1384"/>
      <c r="B19" s="1385"/>
      <c r="C19" s="1386"/>
      <c r="D19" s="369"/>
      <c r="E19" s="370"/>
      <c r="F19" s="371"/>
      <c r="G19" s="371"/>
      <c r="H19" s="372">
        <f t="shared" si="2"/>
        <v>0</v>
      </c>
      <c r="I19" s="297"/>
    </row>
    <row r="20" spans="1:9" x14ac:dyDescent="0.2">
      <c r="A20" s="1397"/>
      <c r="B20" s="1398"/>
      <c r="C20" s="1398"/>
      <c r="D20" s="369"/>
      <c r="E20" s="370"/>
      <c r="F20" s="371"/>
      <c r="G20" s="371"/>
      <c r="H20" s="372">
        <f t="shared" si="2"/>
        <v>0</v>
      </c>
      <c r="I20" s="297"/>
    </row>
    <row r="21" spans="1:9" x14ac:dyDescent="0.2">
      <c r="A21" s="1368"/>
      <c r="B21" s="1352"/>
      <c r="C21" s="1353"/>
      <c r="D21" s="351"/>
      <c r="E21" s="332"/>
      <c r="F21" s="352"/>
      <c r="G21" s="352"/>
      <c r="H21" s="334">
        <f t="shared" si="2"/>
        <v>0</v>
      </c>
      <c r="I21" s="325"/>
    </row>
    <row r="22" spans="1:9" x14ac:dyDescent="0.2">
      <c r="A22" s="1285"/>
      <c r="B22" s="1286"/>
      <c r="C22" s="1286"/>
      <c r="D22" s="326"/>
      <c r="E22" s="327"/>
      <c r="F22" s="328"/>
      <c r="G22" s="328"/>
      <c r="H22" s="329">
        <f t="shared" si="2"/>
        <v>0</v>
      </c>
      <c r="I22" s="304"/>
    </row>
    <row r="23" spans="1:9" x14ac:dyDescent="0.2">
      <c r="A23" s="880" t="s">
        <v>2217</v>
      </c>
      <c r="B23" s="849"/>
      <c r="C23" s="849"/>
      <c r="D23" s="3"/>
      <c r="E23" s="872"/>
      <c r="F23" s="872"/>
      <c r="G23" s="872"/>
      <c r="H23" s="873"/>
      <c r="I23" s="241" t="e">
        <f>SUM(H8:H22)</f>
        <v>#REF!</v>
      </c>
    </row>
    <row r="24" spans="1:9" x14ac:dyDescent="0.2">
      <c r="A24" s="76"/>
      <c r="B24" s="27"/>
      <c r="C24" s="27"/>
      <c r="D24" s="27"/>
      <c r="E24" s="27"/>
      <c r="F24" s="27"/>
      <c r="G24" s="27"/>
      <c r="H24" s="27"/>
      <c r="I24" s="64"/>
    </row>
    <row r="25" spans="1:9" x14ac:dyDescent="0.2">
      <c r="A25" s="875" t="s">
        <v>454</v>
      </c>
      <c r="B25" s="876"/>
      <c r="C25" s="876"/>
      <c r="D25" s="876"/>
      <c r="E25" s="876"/>
      <c r="F25" s="876"/>
      <c r="G25" s="876"/>
      <c r="H25" s="876"/>
      <c r="I25" s="286"/>
    </row>
    <row r="26" spans="1:9" s="9" customFormat="1" ht="25.5" x14ac:dyDescent="0.2">
      <c r="A26" s="227" t="s">
        <v>26</v>
      </c>
      <c r="B26" s="225"/>
      <c r="C26" s="225"/>
      <c r="D26" s="225" t="s">
        <v>2218</v>
      </c>
      <c r="E26" s="225"/>
      <c r="F26" s="225" t="s">
        <v>2219</v>
      </c>
      <c r="G26" s="858" t="s">
        <v>2220</v>
      </c>
      <c r="H26" s="858" t="s">
        <v>2216</v>
      </c>
      <c r="I26" s="72"/>
    </row>
    <row r="27" spans="1:9" x14ac:dyDescent="0.2">
      <c r="A27" s="1080" t="s">
        <v>467</v>
      </c>
      <c r="B27" s="1081"/>
      <c r="C27" s="1081"/>
      <c r="D27" s="33">
        <v>15</v>
      </c>
      <c r="E27" s="33"/>
      <c r="F27" s="12">
        <f>IF(A27&lt;&gt;0,VLOOKUP(A27,Equipos,6,FALSE),$J$1)</f>
        <v>24592</v>
      </c>
      <c r="G27" s="14">
        <v>1</v>
      </c>
      <c r="H27" s="7">
        <f t="shared" ref="H27:H33" si="3">IF(A27&lt;&gt;0,ROUND((F27/D27)*G27,2),$J$1)</f>
        <v>1639.47</v>
      </c>
      <c r="I27" s="69"/>
    </row>
    <row r="28" spans="1:9" x14ac:dyDescent="0.2">
      <c r="A28" s="1080" t="s">
        <v>470</v>
      </c>
      <c r="B28" s="1081"/>
      <c r="C28" s="1081"/>
      <c r="D28" s="33">
        <v>25</v>
      </c>
      <c r="E28" s="33"/>
      <c r="F28" s="12">
        <f>IF(A28&lt;&gt;0,VLOOKUP(A28,Equipos,6,FALSE),$J$1)</f>
        <v>32012</v>
      </c>
      <c r="G28" s="14"/>
      <c r="H28" s="7">
        <f t="shared" si="3"/>
        <v>0</v>
      </c>
      <c r="I28" s="69"/>
    </row>
    <row r="29" spans="1:9" x14ac:dyDescent="0.2">
      <c r="A29" s="1080" t="s">
        <v>477</v>
      </c>
      <c r="B29" s="1081"/>
      <c r="C29" s="1081"/>
      <c r="D29" s="33">
        <v>3</v>
      </c>
      <c r="E29" s="33"/>
      <c r="F29" s="12">
        <f>IF(A29&lt;&gt;0,VLOOKUP(A29,Equipos,6,FALSE),$J$1)</f>
        <v>3710</v>
      </c>
      <c r="G29" s="14"/>
      <c r="H29" s="7">
        <f t="shared" si="3"/>
        <v>0</v>
      </c>
      <c r="I29" s="69"/>
    </row>
    <row r="30" spans="1:9" x14ac:dyDescent="0.2">
      <c r="A30" s="1120" t="s">
        <v>461</v>
      </c>
      <c r="B30" s="1121"/>
      <c r="C30" s="1121"/>
      <c r="D30" s="33">
        <v>12</v>
      </c>
      <c r="E30" s="33"/>
      <c r="F30" s="12">
        <f>IF(A30&lt;&gt;0,VLOOKUP(A30,Equipos,6,FALSE),$J$1)</f>
        <v>127200</v>
      </c>
      <c r="G30" s="14">
        <v>1</v>
      </c>
      <c r="H30" s="7">
        <f t="shared" si="3"/>
        <v>10600</v>
      </c>
      <c r="I30" s="297"/>
    </row>
    <row r="31" spans="1:9" x14ac:dyDescent="0.2">
      <c r="A31" s="1080"/>
      <c r="B31" s="1081"/>
      <c r="C31" s="1081"/>
      <c r="D31" s="33"/>
      <c r="E31" s="33"/>
      <c r="F31" s="12"/>
      <c r="G31" s="14"/>
      <c r="H31" s="171">
        <f t="shared" si="3"/>
        <v>0</v>
      </c>
      <c r="I31" s="69"/>
    </row>
    <row r="32" spans="1:9" x14ac:dyDescent="0.2">
      <c r="A32" s="1293"/>
      <c r="B32" s="1294"/>
      <c r="C32" s="1294"/>
      <c r="D32" s="331"/>
      <c r="E32" s="331"/>
      <c r="F32" s="332"/>
      <c r="G32" s="333"/>
      <c r="H32" s="942">
        <f t="shared" si="3"/>
        <v>0</v>
      </c>
      <c r="I32" s="325"/>
    </row>
    <row r="33" spans="1:9" x14ac:dyDescent="0.2">
      <c r="A33" s="1285"/>
      <c r="B33" s="1286"/>
      <c r="C33" s="1286"/>
      <c r="D33" s="335"/>
      <c r="E33" s="335"/>
      <c r="F33" s="327"/>
      <c r="G33" s="336"/>
      <c r="H33" s="329">
        <f t="shared" si="3"/>
        <v>0</v>
      </c>
      <c r="I33" s="297"/>
    </row>
    <row r="34" spans="1:9" x14ac:dyDescent="0.2">
      <c r="A34" s="339" t="s">
        <v>2221</v>
      </c>
      <c r="D34" s="3"/>
      <c r="E34" s="872"/>
      <c r="F34" s="872"/>
      <c r="G34" s="872"/>
      <c r="H34" s="873"/>
      <c r="I34" s="291">
        <f>SUM(H27:H33)</f>
        <v>12239.47</v>
      </c>
    </row>
    <row r="35" spans="1:9" x14ac:dyDescent="0.2">
      <c r="A35" s="76"/>
      <c r="B35" s="27"/>
      <c r="C35" s="27"/>
      <c r="D35" s="27"/>
      <c r="E35" s="27"/>
      <c r="F35" s="27"/>
      <c r="G35" s="27"/>
      <c r="H35" s="27"/>
      <c r="I35" s="299"/>
    </row>
    <row r="36" spans="1:9" x14ac:dyDescent="0.2">
      <c r="A36" s="855" t="s">
        <v>2222</v>
      </c>
      <c r="B36" s="856"/>
      <c r="C36" s="228"/>
      <c r="D36" s="876"/>
      <c r="E36" s="876"/>
      <c r="F36" s="876"/>
      <c r="G36" s="876"/>
      <c r="H36" s="876"/>
      <c r="I36" s="877"/>
    </row>
    <row r="37" spans="1:9" s="9" customFormat="1" ht="25.5" x14ac:dyDescent="0.2">
      <c r="A37" s="233" t="s">
        <v>26</v>
      </c>
      <c r="B37" s="234"/>
      <c r="C37" s="234"/>
      <c r="D37" s="235" t="s">
        <v>2223</v>
      </c>
      <c r="E37" s="235"/>
      <c r="F37" s="881" t="s">
        <v>2224</v>
      </c>
      <c r="G37" s="881" t="s">
        <v>2225</v>
      </c>
      <c r="H37" s="881" t="s">
        <v>2216</v>
      </c>
      <c r="I37" s="298"/>
    </row>
    <row r="38" spans="1:9" x14ac:dyDescent="0.2">
      <c r="A38" s="871"/>
      <c r="B38" s="1105" t="s">
        <v>2226</v>
      </c>
      <c r="C38" s="1104"/>
      <c r="D38" s="46"/>
      <c r="E38" s="47"/>
      <c r="F38" s="15"/>
      <c r="G38" s="12"/>
      <c r="H38" s="7"/>
      <c r="I38" s="343">
        <f>SUM(H39:H41)</f>
        <v>0</v>
      </c>
    </row>
    <row r="39" spans="1:9" x14ac:dyDescent="0.2">
      <c r="A39" s="1215"/>
      <c r="B39" s="1216"/>
      <c r="C39" s="1217"/>
      <c r="D39" s="46">
        <f>IF(A39&lt;&gt;0,VLOOKUP(A39,Transporte,8,FALSE),$J$1)</f>
        <v>0</v>
      </c>
      <c r="E39" s="47"/>
      <c r="F39" s="15">
        <f t="shared" ref="F39:F44" si="4">IF(A39&lt;&gt;0,VLOOKUP(A39,Transporte,2,FALSE),$J$1)</f>
        <v>0</v>
      </c>
      <c r="G39" s="12"/>
      <c r="H39" s="7">
        <f t="shared" ref="H39:H44" si="5">IF(A39&lt;&gt;0,D39/F39*G39,$J$1)</f>
        <v>0</v>
      </c>
      <c r="I39" s="345"/>
    </row>
    <row r="40" spans="1:9" x14ac:dyDescent="0.2">
      <c r="A40" s="1215"/>
      <c r="B40" s="1216"/>
      <c r="C40" s="1217"/>
      <c r="D40" s="46">
        <f>IF(A40&lt;&gt;0,VLOOKUP(A40,Transporte,8,FALSE),$J$1)</f>
        <v>0</v>
      </c>
      <c r="E40" s="47"/>
      <c r="F40" s="15">
        <f t="shared" si="4"/>
        <v>0</v>
      </c>
      <c r="G40" s="12"/>
      <c r="H40" s="7">
        <f t="shared" si="5"/>
        <v>0</v>
      </c>
      <c r="I40" s="345"/>
    </row>
    <row r="41" spans="1:9" x14ac:dyDescent="0.2">
      <c r="A41" s="1215"/>
      <c r="B41" s="1216"/>
      <c r="C41" s="1217"/>
      <c r="D41" s="46">
        <f>IF(A41&lt;&gt;0,VLOOKUP(A41,Transporte,8,FALSE),$J$1)</f>
        <v>0</v>
      </c>
      <c r="E41" s="47"/>
      <c r="F41" s="15">
        <f t="shared" si="4"/>
        <v>0</v>
      </c>
      <c r="G41" s="12"/>
      <c r="H41" s="7">
        <f t="shared" si="5"/>
        <v>0</v>
      </c>
      <c r="I41" s="345"/>
    </row>
    <row r="42" spans="1:9" x14ac:dyDescent="0.2">
      <c r="A42" s="871"/>
      <c r="B42" s="1105" t="s">
        <v>2227</v>
      </c>
      <c r="C42" s="1104"/>
      <c r="D42" s="46"/>
      <c r="E42" s="47"/>
      <c r="F42" s="15"/>
      <c r="G42" s="12"/>
      <c r="H42" s="7"/>
      <c r="I42" s="343">
        <f>SUM(H43:H44)</f>
        <v>0</v>
      </c>
    </row>
    <row r="43" spans="1:9" x14ac:dyDescent="0.2">
      <c r="A43" s="1368"/>
      <c r="B43" s="1352"/>
      <c r="C43" s="1353"/>
      <c r="D43" s="46">
        <f>IF(A43&lt;&gt;0,VLOOKUP(A43,Transporte,8,FALSE),$J$1)</f>
        <v>0</v>
      </c>
      <c r="E43" s="47"/>
      <c r="F43" s="15">
        <f t="shared" si="4"/>
        <v>0</v>
      </c>
      <c r="G43" s="12"/>
      <c r="H43" s="7">
        <f t="shared" si="5"/>
        <v>0</v>
      </c>
      <c r="I43" s="379"/>
    </row>
    <row r="44" spans="1:9" x14ac:dyDescent="0.2">
      <c r="A44" s="1368"/>
      <c r="B44" s="1352"/>
      <c r="C44" s="1353"/>
      <c r="D44" s="46">
        <f>IF(A44&lt;&gt;0,VLOOKUP(A44,Transporte,8,FALSE),$J$1)</f>
        <v>0</v>
      </c>
      <c r="E44" s="47"/>
      <c r="F44" s="15">
        <f t="shared" si="4"/>
        <v>0</v>
      </c>
      <c r="G44" s="12"/>
      <c r="H44" s="7">
        <f t="shared" si="5"/>
        <v>0</v>
      </c>
      <c r="I44" s="346"/>
    </row>
    <row r="45" spans="1:9" x14ac:dyDescent="0.2">
      <c r="A45" s="880" t="s">
        <v>2228</v>
      </c>
      <c r="B45" s="854"/>
      <c r="C45" s="854"/>
      <c r="D45" s="854"/>
      <c r="E45" s="854"/>
      <c r="F45" s="854"/>
      <c r="G45" s="854"/>
      <c r="H45" s="854"/>
      <c r="I45" s="347">
        <f>SUM(I38:I44)</f>
        <v>0</v>
      </c>
    </row>
    <row r="46" spans="1:9" x14ac:dyDescent="0.2">
      <c r="A46" s="1086"/>
      <c r="B46" s="1087"/>
      <c r="C46" s="1087"/>
      <c r="D46" s="1087"/>
      <c r="E46" s="1087"/>
      <c r="F46" s="1087"/>
      <c r="G46" s="1087"/>
      <c r="H46" s="1087"/>
      <c r="I46" s="1088"/>
    </row>
    <row r="47" spans="1:9" x14ac:dyDescent="0.2">
      <c r="A47" s="1200" t="s">
        <v>554</v>
      </c>
      <c r="B47" s="1201"/>
      <c r="C47" s="1201"/>
      <c r="D47" s="1201"/>
      <c r="E47" s="1201"/>
      <c r="F47" s="1201"/>
      <c r="G47" s="1201"/>
      <c r="H47" s="1201"/>
      <c r="I47" s="1202"/>
    </row>
    <row r="48" spans="1:9" s="9" customFormat="1" ht="25.5" x14ac:dyDescent="0.2">
      <c r="A48" s="1246" t="s">
        <v>2229</v>
      </c>
      <c r="B48" s="1247"/>
      <c r="C48" s="1247"/>
      <c r="D48" s="1248" t="s">
        <v>2230</v>
      </c>
      <c r="E48" s="1248"/>
      <c r="F48" s="1248" t="s">
        <v>2218</v>
      </c>
      <c r="G48" s="1248"/>
      <c r="H48" s="881" t="s">
        <v>2216</v>
      </c>
      <c r="I48" s="72"/>
    </row>
    <row r="49" spans="1:9" x14ac:dyDescent="0.2">
      <c r="A49" s="1080" t="s">
        <v>57</v>
      </c>
      <c r="B49" s="1081"/>
      <c r="C49" s="1081"/>
      <c r="D49" s="1082">
        <f>IF(A49&lt;&gt;0,VLOOKUP(A49,Cuadrillas,7,FALSE),$J$1)</f>
        <v>215474.96249999999</v>
      </c>
      <c r="E49" s="1082"/>
      <c r="F49" s="1083">
        <v>8</v>
      </c>
      <c r="G49" s="1083"/>
      <c r="H49" s="7">
        <f>IF(A49&lt;&gt;0,ROUND(D49/F49,2),$J$1)</f>
        <v>26934.37</v>
      </c>
      <c r="I49" s="69"/>
    </row>
    <row r="50" spans="1:9" x14ac:dyDescent="0.2">
      <c r="A50" s="1293"/>
      <c r="B50" s="1294"/>
      <c r="C50" s="1294"/>
      <c r="D50" s="1415">
        <f>IF(A50&lt;&gt;0,VLOOKUP(A50,Cuadrillas,7,FALSE),$J$1)</f>
        <v>0</v>
      </c>
      <c r="E50" s="1415"/>
      <c r="F50" s="1414"/>
      <c r="G50" s="1414"/>
      <c r="H50" s="334">
        <f>IF(A50&lt;&gt;0,ROUND(D50/F50,2),$J$1)</f>
        <v>0</v>
      </c>
      <c r="I50" s="297"/>
    </row>
    <row r="51" spans="1:9" x14ac:dyDescent="0.2">
      <c r="A51" s="1370"/>
      <c r="B51" s="1371"/>
      <c r="C51" s="1371"/>
      <c r="D51" s="1416">
        <f>IF(A51&lt;&gt;0,VLOOKUP(A51,Cuadrillas,7,FALSE),$J$1)</f>
        <v>0</v>
      </c>
      <c r="E51" s="1416"/>
      <c r="F51" s="1417"/>
      <c r="G51" s="1417"/>
      <c r="H51" s="372">
        <f>IF(A51&lt;&gt;0,ROUND(D51/F51,2),$J$1)</f>
        <v>0</v>
      </c>
      <c r="I51" s="297"/>
    </row>
    <row r="52" spans="1:9" x14ac:dyDescent="0.2">
      <c r="A52" s="1293"/>
      <c r="B52" s="1294"/>
      <c r="C52" s="1294"/>
      <c r="D52" s="1415">
        <f>IF(A52&lt;&gt;0,VLOOKUP(A52,Cuadrillas,7,FALSE),$J$1)</f>
        <v>0</v>
      </c>
      <c r="E52" s="1415"/>
      <c r="F52" s="1414"/>
      <c r="G52" s="1414"/>
      <c r="H52" s="334">
        <f>IF(A52&lt;&gt;0,ROUND(D52/F52,2),$J$1)</f>
        <v>0</v>
      </c>
      <c r="I52" s="325"/>
    </row>
    <row r="53" spans="1:9" x14ac:dyDescent="0.2">
      <c r="A53" s="1293"/>
      <c r="B53" s="1294"/>
      <c r="C53" s="1294"/>
      <c r="D53" s="1415">
        <f>IF(A53&lt;&gt;0,VLOOKUP(A53,Cuadrillas,7,FALSE),$J$1)</f>
        <v>0</v>
      </c>
      <c r="E53" s="1415"/>
      <c r="F53" s="1414"/>
      <c r="G53" s="1414"/>
      <c r="H53" s="334">
        <f>IF(A53&lt;&gt;0,ROUND(D53/F53,2),$J$1)</f>
        <v>0</v>
      </c>
      <c r="I53" s="325"/>
    </row>
    <row r="54" spans="1:9" x14ac:dyDescent="0.2">
      <c r="A54" s="1290" t="s">
        <v>2231</v>
      </c>
      <c r="B54" s="1291"/>
      <c r="C54" s="1291"/>
      <c r="D54" s="1291"/>
      <c r="E54" s="1291"/>
      <c r="F54" s="1291"/>
      <c r="G54" s="1291"/>
      <c r="H54" s="1291"/>
      <c r="I54" s="938">
        <f>SUM(H49:H53)</f>
        <v>26934.37</v>
      </c>
    </row>
    <row r="55" spans="1:9" x14ac:dyDescent="0.2">
      <c r="A55" s="1086"/>
      <c r="B55" s="1087"/>
      <c r="C55" s="1087"/>
      <c r="D55" s="1087"/>
      <c r="E55" s="1087"/>
      <c r="F55" s="1087"/>
      <c r="G55" s="1087"/>
      <c r="H55" s="1087"/>
      <c r="I55" s="1088"/>
    </row>
    <row r="56" spans="1:9" x14ac:dyDescent="0.2">
      <c r="A56" s="1089" t="s">
        <v>2232</v>
      </c>
      <c r="B56" s="1090"/>
      <c r="C56" s="1090"/>
      <c r="D56" s="1090"/>
      <c r="E56" s="1090"/>
      <c r="F56" s="1090"/>
      <c r="G56" s="1090"/>
      <c r="H56" s="1090"/>
      <c r="I56" s="237" t="e">
        <f>I23+I34+I45</f>
        <v>#REF!</v>
      </c>
    </row>
    <row r="57" spans="1:9" ht="13.5" thickBot="1" x14ac:dyDescent="0.25">
      <c r="A57" s="1193" t="s">
        <v>2233</v>
      </c>
      <c r="B57" s="1194"/>
      <c r="C57" s="1194"/>
      <c r="D57" s="1194"/>
      <c r="E57" s="1194"/>
      <c r="F57" s="1194"/>
      <c r="G57" s="1194"/>
      <c r="H57" s="1194"/>
      <c r="I57" s="238">
        <f>I54</f>
        <v>26934.37</v>
      </c>
    </row>
    <row r="58" spans="1:9" s="9" customFormat="1" ht="25.5" customHeight="1" thickTop="1" thickBot="1" x14ac:dyDescent="0.25">
      <c r="A58" s="1195" t="s">
        <v>2234</v>
      </c>
      <c r="B58" s="1196"/>
      <c r="C58" s="1196"/>
      <c r="D58" s="1196"/>
      <c r="E58" s="1196"/>
      <c r="F58" s="1196"/>
      <c r="G58" s="1196"/>
      <c r="H58" s="258"/>
      <c r="I58" s="239" t="e">
        <f>I56+I57</f>
        <v>#REF!</v>
      </c>
    </row>
    <row r="59" spans="1:9" s="9" customFormat="1" ht="25.5" customHeight="1" thickTop="1" thickBot="1" x14ac:dyDescent="0.25">
      <c r="A59" s="1095" t="s">
        <v>10</v>
      </c>
      <c r="B59" s="1096"/>
      <c r="C59" s="1096"/>
      <c r="D59" s="1097">
        <f>+'Datos entrada'!B7</f>
        <v>0.3</v>
      </c>
      <c r="E59" s="1098"/>
      <c r="F59" s="1099" t="e">
        <f>I58*D59</f>
        <v>#REF!</v>
      </c>
      <c r="G59" s="1099"/>
      <c r="H59" s="1099"/>
      <c r="I59" s="1100"/>
    </row>
    <row r="60" spans="1:9" s="9" customFormat="1" ht="25.5" customHeight="1" thickTop="1" thickBot="1" x14ac:dyDescent="0.25">
      <c r="A60" s="1095" t="s">
        <v>2236</v>
      </c>
      <c r="B60" s="1096"/>
      <c r="C60" s="1096"/>
      <c r="D60" s="1096"/>
      <c r="E60" s="1096"/>
      <c r="F60" s="1096"/>
      <c r="G60" s="1096"/>
      <c r="H60" s="1191" t="e">
        <f>I58+F59</f>
        <v>#REF!</v>
      </c>
      <c r="I60" s="1192"/>
    </row>
    <row r="61" spans="1:9" ht="13.5" thickTop="1" x14ac:dyDescent="0.2">
      <c r="I61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3">
    <mergeCell ref="A48:C48"/>
    <mergeCell ref="A49:C49"/>
    <mergeCell ref="D48:E48"/>
    <mergeCell ref="A31:C31"/>
    <mergeCell ref="A32:C32"/>
    <mergeCell ref="A33:C33"/>
    <mergeCell ref="A46:I46"/>
    <mergeCell ref="F48:G48"/>
    <mergeCell ref="F49:G49"/>
    <mergeCell ref="A47:I47"/>
    <mergeCell ref="B38:C38"/>
    <mergeCell ref="B42:C42"/>
    <mergeCell ref="A60:G60"/>
    <mergeCell ref="H60:I60"/>
    <mergeCell ref="A51:C51"/>
    <mergeCell ref="A52:C52"/>
    <mergeCell ref="D51:E51"/>
    <mergeCell ref="F51:G51"/>
    <mergeCell ref="A53:C53"/>
    <mergeCell ref="D52:E52"/>
    <mergeCell ref="A57:H57"/>
    <mergeCell ref="F53:G53"/>
    <mergeCell ref="F52:G52"/>
    <mergeCell ref="D53:E53"/>
    <mergeCell ref="A58:G58"/>
    <mergeCell ref="A56:H56"/>
    <mergeCell ref="A59:C59"/>
    <mergeCell ref="D59:E59"/>
    <mergeCell ref="F59:I59"/>
    <mergeCell ref="A27:C27"/>
    <mergeCell ref="A28:C28"/>
    <mergeCell ref="F50:G50"/>
    <mergeCell ref="A50:C50"/>
    <mergeCell ref="D50:E50"/>
    <mergeCell ref="A55:I55"/>
    <mergeCell ref="A54:H54"/>
    <mergeCell ref="A29:C29"/>
    <mergeCell ref="A39:C39"/>
    <mergeCell ref="A40:C40"/>
    <mergeCell ref="A41:C41"/>
    <mergeCell ref="A43:C43"/>
    <mergeCell ref="A44:C44"/>
    <mergeCell ref="A30:C30"/>
    <mergeCell ref="D49:E49"/>
    <mergeCell ref="A16:C16"/>
    <mergeCell ref="A17:C17"/>
    <mergeCell ref="A20:C20"/>
    <mergeCell ref="A22:C22"/>
    <mergeCell ref="A19:C19"/>
    <mergeCell ref="A21:C21"/>
    <mergeCell ref="A18:C18"/>
    <mergeCell ref="A2:I2"/>
    <mergeCell ref="A3:I3"/>
    <mergeCell ref="H1:I1"/>
    <mergeCell ref="A12:C12"/>
    <mergeCell ref="A15:C15"/>
    <mergeCell ref="A8:C8"/>
    <mergeCell ref="A9:C9"/>
    <mergeCell ref="A10:C10"/>
    <mergeCell ref="A11:C11"/>
    <mergeCell ref="A13:C13"/>
    <mergeCell ref="A14:C14"/>
    <mergeCell ref="A1:C1"/>
  </mergeCells>
  <phoneticPr fontId="0" type="noConversion"/>
  <dataValidations count="5">
    <dataValidation type="list" allowBlank="1" showInputMessage="1" showErrorMessage="1" sqref="A9:A22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7:A33">
      <formula1>Descrip_equipos</formula1>
    </dataValidation>
    <dataValidation type="list" allowBlank="1" showInputMessage="1" showErrorMessage="1" sqref="A49:C53">
      <formula1>Descrip_cuadrillas</formula1>
    </dataValidation>
    <dataValidation type="list" allowBlank="1" showInputMessage="1" showErrorMessage="1" sqref="A38:A45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8">
    <tabColor indexed="4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311</v>
      </c>
      <c r="B8" s="1081"/>
      <c r="C8" s="1081"/>
      <c r="D8" s="844" t="e">
        <f t="shared" ref="D8:D18" si="0">IF(A8&lt;&gt;0,VLOOKUP(A8,Materiales,2,FALSE),$J$1)</f>
        <v>#REF!</v>
      </c>
      <c r="E8" s="12">
        <f>(1.31+2+1.31+2)*3.58</f>
        <v>23.6996</v>
      </c>
      <c r="F8" s="58" t="e">
        <f t="shared" ref="F8:F17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080" t="s">
        <v>271</v>
      </c>
      <c r="B9" s="1081"/>
      <c r="C9" s="1081"/>
      <c r="D9" s="844" t="e">
        <f t="shared" si="0"/>
        <v>#REF!</v>
      </c>
      <c r="E9" s="12">
        <v>0.98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2320</v>
      </c>
      <c r="B10" s="1081"/>
      <c r="C10" s="1081"/>
      <c r="D10" s="844" t="e">
        <f t="shared" si="0"/>
        <v>#REF!</v>
      </c>
      <c r="E10" s="12">
        <v>0.35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246</v>
      </c>
      <c r="B11" s="1081"/>
      <c r="C11" s="1081"/>
      <c r="D11" s="844" t="e">
        <f t="shared" si="0"/>
        <v>#REF!</v>
      </c>
      <c r="E11" s="12">
        <v>0.45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193</v>
      </c>
      <c r="B12" s="1081"/>
      <c r="C12" s="1081"/>
      <c r="D12" s="844" t="e">
        <f t="shared" si="0"/>
        <v>#REF!</v>
      </c>
      <c r="E12" s="12">
        <f>1.9*2</f>
        <v>3.8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318</v>
      </c>
      <c r="B13" s="1081"/>
      <c r="C13" s="1081"/>
      <c r="D13" s="844" t="e">
        <f t="shared" si="0"/>
        <v>#REF!</v>
      </c>
      <c r="E13" s="12">
        <v>4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254</v>
      </c>
      <c r="B14" s="1081"/>
      <c r="C14" s="1081"/>
      <c r="D14" s="844" t="e">
        <f t="shared" si="0"/>
        <v>#REF!</v>
      </c>
      <c r="E14" s="12">
        <v>2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168</v>
      </c>
      <c r="B15" s="1081"/>
      <c r="C15" s="1081"/>
      <c r="D15" s="844" t="e">
        <f t="shared" si="0"/>
        <v>#REF!</v>
      </c>
      <c r="E15" s="12">
        <v>2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 t="s">
        <v>392</v>
      </c>
      <c r="B16" s="1081"/>
      <c r="C16" s="1081"/>
      <c r="D16" s="844" t="e">
        <f t="shared" si="0"/>
        <v>#REF!</v>
      </c>
      <c r="E16" s="12">
        <v>12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080" t="s">
        <v>252</v>
      </c>
      <c r="B17" s="1081"/>
      <c r="C17" s="1081"/>
      <c r="D17" s="844" t="e">
        <f t="shared" si="0"/>
        <v>#REF!</v>
      </c>
      <c r="E17" s="12">
        <v>2</v>
      </c>
      <c r="F17" s="58" t="e">
        <f t="shared" si="1"/>
        <v>#REF!</v>
      </c>
      <c r="G17" s="58"/>
      <c r="H17" s="7" t="e">
        <f t="shared" si="2"/>
        <v>#REF!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461</v>
      </c>
      <c r="B23" s="1081"/>
      <c r="C23" s="1081"/>
      <c r="D23" s="33">
        <v>3.5</v>
      </c>
      <c r="E23" s="33"/>
      <c r="F23" s="12">
        <f t="shared" ref="F23:F29" si="3">IF(A23&lt;&gt;0,VLOOKUP(A23,Equipos,6,FALSE),$J$1)</f>
        <v>127200</v>
      </c>
      <c r="G23" s="14">
        <v>1</v>
      </c>
      <c r="H23" s="7">
        <f t="shared" ref="H23:H29" si="4">IF(A23&lt;&gt;0,ROUND((F23/D23)*G23,2),$J$1)</f>
        <v>36342.86</v>
      </c>
      <c r="I23" s="69"/>
    </row>
    <row r="24" spans="1:9" x14ac:dyDescent="0.2">
      <c r="A24" s="1080" t="s">
        <v>469</v>
      </c>
      <c r="B24" s="1081"/>
      <c r="C24" s="1081"/>
      <c r="D24" s="33">
        <v>1</v>
      </c>
      <c r="E24" s="33"/>
      <c r="F24" s="12">
        <f t="shared" si="3"/>
        <v>21200</v>
      </c>
      <c r="G24" s="14">
        <v>1</v>
      </c>
      <c r="H24" s="7">
        <f t="shared" si="4"/>
        <v>21200</v>
      </c>
      <c r="I24" s="69"/>
    </row>
    <row r="25" spans="1:9" x14ac:dyDescent="0.2">
      <c r="A25" s="1080" t="s">
        <v>470</v>
      </c>
      <c r="B25" s="1081"/>
      <c r="C25" s="1081"/>
      <c r="D25" s="33">
        <v>6</v>
      </c>
      <c r="E25" s="33"/>
      <c r="F25" s="12">
        <f t="shared" si="3"/>
        <v>32012</v>
      </c>
      <c r="G25" s="14">
        <v>1</v>
      </c>
      <c r="H25" s="7">
        <f t="shared" si="4"/>
        <v>5335.33</v>
      </c>
      <c r="I25" s="69"/>
    </row>
    <row r="26" spans="1:9" x14ac:dyDescent="0.2">
      <c r="A26" s="1080" t="s">
        <v>477</v>
      </c>
      <c r="B26" s="1081"/>
      <c r="C26" s="1081"/>
      <c r="D26" s="33">
        <v>4</v>
      </c>
      <c r="E26" s="33"/>
      <c r="F26" s="12">
        <f t="shared" si="3"/>
        <v>3710</v>
      </c>
      <c r="G26" s="14">
        <v>1</v>
      </c>
      <c r="H26" s="7">
        <f t="shared" si="4"/>
        <v>927.5</v>
      </c>
      <c r="I26" s="69"/>
    </row>
    <row r="27" spans="1:9" x14ac:dyDescent="0.2">
      <c r="A27" s="1080" t="s">
        <v>467</v>
      </c>
      <c r="B27" s="1081"/>
      <c r="C27" s="1081"/>
      <c r="D27" s="33">
        <v>2</v>
      </c>
      <c r="E27" s="33"/>
      <c r="F27" s="12">
        <f t="shared" si="3"/>
        <v>24592</v>
      </c>
      <c r="G27" s="14">
        <v>1</v>
      </c>
      <c r="H27" s="7">
        <f t="shared" si="4"/>
        <v>12296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76101.69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1.1000000000000001</v>
      </c>
      <c r="G45" s="1083"/>
      <c r="H45" s="7">
        <f>IF(A45&lt;&gt;0,ROUND(D45/F45,2),$J$1)</f>
        <v>195886.33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195886.33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195886.33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>
    <tabColor indexed="4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2374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130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2375</v>
      </c>
      <c r="B8" s="1081"/>
      <c r="C8" s="1081"/>
      <c r="D8" s="844" t="e">
        <f t="shared" ref="D8:D18" si="0">IF(A8&lt;&gt;0,VLOOKUP(A8,Materiales,2,FALSE),$J$1)</f>
        <v>#REF!</v>
      </c>
      <c r="E8" s="12">
        <v>2.2599999999999998</v>
      </c>
      <c r="F8" s="58" t="e">
        <f t="shared" ref="F8:F16" si="1">IF(A8&lt;&gt;0,VLOOKUP(A8,Materiales,6,FALSE),$J$1)</f>
        <v>#REF!</v>
      </c>
      <c r="G8" s="58"/>
      <c r="H8" s="7"/>
      <c r="I8" s="69"/>
    </row>
    <row r="9" spans="1:10" x14ac:dyDescent="0.2">
      <c r="A9" s="1418" t="s">
        <v>2376</v>
      </c>
      <c r="B9" s="1419"/>
      <c r="C9" s="1420"/>
      <c r="D9" s="844" t="e">
        <f t="shared" si="0"/>
        <v>#REF!</v>
      </c>
      <c r="E9" s="12">
        <v>1</v>
      </c>
      <c r="F9" s="58"/>
      <c r="G9" s="58"/>
      <c r="H9" s="7">
        <f t="shared" ref="H9:H18" si="2">IF(A9&lt;&gt;0,ROUND(E9*F9,2),$J$1)</f>
        <v>0</v>
      </c>
      <c r="I9" s="69"/>
    </row>
    <row r="10" spans="1:10" x14ac:dyDescent="0.2">
      <c r="A10" s="1125" t="s">
        <v>2377</v>
      </c>
      <c r="B10" s="1126"/>
      <c r="C10" s="1126"/>
      <c r="D10" s="862" t="e">
        <f t="shared" si="0"/>
        <v>#REF!</v>
      </c>
      <c r="E10" s="460">
        <v>2.2599999999999998</v>
      </c>
      <c r="F10" s="461"/>
      <c r="G10" s="461"/>
      <c r="H10" s="462">
        <f t="shared" si="2"/>
        <v>0</v>
      </c>
      <c r="I10" s="69"/>
    </row>
    <row r="11" spans="1:10" x14ac:dyDescent="0.2">
      <c r="A11" s="1080" t="s">
        <v>391</v>
      </c>
      <c r="B11" s="1081"/>
      <c r="C11" s="1081"/>
      <c r="D11" s="844" t="e">
        <f t="shared" si="0"/>
        <v>#REF!</v>
      </c>
      <c r="E11" s="12">
        <v>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354</v>
      </c>
      <c r="B12" s="1081"/>
      <c r="C12" s="1081"/>
      <c r="D12" s="844" t="e">
        <f t="shared" si="0"/>
        <v>#REF!</v>
      </c>
      <c r="E12" s="12">
        <v>0.5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13" t="s">
        <v>2320</v>
      </c>
      <c r="B13" s="1214"/>
      <c r="C13" s="1214"/>
      <c r="D13" s="844" t="e">
        <f t="shared" si="0"/>
        <v>#REF!</v>
      </c>
      <c r="E13" s="12">
        <v>0.03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246</v>
      </c>
      <c r="B14" s="1081"/>
      <c r="C14" s="1081"/>
      <c r="D14" s="844" t="e">
        <f t="shared" si="0"/>
        <v>#REF!</v>
      </c>
      <c r="E14" s="12">
        <v>7.0000000000000007E-2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170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21.82</v>
      </c>
      <c r="I23" s="69"/>
    </row>
    <row r="24" spans="1:9" x14ac:dyDescent="0.2">
      <c r="A24" s="1080" t="s">
        <v>467</v>
      </c>
      <c r="B24" s="1081"/>
      <c r="C24" s="1081"/>
      <c r="D24" s="33">
        <v>25</v>
      </c>
      <c r="E24" s="33"/>
      <c r="F24" s="12">
        <f t="shared" si="3"/>
        <v>24592</v>
      </c>
      <c r="G24" s="14">
        <v>1</v>
      </c>
      <c r="H24" s="7">
        <f t="shared" si="4"/>
        <v>983.68</v>
      </c>
      <c r="I24" s="69"/>
    </row>
    <row r="25" spans="1:9" x14ac:dyDescent="0.2">
      <c r="A25" s="1080" t="s">
        <v>464</v>
      </c>
      <c r="B25" s="1081"/>
      <c r="C25" s="1081"/>
      <c r="D25" s="33">
        <v>15</v>
      </c>
      <c r="E25" s="33"/>
      <c r="F25" s="12">
        <f t="shared" si="3"/>
        <v>33920</v>
      </c>
      <c r="G25" s="14">
        <v>1</v>
      </c>
      <c r="H25" s="7">
        <f t="shared" si="4"/>
        <v>2261.33</v>
      </c>
      <c r="I25" s="69"/>
    </row>
    <row r="26" spans="1:9" x14ac:dyDescent="0.2">
      <c r="A26" s="1080" t="s">
        <v>469</v>
      </c>
      <c r="B26" s="1081"/>
      <c r="C26" s="1081"/>
      <c r="D26" s="33">
        <v>15</v>
      </c>
      <c r="E26" s="33"/>
      <c r="F26" s="12">
        <f t="shared" si="3"/>
        <v>21200</v>
      </c>
      <c r="G26" s="14">
        <v>1</v>
      </c>
      <c r="H26" s="7">
        <f t="shared" si="4"/>
        <v>1413.33</v>
      </c>
      <c r="I26" s="69"/>
    </row>
    <row r="27" spans="1:9" x14ac:dyDescent="0.2">
      <c r="A27" s="1080" t="s">
        <v>470</v>
      </c>
      <c r="B27" s="1081"/>
      <c r="C27" s="1081"/>
      <c r="D27" s="33">
        <v>15</v>
      </c>
      <c r="E27" s="33"/>
      <c r="F27" s="12">
        <f t="shared" si="3"/>
        <v>32012</v>
      </c>
      <c r="G27" s="14">
        <v>1</v>
      </c>
      <c r="H27" s="7">
        <f t="shared" si="4"/>
        <v>2134.13</v>
      </c>
      <c r="I27" s="69"/>
    </row>
    <row r="28" spans="1:9" x14ac:dyDescent="0.2">
      <c r="A28" s="1080" t="s">
        <v>461</v>
      </c>
      <c r="B28" s="1081"/>
      <c r="C28" s="1081"/>
      <c r="D28" s="33">
        <v>30</v>
      </c>
      <c r="E28" s="33"/>
      <c r="F28" s="12">
        <f t="shared" si="3"/>
        <v>127200</v>
      </c>
      <c r="G28" s="14"/>
      <c r="H28" s="7">
        <f t="shared" si="4"/>
        <v>0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6814.29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12</v>
      </c>
      <c r="G45" s="1083"/>
      <c r="H45" s="7">
        <f>IF(A45&lt;&gt;0,ROUND(D45/F45,2),$J$1)</f>
        <v>17956.25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17956.25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17956.25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2">
    <tabColor indexed="49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20" t="s">
        <v>209</v>
      </c>
      <c r="B8" s="1121"/>
      <c r="C8" s="112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283" t="s">
        <v>239</v>
      </c>
      <c r="B9" s="1284"/>
      <c r="C9" s="1284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742</v>
      </c>
      <c r="I23" s="69"/>
    </row>
    <row r="24" spans="1:9" x14ac:dyDescent="0.2">
      <c r="A24" s="1080"/>
      <c r="B24" s="1081"/>
      <c r="C24" s="1081"/>
      <c r="D24" s="109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742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51</v>
      </c>
      <c r="B45" s="1081"/>
      <c r="C45" s="1081"/>
      <c r="D45" s="1082">
        <f>IF(A45&lt;&gt;0,VLOOKUP(A45,Cuadrillas,7,FALSE),$J$1)</f>
        <v>418739.68</v>
      </c>
      <c r="E45" s="1082"/>
      <c r="F45" s="1083">
        <v>13</v>
      </c>
      <c r="G45" s="1083"/>
      <c r="H45" s="7">
        <f>IF(A45&lt;&gt;0,ROUND(D45/F45,2),$J$1)</f>
        <v>32210.74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32210.74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32210.74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3">
    <tabColor indexed="49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20" t="s">
        <v>350</v>
      </c>
      <c r="B8" s="1121"/>
      <c r="C8" s="1121"/>
      <c r="D8" s="844" t="e">
        <f t="shared" ref="D8:D18" si="0">IF(A8&lt;&gt;0,VLOOKUP(A8,Materiales,2,FALSE),$J$1)</f>
        <v>#REF!</v>
      </c>
      <c r="E8" s="12">
        <v>0.32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37.5" customHeight="1" x14ac:dyDescent="0.2">
      <c r="A9" s="1421" t="s">
        <v>321</v>
      </c>
      <c r="B9" s="1422"/>
      <c r="C9" s="1423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263</v>
      </c>
      <c r="B10" s="1081"/>
      <c r="C10" s="1081"/>
      <c r="D10" s="844" t="e">
        <f t="shared" si="0"/>
        <v>#REF!</v>
      </c>
      <c r="E10" s="12"/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0.05</v>
      </c>
      <c r="H23" s="7">
        <f t="shared" ref="H23:H29" si="4">IF(A23&lt;&gt;0,ROUND((F23/D23)*G23,2),$J$1)</f>
        <v>185.5</v>
      </c>
      <c r="I23" s="69"/>
    </row>
    <row r="24" spans="1:9" x14ac:dyDescent="0.2">
      <c r="A24" s="1080"/>
      <c r="B24" s="1081"/>
      <c r="C24" s="1081"/>
      <c r="D24" s="109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185.5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51</v>
      </c>
      <c r="B45" s="1081"/>
      <c r="C45" s="1081"/>
      <c r="D45" s="1082">
        <f>IF(A45&lt;&gt;0,VLOOKUP(A45,Cuadrillas,7,FALSE),$J$1)</f>
        <v>418739.68</v>
      </c>
      <c r="E45" s="1082"/>
      <c r="F45" s="1083">
        <v>14</v>
      </c>
      <c r="G45" s="1083"/>
      <c r="H45" s="7">
        <f>IF(A45&lt;&gt;0,ROUND(D45/F45,2),$J$1)</f>
        <v>29909.98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29909.98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29909.98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1">
    <tabColor indexed="49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20" t="s">
        <v>269</v>
      </c>
      <c r="B8" s="1121"/>
      <c r="C8" s="1121"/>
      <c r="D8" s="844" t="e">
        <f t="shared" ref="D8:D18" si="0">IF(A8&lt;&gt;0,VLOOKUP(A8,Materiales,2,FALSE),$J$1)</f>
        <v>#REF!</v>
      </c>
      <c r="E8" s="12">
        <v>47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290</v>
      </c>
      <c r="B9" s="1284"/>
      <c r="C9" s="1284"/>
      <c r="D9" s="844" t="e">
        <f t="shared" si="0"/>
        <v>#REF!</v>
      </c>
      <c r="E9" s="12">
        <v>0.05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451</v>
      </c>
      <c r="B10" s="1081"/>
      <c r="C10" s="1081"/>
      <c r="D10" s="844" t="e">
        <f t="shared" si="0"/>
        <v>#REF!</v>
      </c>
      <c r="E10" s="12">
        <v>1.8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445</v>
      </c>
      <c r="B11" s="1081"/>
      <c r="C11" s="1081"/>
      <c r="D11" s="844" t="e">
        <f t="shared" si="0"/>
        <v>#REF!</v>
      </c>
      <c r="E11" s="12">
        <v>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ht="25.5" customHeight="1" x14ac:dyDescent="0.2">
      <c r="A12" s="1116" t="s">
        <v>2378</v>
      </c>
      <c r="B12" s="1117"/>
      <c r="C12" s="1118"/>
      <c r="D12" s="844" t="e">
        <f t="shared" si="0"/>
        <v>#REF!</v>
      </c>
      <c r="E12" s="12">
        <v>2.88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0.55000000000000004</v>
      </c>
      <c r="H23" s="7">
        <f t="shared" ref="H23:H29" si="4">IF(A23&lt;&gt;0,ROUND((F23/D23)*G23,2),$J$1)</f>
        <v>2040.5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2040.5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080"/>
      <c r="B35" s="1081"/>
      <c r="C35" s="1081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080"/>
      <c r="B36" s="1081"/>
      <c r="C36" s="1081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080"/>
      <c r="B37" s="1081"/>
      <c r="C37" s="1081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080"/>
      <c r="B39" s="1081"/>
      <c r="C39" s="1081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080"/>
      <c r="B40" s="1081"/>
      <c r="C40" s="1081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53</v>
      </c>
      <c r="B45" s="1081"/>
      <c r="C45" s="1081"/>
      <c r="D45" s="1082">
        <f>IF(A45&lt;&gt;0,VLOOKUP(A45,Cuadrillas,7,FALSE),$J$1)</f>
        <v>228403.46</v>
      </c>
      <c r="E45" s="1082"/>
      <c r="F45" s="1083">
        <v>2</v>
      </c>
      <c r="G45" s="1083"/>
      <c r="H45" s="7">
        <f>IF(A45&lt;&gt;0,ROUND(D45/F45,2),$J$1)</f>
        <v>114201.73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114201.73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114201.73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indexed="49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2379</v>
      </c>
      <c r="C5" s="267" t="s">
        <v>2380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213" t="s">
        <v>276</v>
      </c>
      <c r="B8" s="1214"/>
      <c r="C8" s="1214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385</v>
      </c>
      <c r="B9" s="1219"/>
      <c r="C9" s="1219"/>
      <c r="D9" s="844" t="e">
        <f t="shared" si="0"/>
        <v>#REF!</v>
      </c>
      <c r="E9" s="12">
        <v>0.02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371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080"/>
      <c r="B35" s="1081"/>
      <c r="C35" s="1081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080"/>
      <c r="B36" s="1081"/>
      <c r="C36" s="1081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080"/>
      <c r="B37" s="1081"/>
      <c r="C37" s="1081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080"/>
      <c r="B39" s="1081"/>
      <c r="C39" s="1081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080"/>
      <c r="B40" s="1081"/>
      <c r="C40" s="1081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50</v>
      </c>
      <c r="G45" s="1083"/>
      <c r="H45" s="7">
        <f>IF(A45&lt;&gt;0,ROUND(D45/F45,2),$J$1)</f>
        <v>4187.3999999999996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4187.3999999999996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4187.3999999999996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35:C35"/>
    <mergeCell ref="A36:C36"/>
    <mergeCell ref="A37:C37"/>
    <mergeCell ref="A1:C1"/>
    <mergeCell ref="B34:C34"/>
    <mergeCell ref="A15:C15"/>
    <mergeCell ref="A16:C16"/>
    <mergeCell ref="A17:C17"/>
    <mergeCell ref="A18:C18"/>
    <mergeCell ref="A8:C8"/>
    <mergeCell ref="A9:C9"/>
    <mergeCell ref="A10:C10"/>
    <mergeCell ref="A11:C11"/>
    <mergeCell ref="A12:C12"/>
    <mergeCell ref="A4:E4"/>
    <mergeCell ref="B38:C38"/>
    <mergeCell ref="A55:C55"/>
    <mergeCell ref="D55:E55"/>
    <mergeCell ref="F55:I55"/>
    <mergeCell ref="D49:E49"/>
    <mergeCell ref="F46:G46"/>
    <mergeCell ref="A46:C46"/>
    <mergeCell ref="D46:E46"/>
    <mergeCell ref="A52:H52"/>
    <mergeCell ref="A53:H53"/>
    <mergeCell ref="A41:H41"/>
    <mergeCell ref="F49:G49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39:C39"/>
    <mergeCell ref="A40:C40"/>
    <mergeCell ref="A13:C13"/>
    <mergeCell ref="A29:C29"/>
    <mergeCell ref="A14:C14"/>
    <mergeCell ref="A23:C23"/>
    <mergeCell ref="A24:C24"/>
    <mergeCell ref="A56:G56"/>
    <mergeCell ref="A42:I42"/>
    <mergeCell ref="F44:G44"/>
    <mergeCell ref="F45:G45"/>
    <mergeCell ref="F48:G48"/>
    <mergeCell ref="A43:I43"/>
    <mergeCell ref="H56:I56"/>
    <mergeCell ref="A47:C47"/>
    <mergeCell ref="A48:C48"/>
    <mergeCell ref="D47:E47"/>
    <mergeCell ref="F47:G47"/>
    <mergeCell ref="A49:C49"/>
    <mergeCell ref="D48:E48"/>
    <mergeCell ref="A51:I51"/>
    <mergeCell ref="A50:H50"/>
    <mergeCell ref="A54:G54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>
    <tabColor indexed="49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328</v>
      </c>
      <c r="B8" s="1081"/>
      <c r="C8" s="108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080" t="s">
        <v>291</v>
      </c>
      <c r="B9" s="1081"/>
      <c r="C9" s="1081"/>
      <c r="D9" s="844" t="e">
        <f t="shared" si="0"/>
        <v>#REF!</v>
      </c>
      <c r="E9" s="12">
        <v>2.5000000000000001E-2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3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742</v>
      </c>
      <c r="I23" s="69"/>
    </row>
    <row r="24" spans="1:9" x14ac:dyDescent="0.2">
      <c r="A24" s="1080"/>
      <c r="B24" s="1081"/>
      <c r="C24" s="1081"/>
      <c r="D24" s="109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742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351">
        <v>10</v>
      </c>
      <c r="G45" s="1083"/>
      <c r="H45" s="7">
        <f>IF(A45&lt;&gt;0,ROUND(D45/F45,2),$J$1)</f>
        <v>32924.9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32924.9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32924.9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5:C35"/>
    <mergeCell ref="A36:C36"/>
    <mergeCell ref="A37:C37"/>
    <mergeCell ref="A39:C39"/>
    <mergeCell ref="A40:C40"/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35:C37 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indexed="50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93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s">
        <v>2297</v>
      </c>
      <c r="C5" s="267" t="s">
        <v>2317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2316</v>
      </c>
      <c r="G7" s="225"/>
      <c r="H7" s="858" t="s">
        <v>2216</v>
      </c>
      <c r="I7" s="72"/>
    </row>
    <row r="8" spans="1:10" ht="12.75" customHeight="1" x14ac:dyDescent="0.2">
      <c r="A8" s="1244" t="s">
        <v>221</v>
      </c>
      <c r="B8" s="1245"/>
      <c r="C8" s="1245"/>
      <c r="D8" s="844" t="e">
        <f t="shared" ref="D8:D19" si="0">IF(A8&lt;&gt;0,VLOOKUP(A8,Materiales,2,FALSE),$J$1)</f>
        <v>#REF!</v>
      </c>
      <c r="E8" s="12">
        <v>2.13</v>
      </c>
      <c r="F8" s="58" t="e">
        <f t="shared" ref="F8:F18" si="1">IF(A8&lt;&gt;0,VLOOKUP(A8,Materiales,6,FALSE),$J$1)</f>
        <v>#REF!</v>
      </c>
      <c r="G8" s="58"/>
      <c r="H8" s="7" t="e">
        <f t="shared" ref="H8:H19" si="2">IF(A8&lt;&gt;0,ROUND(E8*F8,2),$J$1)</f>
        <v>#REF!</v>
      </c>
      <c r="I8" s="69"/>
    </row>
    <row r="9" spans="1:10" x14ac:dyDescent="0.2">
      <c r="A9" s="1142" t="s">
        <v>355</v>
      </c>
      <c r="B9" s="1143"/>
      <c r="C9" s="1143"/>
      <c r="D9" s="844" t="e">
        <f t="shared" si="0"/>
        <v>#REF!</v>
      </c>
      <c r="E9" s="12">
        <v>0.04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274</v>
      </c>
      <c r="B10" s="1143"/>
      <c r="C10" s="1143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179</v>
      </c>
      <c r="B11" s="1143"/>
      <c r="C11" s="1143"/>
      <c r="D11" s="844" t="e">
        <f t="shared" si="0"/>
        <v>#REF!</v>
      </c>
      <c r="E11" s="12">
        <v>0.17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249" t="s">
        <v>178</v>
      </c>
      <c r="B12" s="1250"/>
      <c r="C12" s="1251"/>
      <c r="D12" s="844" t="e">
        <f t="shared" si="0"/>
        <v>#REF!</v>
      </c>
      <c r="E12" s="12">
        <v>0.13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249" t="s">
        <v>177</v>
      </c>
      <c r="B13" s="1250"/>
      <c r="C13" s="1251"/>
      <c r="D13" s="844" t="e">
        <f t="shared" si="0"/>
        <v>#REF!</v>
      </c>
      <c r="E13" s="12">
        <v>0.13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142" t="s">
        <v>421</v>
      </c>
      <c r="B14" s="1143"/>
      <c r="C14" s="1143"/>
      <c r="D14" s="844" t="e">
        <f t="shared" si="0"/>
        <v>#REF!</v>
      </c>
      <c r="E14" s="12">
        <v>0.27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137" t="s">
        <v>380</v>
      </c>
      <c r="B15" s="1143"/>
      <c r="C15" s="1143"/>
      <c r="D15" s="844" t="e">
        <f t="shared" si="0"/>
        <v>#REF!</v>
      </c>
      <c r="E15" s="12">
        <v>0.6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139" t="s">
        <v>381</v>
      </c>
      <c r="B16" s="1140"/>
      <c r="C16" s="1141"/>
      <c r="D16" s="844" t="e">
        <f t="shared" si="0"/>
        <v>#REF!</v>
      </c>
      <c r="E16" s="12">
        <v>0.2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139" t="s">
        <v>379</v>
      </c>
      <c r="B17" s="1140"/>
      <c r="C17" s="1141"/>
      <c r="D17" s="844" t="e">
        <f t="shared" si="0"/>
        <v>#REF!</v>
      </c>
      <c r="E17" s="12">
        <v>0.2</v>
      </c>
      <c r="F17" s="58" t="e">
        <f t="shared" si="1"/>
        <v>#REF!</v>
      </c>
      <c r="G17" s="58"/>
      <c r="H17" s="7" t="e">
        <f t="shared" si="2"/>
        <v>#REF!</v>
      </c>
      <c r="I17" s="69"/>
    </row>
    <row r="18" spans="1:9" x14ac:dyDescent="0.2">
      <c r="A18" s="1080" t="s">
        <v>378</v>
      </c>
      <c r="B18" s="1081"/>
      <c r="C18" s="1081"/>
      <c r="D18" s="844" t="e">
        <f t="shared" si="0"/>
        <v>#REF!</v>
      </c>
      <c r="E18" s="12">
        <v>0.2</v>
      </c>
      <c r="F18" s="58" t="e">
        <f t="shared" si="1"/>
        <v>#REF!</v>
      </c>
      <c r="G18" s="58"/>
      <c r="H18" s="7" t="e">
        <f t="shared" si="2"/>
        <v>#REF!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304"/>
    </row>
    <row r="20" spans="1:9" x14ac:dyDescent="0.2">
      <c r="A20" s="880" t="s">
        <v>2217</v>
      </c>
      <c r="B20" s="849"/>
      <c r="C20" s="849"/>
      <c r="D20" s="3"/>
      <c r="E20" s="872"/>
      <c r="F20" s="872"/>
      <c r="G20" s="872"/>
      <c r="H20" s="873"/>
      <c r="I20" s="241" t="e">
        <f>SUM(H8:H19)</f>
        <v>#REF!</v>
      </c>
    </row>
    <row r="21" spans="1:9" x14ac:dyDescent="0.2">
      <c r="A21" s="307"/>
      <c r="B21" s="308"/>
      <c r="C21" s="308"/>
      <c r="D21" s="308"/>
      <c r="E21" s="308"/>
      <c r="F21" s="308"/>
      <c r="G21" s="308"/>
      <c r="H21" s="308"/>
      <c r="I21" s="309"/>
    </row>
    <row r="22" spans="1:9" x14ac:dyDescent="0.2">
      <c r="A22" s="875" t="s">
        <v>454</v>
      </c>
      <c r="B22" s="213"/>
      <c r="C22" s="213"/>
      <c r="D22" s="213"/>
      <c r="E22" s="213"/>
      <c r="F22" s="213"/>
      <c r="G22" s="213"/>
      <c r="H22" s="213"/>
      <c r="I22" s="226"/>
    </row>
    <row r="23" spans="1:9" s="9" customFormat="1" ht="25.5" x14ac:dyDescent="0.2">
      <c r="A23" s="227" t="s">
        <v>26</v>
      </c>
      <c r="B23" s="225"/>
      <c r="C23" s="225"/>
      <c r="D23" s="225" t="s">
        <v>2218</v>
      </c>
      <c r="E23" s="225"/>
      <c r="F23" s="225" t="s">
        <v>2219</v>
      </c>
      <c r="G23" s="858" t="s">
        <v>2220</v>
      </c>
      <c r="H23" s="858" t="s">
        <v>2216</v>
      </c>
      <c r="I23" s="72"/>
    </row>
    <row r="24" spans="1:9" x14ac:dyDescent="0.2">
      <c r="A24" s="1080" t="s">
        <v>477</v>
      </c>
      <c r="B24" s="1081"/>
      <c r="C24" s="1081"/>
      <c r="D24" s="33">
        <v>50</v>
      </c>
      <c r="E24" s="33"/>
      <c r="F24" s="12">
        <f t="shared" ref="F24:F30" si="3">IF(A24&lt;&gt;0,VLOOKUP(A24,Equipos,6,FALSE),$J$1)</f>
        <v>3710</v>
      </c>
      <c r="G24" s="14">
        <v>1</v>
      </c>
      <c r="H24" s="7">
        <f t="shared" ref="H24:H30" si="4">IF(A24&lt;&gt;0,ROUND((F24/D24)*G24,2),$J$1)</f>
        <v>74.2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304"/>
    </row>
    <row r="31" spans="1:9" x14ac:dyDescent="0.2">
      <c r="A31" s="853" t="s">
        <v>2221</v>
      </c>
      <c r="B31" s="854"/>
      <c r="C31" s="854"/>
      <c r="D31" s="3"/>
      <c r="E31" s="872"/>
      <c r="F31" s="872"/>
      <c r="G31" s="872"/>
      <c r="H31" s="873"/>
      <c r="I31" s="241">
        <f>SUM(H24:H30)</f>
        <v>74.2</v>
      </c>
    </row>
    <row r="32" spans="1:9" x14ac:dyDescent="0.2">
      <c r="A32" s="307"/>
      <c r="B32" s="308"/>
      <c r="C32" s="308"/>
      <c r="D32" s="308"/>
      <c r="E32" s="308"/>
      <c r="F32" s="308"/>
      <c r="G32" s="308"/>
      <c r="H32" s="308"/>
      <c r="I32" s="309"/>
    </row>
    <row r="33" spans="1:9" x14ac:dyDescent="0.2">
      <c r="A33" s="855" t="s">
        <v>2222</v>
      </c>
      <c r="B33" s="211"/>
      <c r="C33" s="212"/>
      <c r="D33" s="213"/>
      <c r="E33" s="213"/>
      <c r="F33" s="213"/>
      <c r="G33" s="213"/>
      <c r="H33" s="213"/>
      <c r="I33" s="310"/>
    </row>
    <row r="34" spans="1:9" s="9" customFormat="1" ht="25.5" x14ac:dyDescent="0.2">
      <c r="A34" s="1270" t="s">
        <v>26</v>
      </c>
      <c r="B34" s="1271"/>
      <c r="C34" s="1272"/>
      <c r="D34" s="235" t="s">
        <v>2223</v>
      </c>
      <c r="E34" s="235"/>
      <c r="F34" s="881" t="s">
        <v>2224</v>
      </c>
      <c r="G34" s="881" t="s">
        <v>2225</v>
      </c>
      <c r="H34" s="881" t="s">
        <v>2216</v>
      </c>
      <c r="I34" s="306"/>
    </row>
    <row r="35" spans="1:9" x14ac:dyDescent="0.2">
      <c r="A35" s="5"/>
      <c r="B35" s="1266" t="s">
        <v>2226</v>
      </c>
      <c r="C35" s="1267"/>
      <c r="D35" s="61" t="str">
        <f t="shared" ref="D35:D40" si="5">IF(A35&lt;&gt;0,VLOOKUP(A35,Transporte,8,FALSE),$J$1)</f>
        <v>-</v>
      </c>
      <c r="E35" s="61"/>
      <c r="F35" s="15"/>
      <c r="G35" s="12"/>
      <c r="H35" s="7"/>
      <c r="I35" s="312">
        <f>SUM(H36:H37)</f>
        <v>0</v>
      </c>
    </row>
    <row r="36" spans="1:9" x14ac:dyDescent="0.2">
      <c r="A36" s="1086"/>
      <c r="B36" s="1087"/>
      <c r="C36" s="1119"/>
      <c r="D36" s="61" t="str">
        <f t="shared" si="5"/>
        <v>-</v>
      </c>
      <c r="E36" s="61"/>
      <c r="F36" s="15"/>
      <c r="G36" s="12"/>
      <c r="H36" s="7" t="str">
        <f>IF(A36&lt;&gt;0,D36/F36*G36,$J$1)</f>
        <v>-</v>
      </c>
      <c r="I36" s="69"/>
    </row>
    <row r="37" spans="1:9" x14ac:dyDescent="0.2">
      <c r="A37" s="1086"/>
      <c r="B37" s="1087"/>
      <c r="C37" s="1119"/>
      <c r="D37" s="61" t="str">
        <f t="shared" si="5"/>
        <v>-</v>
      </c>
      <c r="E37" s="61"/>
      <c r="F37" s="15"/>
      <c r="G37" s="12"/>
      <c r="H37" s="7" t="str">
        <f>IF(A37&lt;&gt;0,D37/F37*G37,$J$1)</f>
        <v>-</v>
      </c>
      <c r="I37" s="297"/>
    </row>
    <row r="38" spans="1:9" x14ac:dyDescent="0.2">
      <c r="A38" s="871"/>
      <c r="B38" s="1105" t="s">
        <v>2227</v>
      </c>
      <c r="C38" s="1104"/>
      <c r="D38" s="61" t="str">
        <f t="shared" si="5"/>
        <v>-</v>
      </c>
      <c r="E38" s="61"/>
      <c r="F38" s="15"/>
      <c r="G38" s="12"/>
      <c r="H38" s="7"/>
      <c r="I38" s="312">
        <f>SUM(H39:H40)</f>
        <v>0</v>
      </c>
    </row>
    <row r="39" spans="1:9" x14ac:dyDescent="0.2">
      <c r="A39" s="1086"/>
      <c r="B39" s="1087"/>
      <c r="C39" s="1119"/>
      <c r="D39" s="61" t="str">
        <f t="shared" si="5"/>
        <v>-</v>
      </c>
      <c r="E39" s="61"/>
      <c r="F39" s="15"/>
      <c r="G39" s="12"/>
      <c r="H39" s="7" t="str">
        <f>IF(A39&lt;&gt;0,D39/F39*G39,$J$1)</f>
        <v>-</v>
      </c>
      <c r="I39" s="69"/>
    </row>
    <row r="40" spans="1:9" x14ac:dyDescent="0.2">
      <c r="A40" s="1086"/>
      <c r="B40" s="1087"/>
      <c r="C40" s="1119"/>
      <c r="D40" s="61" t="str">
        <f t="shared" si="5"/>
        <v>-</v>
      </c>
      <c r="E40" s="61"/>
      <c r="F40" s="15"/>
      <c r="G40" s="12"/>
      <c r="H40" s="7" t="str">
        <f>IF(A40&lt;&gt;0,D40/F40*G40,$J$1)</f>
        <v>-</v>
      </c>
      <c r="I40" s="69"/>
    </row>
    <row r="41" spans="1:9" x14ac:dyDescent="0.2">
      <c r="A41" s="880" t="s">
        <v>2228</v>
      </c>
      <c r="B41" s="854"/>
      <c r="C41" s="854"/>
      <c r="D41" s="61"/>
      <c r="E41" s="854"/>
      <c r="F41" s="854"/>
      <c r="G41" s="854"/>
      <c r="H41" s="854"/>
      <c r="I41" s="291">
        <f>SUM(I35:I40)</f>
        <v>0</v>
      </c>
    </row>
    <row r="42" spans="1:9" x14ac:dyDescent="0.2">
      <c r="A42" s="1252"/>
      <c r="B42" s="1253"/>
      <c r="C42" s="1253"/>
      <c r="D42" s="1253"/>
      <c r="E42" s="1253"/>
      <c r="F42" s="1253"/>
      <c r="G42" s="1253"/>
      <c r="H42" s="1253"/>
      <c r="I42" s="1254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9</v>
      </c>
      <c r="G45" s="1083"/>
      <c r="H45" s="7">
        <f>IF(A45&lt;&gt;0,ROUND(D45/F45,2),$J$1)</f>
        <v>23263.32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256"/>
      <c r="B49" s="1257"/>
      <c r="C49" s="1257"/>
      <c r="D49" s="1255" t="str">
        <f>IF(A49&lt;&gt;0,VLOOKUP(A49,Cuadrillas,7,FALSE),$J$1)</f>
        <v>-</v>
      </c>
      <c r="E49" s="1255"/>
      <c r="F49" s="1265"/>
      <c r="G49" s="1265"/>
      <c r="H49" s="293" t="str">
        <f>IF(A49&lt;&gt;0,ROUND(D49/F49,2),$J$1)</f>
        <v>-</v>
      </c>
      <c r="I49" s="297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23263.32</v>
      </c>
    </row>
    <row r="51" spans="1:9" x14ac:dyDescent="0.2">
      <c r="A51" s="1260"/>
      <c r="B51" s="1261"/>
      <c r="C51" s="1261"/>
      <c r="D51" s="1261"/>
      <c r="E51" s="1261"/>
      <c r="F51" s="1261"/>
      <c r="G51" s="1261"/>
      <c r="H51" s="1261"/>
      <c r="I51" s="1262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I20+I31+I41</f>
        <v>#REF!</v>
      </c>
    </row>
    <row r="53" spans="1:9" ht="13.5" thickBot="1" x14ac:dyDescent="0.25">
      <c r="A53" s="1258" t="s">
        <v>2233</v>
      </c>
      <c r="B53" s="1259"/>
      <c r="C53" s="1259"/>
      <c r="D53" s="1259"/>
      <c r="E53" s="1259"/>
      <c r="F53" s="1259"/>
      <c r="G53" s="1259"/>
      <c r="H53" s="1259"/>
      <c r="I53" s="311">
        <f>I50</f>
        <v>23263.32</v>
      </c>
    </row>
    <row r="54" spans="1:9" s="9" customFormat="1" ht="25.5" customHeight="1" thickTop="1" thickBot="1" x14ac:dyDescent="0.25">
      <c r="A54" s="1263" t="s">
        <v>2234</v>
      </c>
      <c r="B54" s="1264"/>
      <c r="C54" s="1264"/>
      <c r="D54" s="1264"/>
      <c r="E54" s="1264"/>
      <c r="F54" s="1264"/>
      <c r="G54" s="1264"/>
      <c r="H54" s="236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26:C26"/>
    <mergeCell ref="A27:C27"/>
    <mergeCell ref="D45:E45"/>
    <mergeCell ref="A44:C44"/>
    <mergeCell ref="A45:C45"/>
    <mergeCell ref="D44:E44"/>
    <mergeCell ref="A28:C28"/>
    <mergeCell ref="A29:C29"/>
    <mergeCell ref="A30:C30"/>
    <mergeCell ref="B38:C38"/>
    <mergeCell ref="B35:C35"/>
    <mergeCell ref="A36:C36"/>
    <mergeCell ref="A37:C37"/>
    <mergeCell ref="A39:C39"/>
    <mergeCell ref="A40:C40"/>
    <mergeCell ref="A34:C34"/>
    <mergeCell ref="A56:G56"/>
    <mergeCell ref="A42:I42"/>
    <mergeCell ref="F44:G44"/>
    <mergeCell ref="F45:G45"/>
    <mergeCell ref="A43:I43"/>
    <mergeCell ref="D49:E49"/>
    <mergeCell ref="A53:H53"/>
    <mergeCell ref="H56:I56"/>
    <mergeCell ref="A47:C47"/>
    <mergeCell ref="A48:C48"/>
    <mergeCell ref="D47:E47"/>
    <mergeCell ref="F47:G47"/>
    <mergeCell ref="A49:C49"/>
    <mergeCell ref="D48:E48"/>
    <mergeCell ref="A52:H52"/>
    <mergeCell ref="F49:G49"/>
    <mergeCell ref="F48:G48"/>
    <mergeCell ref="F46:G46"/>
    <mergeCell ref="A46:C46"/>
    <mergeCell ref="D46:E46"/>
    <mergeCell ref="A55:C55"/>
    <mergeCell ref="D55:E55"/>
    <mergeCell ref="F55:I55"/>
    <mergeCell ref="A51:I51"/>
    <mergeCell ref="A50:H50"/>
    <mergeCell ref="A54:G54"/>
    <mergeCell ref="A25:C25"/>
    <mergeCell ref="A14:C14"/>
    <mergeCell ref="A15:C15"/>
    <mergeCell ref="A18:C18"/>
    <mergeCell ref="A19:C19"/>
    <mergeCell ref="A16:C16"/>
    <mergeCell ref="A17:C17"/>
    <mergeCell ref="H1:I1"/>
    <mergeCell ref="A12:C12"/>
    <mergeCell ref="A13:C13"/>
    <mergeCell ref="A24:C24"/>
    <mergeCell ref="A8:C8"/>
    <mergeCell ref="A9:C9"/>
    <mergeCell ref="A10:C10"/>
    <mergeCell ref="A11:C11"/>
    <mergeCell ref="A1:C1"/>
  </mergeCells>
  <phoneticPr fontId="0" type="noConversion"/>
  <dataValidations count="4">
    <dataValidation type="list" allowBlank="1" showInputMessage="1" showErrorMessage="1" sqref="A45:C49">
      <formula1>Descrip_cuadrillas</formula1>
    </dataValidation>
    <dataValidation type="list" allowBlank="1" showInputMessage="1" showErrorMessage="1" sqref="A36:A41">
      <formula1>Descrip_transporte</formula1>
    </dataValidation>
    <dataValidation type="list" allowBlank="1" showInputMessage="1" showErrorMessage="1" sqref="A24:A30">
      <formula1>Descrip_equipos</formula1>
    </dataValidation>
    <dataValidation type="list" allowBlank="1" showInputMessage="1" showErrorMessage="1" sqref="A8:A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indexed="49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1832</v>
      </c>
      <c r="C5" s="267" t="s">
        <v>2381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329</v>
      </c>
      <c r="B8" s="1081"/>
      <c r="C8" s="108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080" t="s">
        <v>286</v>
      </c>
      <c r="B9" s="1081"/>
      <c r="C9" s="1081"/>
      <c r="D9" s="844" t="e">
        <f t="shared" si="0"/>
        <v>#REF!</v>
      </c>
      <c r="E9" s="12">
        <v>3.2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291</v>
      </c>
      <c r="B10" s="1081"/>
      <c r="C10" s="1081"/>
      <c r="D10" s="844" t="e">
        <f t="shared" si="0"/>
        <v>#REF!</v>
      </c>
      <c r="E10" s="13">
        <v>2.5000000000000001E-2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742</v>
      </c>
      <c r="I23" s="69"/>
    </row>
    <row r="24" spans="1:9" x14ac:dyDescent="0.2">
      <c r="A24" s="1080"/>
      <c r="B24" s="1081"/>
      <c r="C24" s="1081"/>
      <c r="D24" s="109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742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12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69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69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12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351">
        <v>10</v>
      </c>
      <c r="G45" s="1083"/>
      <c r="H45" s="7">
        <f>IF(A45&lt;&gt;0,ROUND(D45/F45,2),$J$1)</f>
        <v>32924.9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32924.9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32924.9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9:C39"/>
    <mergeCell ref="A40:C40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35:C35"/>
    <mergeCell ref="A36:C36"/>
    <mergeCell ref="A37:C37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tabColor indexed="44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s">
        <v>2382</v>
      </c>
      <c r="C5" s="267" t="s">
        <v>2383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/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268</v>
      </c>
      <c r="B8" s="1081"/>
      <c r="C8" s="1081"/>
      <c r="D8" s="844" t="e">
        <f t="shared" ref="D8:D18" si="0">IF(A8&lt;&gt;0,VLOOKUP(A8,Materiales,2,FALSE),$J$1)</f>
        <v>#REF!</v>
      </c>
      <c r="E8" s="12">
        <v>40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291</v>
      </c>
      <c r="B9" s="1219"/>
      <c r="C9" s="1219"/>
      <c r="D9" s="844" t="e">
        <f t="shared" si="0"/>
        <v>#REF!</v>
      </c>
      <c r="E9" s="12">
        <v>0.03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12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309.17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309.17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18</v>
      </c>
      <c r="G45" s="1083"/>
      <c r="H45" s="7">
        <f>IF(A45&lt;&gt;0,ROUND(D45/F45,2),$J$1)</f>
        <v>18291.61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18291.61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18291.61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5:C35"/>
    <mergeCell ref="A36:C36"/>
    <mergeCell ref="A37:C37"/>
    <mergeCell ref="A39:C39"/>
    <mergeCell ref="A40:C40"/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8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tabColor indexed="43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3" t="s">
        <v>1834</v>
      </c>
      <c r="C5" s="267" t="s">
        <v>2384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130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324" t="s">
        <v>169</v>
      </c>
      <c r="B8" s="1325"/>
      <c r="C8" s="1325"/>
      <c r="D8" s="844" t="e">
        <f t="shared" ref="D8:D18" si="0">IF(A8&lt;&gt;0,VLOOKUP(A8,Materiales,2,FALSE),$J$1)</f>
        <v>#REF!</v>
      </c>
      <c r="E8" s="12">
        <v>12.5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292</v>
      </c>
      <c r="B9" s="1219"/>
      <c r="C9" s="1219"/>
      <c r="D9" s="844" t="e">
        <f t="shared" si="0"/>
        <v>#REF!</v>
      </c>
      <c r="E9" s="12">
        <v>0.03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0.1</v>
      </c>
      <c r="H23" s="7">
        <f t="shared" ref="H23:H29" si="4">IF(A23&lt;&gt;0,ROUND((F23/D23)*G23,2),$J$1)</f>
        <v>37.1</v>
      </c>
      <c r="I23" s="69"/>
    </row>
    <row r="24" spans="1:9" x14ac:dyDescent="0.2">
      <c r="A24" s="1080" t="s">
        <v>521</v>
      </c>
      <c r="B24" s="1081"/>
      <c r="C24" s="1081"/>
      <c r="D24" s="33">
        <v>10</v>
      </c>
      <c r="E24" s="33"/>
      <c r="F24" s="12">
        <f t="shared" si="3"/>
        <v>40280</v>
      </c>
      <c r="G24" s="14">
        <v>0.08</v>
      </c>
      <c r="H24" s="7">
        <f t="shared" si="4"/>
        <v>322.24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359.34000000000003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37</v>
      </c>
      <c r="G45" s="1083"/>
      <c r="H45" s="7">
        <f>IF(A45&lt;&gt;0,ROUND(D45/F45,2),$J$1)</f>
        <v>8898.6200000000008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8898.6200000000008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8898.6200000000008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9:C39"/>
    <mergeCell ref="A40:C40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35:C35"/>
    <mergeCell ref="A36:C36"/>
    <mergeCell ref="A37:C37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38 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indexed="4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2385</v>
      </c>
      <c r="C5" s="272" t="s">
        <v>2386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130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243</v>
      </c>
      <c r="B8" s="1081"/>
      <c r="C8" s="1081"/>
      <c r="D8" s="844" t="e">
        <f t="shared" ref="D8:D18" si="0">IF(A8&lt;&gt;0,VLOOKUP(A8,Materiales,2,FALSE),$J$1)</f>
        <v>#REF!</v>
      </c>
      <c r="E8" s="12">
        <v>0.09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170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21.82</v>
      </c>
      <c r="I23" s="69"/>
    </row>
    <row r="24" spans="1:9" x14ac:dyDescent="0.2">
      <c r="A24" s="1080" t="s">
        <v>482</v>
      </c>
      <c r="B24" s="1081"/>
      <c r="C24" s="1081"/>
      <c r="D24" s="109">
        <v>2</v>
      </c>
      <c r="E24" s="33"/>
      <c r="F24" s="12">
        <f t="shared" si="3"/>
        <v>1590</v>
      </c>
      <c r="G24" s="14">
        <v>0.45</v>
      </c>
      <c r="H24" s="7">
        <f t="shared" si="4"/>
        <v>357.75</v>
      </c>
      <c r="I24" s="69"/>
    </row>
    <row r="25" spans="1:9" x14ac:dyDescent="0.2">
      <c r="A25" s="1080" t="s">
        <v>508</v>
      </c>
      <c r="B25" s="1081"/>
      <c r="C25" s="1081"/>
      <c r="D25" s="33">
        <v>65</v>
      </c>
      <c r="E25" s="33"/>
      <c r="F25" s="12">
        <f t="shared" si="3"/>
        <v>15900</v>
      </c>
      <c r="G25" s="14">
        <v>0.5</v>
      </c>
      <c r="H25" s="7">
        <f t="shared" si="4"/>
        <v>122.31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501.88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61</v>
      </c>
      <c r="B45" s="1081"/>
      <c r="C45" s="1081"/>
      <c r="D45" s="1082">
        <f>IF(A45&lt;&gt;0,VLOOKUP(A45,Cuadrillas,7,FALSE),$J$1)</f>
        <v>378636.38</v>
      </c>
      <c r="E45" s="1082"/>
      <c r="F45" s="1083">
        <v>75</v>
      </c>
      <c r="G45" s="1083"/>
      <c r="H45" s="7">
        <f>IF(A45&lt;&gt;0,ROUND(D45/F45,2),$J$1)</f>
        <v>5048.49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5048.49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5048.49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9:C39"/>
    <mergeCell ref="A40:C40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35:C35"/>
    <mergeCell ref="A36:C36"/>
    <mergeCell ref="A37:C37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8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>
    <tabColor indexed="41"/>
    <pageSetUpPr fitToPage="1"/>
  </sheetPr>
  <dimension ref="A1:K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7"/>
      <c r="C4" s="727"/>
      <c r="D4" s="727"/>
      <c r="E4" s="728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20" t="s">
        <v>450</v>
      </c>
      <c r="B8" s="1081"/>
      <c r="C8" s="1081"/>
      <c r="D8" s="844" t="e">
        <f t="shared" ref="D8:D18" si="0">IF(A8&lt;&gt;0,VLOOKUP(A8,Materiales,2,FALSE),$J$1)</f>
        <v>#REF!</v>
      </c>
      <c r="E8" s="12">
        <v>0.06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68</v>
      </c>
      <c r="E23" s="33"/>
      <c r="F23" s="12">
        <f t="shared" ref="F23:F29" si="3">IF(A23&lt;&gt;0,VLOOKUP(A23,Equipos,6,FALSE),$J$1)</f>
        <v>3710</v>
      </c>
      <c r="G23" s="14">
        <v>0.1</v>
      </c>
      <c r="H23" s="7">
        <f t="shared" ref="H23:H29" si="4">IF(A23&lt;&gt;0,ROUND((F23/D23)*G23,2),$J$1)</f>
        <v>5.46</v>
      </c>
      <c r="I23" s="69"/>
    </row>
    <row r="24" spans="1:9" x14ac:dyDescent="0.2">
      <c r="A24" s="1080" t="s">
        <v>482</v>
      </c>
      <c r="B24" s="1081"/>
      <c r="C24" s="1081"/>
      <c r="D24" s="109">
        <v>2</v>
      </c>
      <c r="E24" s="33"/>
      <c r="F24" s="12">
        <f t="shared" si="3"/>
        <v>1590</v>
      </c>
      <c r="G24" s="14">
        <v>0.45</v>
      </c>
      <c r="H24" s="7">
        <f t="shared" si="4"/>
        <v>357.75</v>
      </c>
      <c r="I24" s="69"/>
    </row>
    <row r="25" spans="1:9" x14ac:dyDescent="0.2">
      <c r="A25" s="1080" t="s">
        <v>508</v>
      </c>
      <c r="B25" s="1081"/>
      <c r="C25" s="1081"/>
      <c r="D25" s="33">
        <v>65</v>
      </c>
      <c r="E25" s="33"/>
      <c r="F25" s="12">
        <f t="shared" si="3"/>
        <v>15900</v>
      </c>
      <c r="G25" s="14">
        <v>0.5</v>
      </c>
      <c r="H25" s="7">
        <f t="shared" si="4"/>
        <v>122.31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485.52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12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69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69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12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61</v>
      </c>
      <c r="B45" s="1081"/>
      <c r="C45" s="1081"/>
      <c r="D45" s="1082">
        <f>IF(A45&lt;&gt;0,VLOOKUP(A45,Cuadrillas,7,FALSE),$J$1)</f>
        <v>378636.38</v>
      </c>
      <c r="E45" s="1082"/>
      <c r="F45" s="1083">
        <v>75</v>
      </c>
      <c r="G45" s="1083"/>
      <c r="H45" s="7">
        <f>IF(A45&lt;&gt;0,ROUND(D45/F45,2),$J$1)</f>
        <v>5048.49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5048.49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5048.49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4:C14"/>
    <mergeCell ref="A23:C23"/>
    <mergeCell ref="A24:C24"/>
    <mergeCell ref="A15:C15"/>
    <mergeCell ref="A16:C16"/>
    <mergeCell ref="A17:C17"/>
    <mergeCell ref="A18:C18"/>
    <mergeCell ref="A8:C8"/>
    <mergeCell ref="A9:C9"/>
    <mergeCell ref="A10:C10"/>
    <mergeCell ref="A11:C11"/>
    <mergeCell ref="A12:C12"/>
    <mergeCell ref="A35:C35"/>
    <mergeCell ref="A36:C36"/>
    <mergeCell ref="A37:C37"/>
    <mergeCell ref="A39:C39"/>
    <mergeCell ref="A29:C29"/>
    <mergeCell ref="A40:C40"/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13:C13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8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tabColor indexed="4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2387</v>
      </c>
      <c r="C5" s="267" t="s">
        <v>2388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130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120" t="s">
        <v>450</v>
      </c>
      <c r="B8" s="1081"/>
      <c r="C8" s="1081"/>
      <c r="D8" s="844" t="e">
        <f t="shared" ref="D8:D18" si="0">IF(A8&lt;&gt;0,VLOOKUP(A8,Materiales,2,FALSE),$J$1)</f>
        <v>#REF!</v>
      </c>
      <c r="E8" s="12">
        <v>0.04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170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21.82</v>
      </c>
      <c r="I23" s="69"/>
    </row>
    <row r="24" spans="1:9" x14ac:dyDescent="0.2">
      <c r="A24" s="1080" t="s">
        <v>482</v>
      </c>
      <c r="B24" s="1081"/>
      <c r="C24" s="1081"/>
      <c r="D24" s="109">
        <v>2</v>
      </c>
      <c r="E24" s="33"/>
      <c r="F24" s="12">
        <f t="shared" si="3"/>
        <v>1590</v>
      </c>
      <c r="G24" s="14">
        <v>1</v>
      </c>
      <c r="H24" s="7">
        <f t="shared" si="4"/>
        <v>795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816.82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61</v>
      </c>
      <c r="B45" s="1081"/>
      <c r="C45" s="1081"/>
      <c r="D45" s="1082">
        <f>IF(A45&lt;&gt;0,VLOOKUP(A45,Cuadrillas,7,FALSE),$J$1)</f>
        <v>378636.38</v>
      </c>
      <c r="E45" s="1082"/>
      <c r="F45" s="1083">
        <v>75</v>
      </c>
      <c r="G45" s="1083"/>
      <c r="H45" s="7">
        <f>IF(A45&lt;&gt;0,ROUND(D45/F45,2),$J$1)</f>
        <v>5048.49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5048.49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5048.49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5:C35"/>
    <mergeCell ref="A36:C36"/>
    <mergeCell ref="A37:C37"/>
    <mergeCell ref="A39:C39"/>
    <mergeCell ref="A40:C40"/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8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rgb="FFC00000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20.4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3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155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0.05</v>
      </c>
      <c r="E23" s="33"/>
      <c r="F23" s="12">
        <f t="shared" ref="F23:F29" si="3">IF(A23&lt;&gt;0,VLOOKUP(A23,Equipos,6,FALSE),$J$1)</f>
        <v>3710</v>
      </c>
      <c r="G23" s="136">
        <v>0.4</v>
      </c>
      <c r="H23" s="7">
        <f>IF(A23&lt;&gt;0,ROUND((F23*D23)*G23,2),$J$1)</f>
        <v>74.2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38" t="s">
        <v>2270</v>
      </c>
      <c r="H24" s="7" t="str">
        <f t="shared" ref="H24:H29" si="4">IF(A24&lt;&gt;0,ROUND((F24/D24)*G24,2),$J$1)</f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74.2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0" t="s">
        <v>2073</v>
      </c>
      <c r="B35" s="1211"/>
      <c r="C35" s="1212"/>
      <c r="D35" s="61">
        <f>IF(A35&lt;&gt;0,VLOOKUP(A35,Transporte,8,FALSE),$J$1)</f>
        <v>0</v>
      </c>
      <c r="E35" s="61"/>
      <c r="F35" s="15">
        <f t="shared" ref="F35:F40" si="5">IF(A35&lt;&gt;0,VLOOKUP(A35,Transporte,2,FALSE),$J$1)</f>
        <v>5.5</v>
      </c>
      <c r="G35" s="12">
        <v>1.2</v>
      </c>
      <c r="H35" s="7">
        <f t="shared" ref="H35:H40" si="6">IF(A35&lt;&gt;0,D35/F35*G35,$J$1)</f>
        <v>0</v>
      </c>
      <c r="I35" s="344"/>
    </row>
    <row r="36" spans="1:9" x14ac:dyDescent="0.2">
      <c r="A36" s="1215"/>
      <c r="B36" s="1216"/>
      <c r="C36" s="1217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61" t="str">
        <f>IF(A26&lt;&gt;0,VLOOKUP(A37,Transporte,8,FALSE),$J$1)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SUM(H34:H40)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12</v>
      </c>
      <c r="G45" s="1083"/>
      <c r="H45" s="7">
        <f>IF(A45&lt;&gt;0,ROUND(D45/F45,2),$J$1)</f>
        <v>12855.85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12855.85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74.2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12855.85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12930.050000000001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3879.0150000000003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16809.065000000002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9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27:C27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10:C10"/>
    <mergeCell ref="A1:C1"/>
    <mergeCell ref="H1:I1"/>
    <mergeCell ref="A4:E4"/>
    <mergeCell ref="A8:C8"/>
    <mergeCell ref="A9:C9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31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3" t="e">
        <f>#REF!</f>
        <v>#REF!</v>
      </c>
      <c r="C5" s="267" t="e">
        <f>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 t="s">
        <v>334</v>
      </c>
      <c r="B8" s="1081"/>
      <c r="C8" s="1081"/>
      <c r="D8" s="844" t="e">
        <f t="shared" ref="D8:D18" si="0">IF(A8&lt;&gt;0,VLOOKUP(A8,Materiales,2,FALSE),$J$1)</f>
        <v>#REF!</v>
      </c>
      <c r="E8" s="12">
        <v>1.25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454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0.04</v>
      </c>
      <c r="E23" s="33"/>
      <c r="F23" s="12">
        <f t="shared" ref="F23:F29" si="3">IF(A23&lt;&gt;0,VLOOKUP(A23,Equipos,6,FALSE),$J$1)</f>
        <v>3710</v>
      </c>
      <c r="G23" s="136">
        <v>4.0000000000000001E-3</v>
      </c>
      <c r="H23" s="7">
        <f t="shared" ref="H23:H29" si="4">IF(A23&lt;&gt;0,ROUND((F23/D23)*G23,2),$J$1)</f>
        <v>371</v>
      </c>
      <c r="I23" s="69"/>
    </row>
    <row r="24" spans="1:9" x14ac:dyDescent="0.2">
      <c r="A24" s="1080" t="s">
        <v>488</v>
      </c>
      <c r="B24" s="1081"/>
      <c r="C24" s="1081"/>
      <c r="D24" s="33">
        <v>0.03</v>
      </c>
      <c r="E24" s="33"/>
      <c r="F24" s="12">
        <f>IF(A24&lt;&gt;0,VLOOKUP(A24,Equipos,6,FALSE),$J$1)</f>
        <v>63600</v>
      </c>
      <c r="G24" s="138">
        <v>3.0000000000000001E-3</v>
      </c>
      <c r="H24" s="7">
        <f t="shared" si="4"/>
        <v>6360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6731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61" t="str">
        <f>IF(A34&lt;&gt;0,VLOOKUP(A34,Transporte,8,FALSE),$J$1)</f>
        <v>-</v>
      </c>
      <c r="E34" s="61"/>
      <c r="F34" s="15"/>
      <c r="G34" s="12"/>
      <c r="H34" s="171" t="str">
        <f t="shared" ref="H34:H40" si="5">IF(A34&lt;&gt;0,D34/F34*G34,$J$1)</f>
        <v>-</v>
      </c>
      <c r="I34" s="343">
        <f>SUM(H35:H37)</f>
        <v>0</v>
      </c>
    </row>
    <row r="35" spans="1:9" x14ac:dyDescent="0.2">
      <c r="A35" s="871"/>
      <c r="B35" s="872"/>
      <c r="C35" s="873"/>
      <c r="D35" s="61" t="str">
        <f>IF(A35&lt;&gt;0,VLOOKUP(A35,Transporte,8,FALSE),$J$1)</f>
        <v>-</v>
      </c>
      <c r="E35" s="61"/>
      <c r="F35" s="15" t="str">
        <f t="shared" ref="F35:F40" si="6">IF(A35&lt;&gt;0,VLOOKUP(A35,Transporte,2,FALSE),$J$1)</f>
        <v>-</v>
      </c>
      <c r="G35" s="12"/>
      <c r="H35" s="7" t="str">
        <f t="shared" si="5"/>
        <v>-</v>
      </c>
      <c r="I35" s="344"/>
    </row>
    <row r="36" spans="1:9" x14ac:dyDescent="0.2">
      <c r="A36" s="871"/>
      <c r="B36" s="872"/>
      <c r="C36" s="873"/>
      <c r="D36" s="61" t="str">
        <f>IF(A36&lt;&gt;0,VLOOKUP(A36,Transporte,8,FALSE),$J$1)</f>
        <v>-</v>
      </c>
      <c r="E36" s="61"/>
      <c r="F36" s="15" t="str">
        <f t="shared" si="6"/>
        <v>-</v>
      </c>
      <c r="G36" s="12"/>
      <c r="H36" s="7" t="str">
        <f t="shared" si="5"/>
        <v>-</v>
      </c>
      <c r="I36" s="344"/>
    </row>
    <row r="37" spans="1:9" x14ac:dyDescent="0.2">
      <c r="A37" s="871"/>
      <c r="B37" s="872"/>
      <c r="C37" s="873"/>
      <c r="D37" s="61" t="str">
        <f>IF(A26&lt;&gt;0,VLOOKUP(A37,Transporte,8,FALSE),$J$1)</f>
        <v>-</v>
      </c>
      <c r="E37" s="61"/>
      <c r="F37" s="15" t="str">
        <f t="shared" si="6"/>
        <v>-</v>
      </c>
      <c r="G37" s="12"/>
      <c r="H37" s="7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61" t="str">
        <f>IF(A27&lt;&gt;0,VLOOKUP(A38,Transporte,8,FALSE),$J$1)</f>
        <v>-</v>
      </c>
      <c r="E38" s="61"/>
      <c r="F38" s="15" t="str">
        <f t="shared" si="6"/>
        <v>-</v>
      </c>
      <c r="G38" s="12"/>
      <c r="H38" s="7" t="str">
        <f t="shared" si="5"/>
        <v>-</v>
      </c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6"/>
        <v>-</v>
      </c>
      <c r="G39" s="12"/>
      <c r="H39" s="7" t="str">
        <f t="shared" si="5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6"/>
        <v>-</v>
      </c>
      <c r="G40" s="12"/>
      <c r="H40" s="7" t="str">
        <f t="shared" si="5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8.5</v>
      </c>
      <c r="G45" s="1083"/>
      <c r="H45" s="7">
        <f>IF(A45&lt;&gt;0,ROUND(D45/F45,2),$J$1)</f>
        <v>18149.439999999999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18149.439999999999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18149.439999999999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4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2292</v>
      </c>
      <c r="G7" s="254"/>
      <c r="H7" s="879" t="s">
        <v>2216</v>
      </c>
      <c r="I7" s="72"/>
    </row>
    <row r="8" spans="1:10" x14ac:dyDescent="0.2">
      <c r="A8" s="1215" t="s">
        <v>228</v>
      </c>
      <c r="B8" s="1216"/>
      <c r="C8" s="1217"/>
      <c r="D8" s="851" t="e">
        <f t="shared" ref="D8:D18" si="0">IF(A8&lt;&gt;0,VLOOKUP(A8,Materiales,2,FALSE),$J$1)</f>
        <v>#REF!</v>
      </c>
      <c r="E8" s="12">
        <v>1.05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871"/>
      <c r="B9" s="872"/>
      <c r="C9" s="873"/>
      <c r="D9" s="851" t="str">
        <f t="shared" si="0"/>
        <v>-</v>
      </c>
      <c r="E9" s="13"/>
      <c r="F9" s="21" t="str">
        <f>IF(A9&lt;&gt;0,VLOOKUP(A9,Materiales,6,FALSE),$J$1)</f>
        <v>-</v>
      </c>
      <c r="G9" s="22"/>
      <c r="H9" s="8" t="str">
        <f t="shared" si="1"/>
        <v>-</v>
      </c>
      <c r="I9" s="69"/>
    </row>
    <row r="10" spans="1:10" x14ac:dyDescent="0.2">
      <c r="A10" s="871"/>
      <c r="B10" s="872"/>
      <c r="C10" s="873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10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371</v>
      </c>
      <c r="I23" s="69"/>
    </row>
    <row r="24" spans="1:9" x14ac:dyDescent="0.2">
      <c r="A24" s="871"/>
      <c r="B24" s="872"/>
      <c r="C24" s="873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371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20</v>
      </c>
      <c r="G45" s="1222"/>
      <c r="H45" s="8">
        <f>IF(A45&lt;&gt;0,ROUND(D45/F45,2),$J$1)</f>
        <v>21604.79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21604.79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21604.79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37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1:H41"/>
    <mergeCell ref="A42:I42"/>
    <mergeCell ref="A43:I43"/>
    <mergeCell ref="A44:C44"/>
    <mergeCell ref="D44:E44"/>
    <mergeCell ref="F44:G44"/>
    <mergeCell ref="B38:C38"/>
    <mergeCell ref="A1:C1"/>
    <mergeCell ref="H1:I1"/>
    <mergeCell ref="C5:I5"/>
    <mergeCell ref="A8:C8"/>
    <mergeCell ref="B34:C34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C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5">
    <tabColor theme="7" tint="0.59999389629810485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2310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0.72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871" t="s">
        <v>333</v>
      </c>
      <c r="B9" s="872"/>
      <c r="C9" s="873"/>
      <c r="D9" s="851" t="e">
        <f t="shared" si="0"/>
        <v>#REF!</v>
      </c>
      <c r="E9" s="12">
        <v>0.45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871"/>
      <c r="B10" s="872"/>
      <c r="C10" s="873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5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742</v>
      </c>
      <c r="I23" s="69"/>
    </row>
    <row r="24" spans="1:9" x14ac:dyDescent="0.2">
      <c r="A24" s="871" t="s">
        <v>497</v>
      </c>
      <c r="B24" s="872"/>
      <c r="C24" s="873"/>
      <c r="D24" s="26">
        <v>4</v>
      </c>
      <c r="E24" s="28"/>
      <c r="F24" s="12">
        <f t="shared" si="3"/>
        <v>42400</v>
      </c>
      <c r="G24" s="14">
        <v>0.5</v>
      </c>
      <c r="H24" s="8">
        <f t="shared" si="4"/>
        <v>5300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6042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3.2</v>
      </c>
      <c r="G45" s="1222"/>
      <c r="H45" s="8">
        <f>IF(A45&lt;&gt;0,ROUND(D45/F45,2),$J$1)</f>
        <v>135029.95000000001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135029.95000000001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135029.95000000001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38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B38:C38"/>
    <mergeCell ref="A41:H41"/>
    <mergeCell ref="A42:I42"/>
    <mergeCell ref="A43:I43"/>
    <mergeCell ref="A44:C44"/>
    <mergeCell ref="D44:E44"/>
    <mergeCell ref="F44:G44"/>
    <mergeCell ref="B34:C34"/>
    <mergeCell ref="A1:C1"/>
    <mergeCell ref="H1:I1"/>
    <mergeCell ref="C5:I5"/>
    <mergeCell ref="A8:C8"/>
    <mergeCell ref="A12:C12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C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9:C11 B13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indexed="50"/>
    <pageSetUpPr fitToPage="1"/>
  </sheetPr>
  <dimension ref="A1:J59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93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s">
        <v>2297</v>
      </c>
      <c r="C5" s="267" t="s">
        <v>2318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2305</v>
      </c>
      <c r="G7" s="225"/>
      <c r="H7" s="858" t="s">
        <v>2216</v>
      </c>
      <c r="I7" s="72"/>
    </row>
    <row r="8" spans="1:10" x14ac:dyDescent="0.2">
      <c r="A8" s="1142" t="s">
        <v>217</v>
      </c>
      <c r="B8" s="1143"/>
      <c r="C8" s="1143"/>
      <c r="D8" s="844" t="e">
        <f t="shared" ref="D8:D20" si="0">IF(A8&lt;&gt;0,VLOOKUP(A8,Materiales,2,FALSE),$J$1)</f>
        <v>#REF!</v>
      </c>
      <c r="E8" s="12">
        <v>0.4</v>
      </c>
      <c r="F8" s="58" t="e">
        <f t="shared" ref="F8:F18" si="1">IF(A8&lt;&gt;0,VLOOKUP(A8,Materiales,6,FALSE),$J$1)</f>
        <v>#REF!</v>
      </c>
      <c r="G8" s="58"/>
      <c r="H8" s="7" t="e">
        <f t="shared" ref="H8:H20" si="2">IF(A8&lt;&gt;0,ROUND(E8*F8,2),$J$1)</f>
        <v>#REF!</v>
      </c>
      <c r="I8" s="69"/>
    </row>
    <row r="9" spans="1:10" ht="12.75" customHeight="1" x14ac:dyDescent="0.2">
      <c r="A9" s="1244" t="s">
        <v>219</v>
      </c>
      <c r="B9" s="1245"/>
      <c r="C9" s="1245"/>
      <c r="D9" s="844" t="e">
        <f t="shared" si="0"/>
        <v>#REF!</v>
      </c>
      <c r="E9" s="12">
        <v>0.53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142" t="s">
        <v>383</v>
      </c>
      <c r="B10" s="1143"/>
      <c r="C10" s="1143"/>
      <c r="D10" s="844" t="e">
        <f t="shared" si="0"/>
        <v>#REF!</v>
      </c>
      <c r="E10" s="12">
        <v>0.4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142" t="s">
        <v>384</v>
      </c>
      <c r="B11" s="1143"/>
      <c r="C11" s="1143"/>
      <c r="D11" s="844" t="e">
        <f t="shared" si="0"/>
        <v>#REF!</v>
      </c>
      <c r="E11" s="12">
        <v>0.03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142" t="s">
        <v>355</v>
      </c>
      <c r="B12" s="1143"/>
      <c r="C12" s="1143"/>
      <c r="D12" s="844" t="e">
        <f t="shared" si="0"/>
        <v>#REF!</v>
      </c>
      <c r="E12" s="12">
        <v>0.1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142" t="s">
        <v>274</v>
      </c>
      <c r="B13" s="1143"/>
      <c r="C13" s="1143"/>
      <c r="D13" s="844" t="e">
        <f t="shared" si="0"/>
        <v>#REF!</v>
      </c>
      <c r="E13" s="12">
        <v>0.03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142"/>
      <c r="B14" s="1143"/>
      <c r="C14" s="1143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215"/>
      <c r="B15" s="1216"/>
      <c r="C15" s="1217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215"/>
      <c r="B16" s="1216"/>
      <c r="C16" s="1217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 t="shared" si="1"/>
        <v>-</v>
      </c>
      <c r="G17" s="58"/>
      <c r="H17" s="7" t="str">
        <f t="shared" si="2"/>
        <v>-</v>
      </c>
      <c r="I17" s="69"/>
    </row>
    <row r="18" spans="1:9" x14ac:dyDescent="0.2">
      <c r="A18" s="1120"/>
      <c r="B18" s="1081"/>
      <c r="C18" s="1081"/>
      <c r="D18" s="844" t="str">
        <f t="shared" si="0"/>
        <v>-</v>
      </c>
      <c r="E18" s="12"/>
      <c r="F18" s="58" t="str">
        <f t="shared" si="1"/>
        <v>-</v>
      </c>
      <c r="G18" s="58"/>
      <c r="H18" s="7" t="str">
        <f t="shared" si="2"/>
        <v>-</v>
      </c>
      <c r="I18" s="69"/>
    </row>
    <row r="19" spans="1:9" x14ac:dyDescent="0.2">
      <c r="A19" s="1256"/>
      <c r="B19" s="1081"/>
      <c r="C19" s="1081"/>
      <c r="D19" s="844" t="str">
        <f t="shared" si="0"/>
        <v>-</v>
      </c>
      <c r="E19" s="12"/>
      <c r="F19" s="58" t="str">
        <f>IF(A19&lt;&gt;0,VLOOKUP(A19,Materiales,5,FALSE),$J$1)</f>
        <v>-</v>
      </c>
      <c r="G19" s="58"/>
      <c r="H19" s="7" t="str">
        <f t="shared" si="2"/>
        <v>-</v>
      </c>
      <c r="I19" s="297"/>
    </row>
    <row r="20" spans="1:9" x14ac:dyDescent="0.2">
      <c r="A20" s="1080"/>
      <c r="B20" s="1081"/>
      <c r="C20" s="1081"/>
      <c r="D20" s="844" t="str">
        <f t="shared" si="0"/>
        <v>-</v>
      </c>
      <c r="E20" s="12"/>
      <c r="F20" s="58" t="str">
        <f>IF(A20&lt;&gt;0,VLOOKUP(A20,Materiales,5,FALSE),$J$1)</f>
        <v>-</v>
      </c>
      <c r="G20" s="58"/>
      <c r="H20" s="7" t="str">
        <f t="shared" si="2"/>
        <v>-</v>
      </c>
      <c r="I20" s="73"/>
    </row>
    <row r="21" spans="1:9" x14ac:dyDescent="0.2">
      <c r="A21" s="884" t="s">
        <v>2217</v>
      </c>
      <c r="B21" s="885"/>
      <c r="C21" s="885"/>
      <c r="D21" s="323"/>
      <c r="E21" s="893"/>
      <c r="F21" s="893"/>
      <c r="G21" s="893"/>
      <c r="H21" s="894"/>
      <c r="I21" s="937" t="e">
        <f>SUM(H8:H20)</f>
        <v>#REF!</v>
      </c>
    </row>
    <row r="22" spans="1:9" x14ac:dyDescent="0.2">
      <c r="A22" s="319"/>
      <c r="B22" s="320"/>
      <c r="C22" s="320"/>
      <c r="D22" s="320"/>
      <c r="E22" s="320"/>
      <c r="F22" s="320"/>
      <c r="G22" s="320"/>
      <c r="H22" s="320"/>
      <c r="I22" s="64"/>
    </row>
    <row r="23" spans="1:9" x14ac:dyDescent="0.2">
      <c r="A23" s="875" t="s">
        <v>454</v>
      </c>
      <c r="B23" s="902"/>
      <c r="C23" s="902"/>
      <c r="D23" s="902"/>
      <c r="E23" s="902"/>
      <c r="F23" s="902"/>
      <c r="G23" s="902"/>
      <c r="H23" s="902"/>
      <c r="I23" s="226"/>
    </row>
    <row r="24" spans="1:9" s="9" customFormat="1" ht="25.5" x14ac:dyDescent="0.2">
      <c r="A24" s="227" t="s">
        <v>26</v>
      </c>
      <c r="B24" s="225"/>
      <c r="C24" s="225"/>
      <c r="D24" s="225" t="s">
        <v>2218</v>
      </c>
      <c r="E24" s="225"/>
      <c r="F24" s="225" t="s">
        <v>2219</v>
      </c>
      <c r="G24" s="858" t="s">
        <v>2220</v>
      </c>
      <c r="H24" s="858" t="s">
        <v>2216</v>
      </c>
      <c r="I24" s="72"/>
    </row>
    <row r="25" spans="1:9" x14ac:dyDescent="0.2">
      <c r="A25" s="1080" t="s">
        <v>477</v>
      </c>
      <c r="B25" s="1081"/>
      <c r="C25" s="1081"/>
      <c r="D25" s="33">
        <v>50</v>
      </c>
      <c r="E25" s="33"/>
      <c r="F25" s="12">
        <f t="shared" ref="F25:F31" si="3">IF(A25&lt;&gt;0,VLOOKUP(A25,Equipos,6,FALSE),$J$1)</f>
        <v>3710</v>
      </c>
      <c r="G25" s="14">
        <v>1</v>
      </c>
      <c r="H25" s="7">
        <f t="shared" ref="H25:H31" si="4">IF(A25&lt;&gt;0,ROUND((F25/D25)*G25,2),$J$1)</f>
        <v>74.2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1256"/>
      <c r="B30" s="1081"/>
      <c r="C30" s="1081"/>
      <c r="D30" s="33"/>
      <c r="E30" s="33"/>
      <c r="F30" s="12" t="str">
        <f t="shared" si="3"/>
        <v>-</v>
      </c>
      <c r="G30" s="14"/>
      <c r="H30" s="7" t="str">
        <f t="shared" si="4"/>
        <v>-</v>
      </c>
      <c r="I30" s="297"/>
    </row>
    <row r="31" spans="1:9" x14ac:dyDescent="0.2">
      <c r="A31" s="1080"/>
      <c r="B31" s="1081"/>
      <c r="C31" s="1081"/>
      <c r="D31" s="33"/>
      <c r="E31" s="33"/>
      <c r="F31" s="12" t="str">
        <f t="shared" si="3"/>
        <v>-</v>
      </c>
      <c r="G31" s="14"/>
      <c r="H31" s="7" t="str">
        <f t="shared" si="4"/>
        <v>-</v>
      </c>
      <c r="I31" s="73"/>
    </row>
    <row r="32" spans="1:9" x14ac:dyDescent="0.2">
      <c r="A32" s="887" t="s">
        <v>2221</v>
      </c>
      <c r="B32" s="888"/>
      <c r="C32" s="888"/>
      <c r="D32" s="323"/>
      <c r="E32" s="893"/>
      <c r="F32" s="893"/>
      <c r="G32" s="893"/>
      <c r="H32" s="894"/>
      <c r="I32" s="937">
        <f>SUM(H25:H31)</f>
        <v>74.2</v>
      </c>
    </row>
    <row r="33" spans="1:9" x14ac:dyDescent="0.2">
      <c r="A33" s="307"/>
      <c r="B33" s="320"/>
      <c r="C33" s="320"/>
      <c r="D33" s="320"/>
      <c r="E33" s="320"/>
      <c r="F33" s="320"/>
      <c r="G33" s="320"/>
      <c r="H33" s="320"/>
      <c r="I33" s="300"/>
    </row>
    <row r="34" spans="1:9" x14ac:dyDescent="0.2">
      <c r="A34" s="1278" t="s">
        <v>2222</v>
      </c>
      <c r="B34" s="1279"/>
      <c r="C34" s="1279"/>
      <c r="D34" s="1279"/>
      <c r="E34" s="1279"/>
      <c r="F34" s="1279"/>
      <c r="G34" s="1279"/>
      <c r="H34" s="1279"/>
      <c r="I34" s="903"/>
    </row>
    <row r="35" spans="1:9" s="9" customFormat="1" ht="25.5" x14ac:dyDescent="0.2">
      <c r="A35" s="233" t="s">
        <v>26</v>
      </c>
      <c r="B35" s="234"/>
      <c r="C35" s="234"/>
      <c r="D35" s="235" t="s">
        <v>2223</v>
      </c>
      <c r="E35" s="235"/>
      <c r="F35" s="881" t="s">
        <v>2224</v>
      </c>
      <c r="G35" s="881" t="s">
        <v>2225</v>
      </c>
      <c r="H35" s="881" t="s">
        <v>2216</v>
      </c>
      <c r="I35" s="77"/>
    </row>
    <row r="36" spans="1:9" x14ac:dyDescent="0.2">
      <c r="B36" s="852" t="s">
        <v>2226</v>
      </c>
      <c r="C36" s="285"/>
      <c r="D36" s="1268"/>
      <c r="E36" s="1269"/>
      <c r="F36" s="15"/>
      <c r="G36" s="12"/>
      <c r="H36" s="7"/>
      <c r="I36" s="312">
        <f>SUM(H37:H39)</f>
        <v>0</v>
      </c>
    </row>
    <row r="37" spans="1:9" x14ac:dyDescent="0.2">
      <c r="A37" s="871"/>
      <c r="B37" s="872"/>
      <c r="C37" s="873"/>
      <c r="D37" s="61" t="str">
        <f>IF(A37&lt;&gt;0,VLOOKUP(A37,Transporte,8,FALSE),$J$1)</f>
        <v>-</v>
      </c>
      <c r="E37" s="61"/>
      <c r="F37" s="15" t="str">
        <f t="shared" ref="F37:F42" si="5">IF(A37&lt;&gt;0,VLOOKUP(A37,Transporte,2,FALSE),$J$1)</f>
        <v>-</v>
      </c>
      <c r="G37" s="12"/>
      <c r="H37" s="7" t="str">
        <f t="shared" ref="H37:H42" si="6">IF(A37&lt;&gt;0,D37/F37*G37,$J$1)</f>
        <v>-</v>
      </c>
      <c r="I37" s="297"/>
    </row>
    <row r="38" spans="1:9" x14ac:dyDescent="0.2">
      <c r="A38" s="871"/>
      <c r="B38" s="321"/>
      <c r="C38" s="322"/>
      <c r="D38" s="61" t="str">
        <f>IF(A27&lt;&gt;0,VLOOKUP(A38,Transporte,8,FALSE),$J$1)</f>
        <v>-</v>
      </c>
      <c r="E38" s="61"/>
      <c r="F38" s="15" t="str">
        <f t="shared" si="5"/>
        <v>-</v>
      </c>
      <c r="G38" s="12"/>
      <c r="H38" s="7" t="str">
        <f t="shared" si="6"/>
        <v>-</v>
      </c>
      <c r="I38" s="297"/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871"/>
      <c r="B40" s="1105" t="s">
        <v>2227</v>
      </c>
      <c r="C40" s="1104"/>
      <c r="D40" s="46"/>
      <c r="E40" s="47"/>
      <c r="F40" s="15"/>
      <c r="G40" s="12"/>
      <c r="H40" s="7"/>
      <c r="I40" s="312">
        <f>SUM(H41:H42)</f>
        <v>0</v>
      </c>
    </row>
    <row r="41" spans="1:9" x14ac:dyDescent="0.2">
      <c r="B41" s="872"/>
      <c r="C41" s="873"/>
      <c r="D41" s="61" t="str">
        <f>IF(A30&lt;&gt;0,VLOOKUP(A43,Transporte,8,FALSE),$J$1)</f>
        <v>-</v>
      </c>
      <c r="E41" s="61"/>
      <c r="F41" s="15" t="str">
        <f t="shared" si="5"/>
        <v>-</v>
      </c>
      <c r="G41" s="12"/>
      <c r="H41" s="7" t="str">
        <f t="shared" si="6"/>
        <v>-</v>
      </c>
      <c r="I41" s="297"/>
    </row>
    <row r="42" spans="1:9" x14ac:dyDescent="0.2">
      <c r="A42" s="871"/>
      <c r="B42" s="872"/>
      <c r="C42" s="873"/>
      <c r="D42" s="61" t="str">
        <f>IF(A31&lt;&gt;0,VLOOKUP(A42,Transporte,8,FALSE),$J$1)</f>
        <v>-</v>
      </c>
      <c r="E42" s="61"/>
      <c r="F42" s="15" t="str">
        <f t="shared" si="5"/>
        <v>-</v>
      </c>
      <c r="G42" s="12"/>
      <c r="H42" s="7" t="str">
        <f t="shared" si="6"/>
        <v>-</v>
      </c>
      <c r="I42" s="73"/>
    </row>
    <row r="43" spans="1:9" x14ac:dyDescent="0.2">
      <c r="A43" s="884" t="s">
        <v>2228</v>
      </c>
      <c r="B43" s="888"/>
      <c r="C43" s="888"/>
      <c r="D43" s="888"/>
      <c r="E43" s="888"/>
      <c r="F43" s="888"/>
      <c r="G43" s="888"/>
      <c r="H43" s="888"/>
      <c r="I43" s="287">
        <f>SUM(I36:I42)</f>
        <v>0</v>
      </c>
    </row>
    <row r="44" spans="1:9" x14ac:dyDescent="0.2">
      <c r="A44" s="1275"/>
      <c r="B44" s="1276"/>
      <c r="C44" s="1276"/>
      <c r="D44" s="1276"/>
      <c r="E44" s="1276"/>
      <c r="F44" s="1276"/>
      <c r="G44" s="1276"/>
      <c r="H44" s="1276"/>
      <c r="I44" s="1277"/>
    </row>
    <row r="45" spans="1:9" x14ac:dyDescent="0.2">
      <c r="A45" s="1200" t="s">
        <v>554</v>
      </c>
      <c r="B45" s="1201"/>
      <c r="C45" s="1201"/>
      <c r="D45" s="1201"/>
      <c r="E45" s="1201"/>
      <c r="F45" s="1201"/>
      <c r="G45" s="1201"/>
      <c r="H45" s="1201"/>
      <c r="I45" s="1202"/>
    </row>
    <row r="46" spans="1:9" s="9" customFormat="1" ht="25.5" x14ac:dyDescent="0.2">
      <c r="A46" s="1246" t="s">
        <v>2229</v>
      </c>
      <c r="B46" s="1247"/>
      <c r="C46" s="1247"/>
      <c r="D46" s="1248" t="s">
        <v>2230</v>
      </c>
      <c r="E46" s="1248"/>
      <c r="F46" s="1248" t="s">
        <v>2218</v>
      </c>
      <c r="G46" s="1248"/>
      <c r="H46" s="881" t="s">
        <v>2216</v>
      </c>
      <c r="I46" s="72"/>
    </row>
    <row r="47" spans="1:9" x14ac:dyDescent="0.2">
      <c r="A47" s="1080" t="s">
        <v>56</v>
      </c>
      <c r="B47" s="1081"/>
      <c r="C47" s="1081"/>
      <c r="D47" s="1082">
        <f>IF(A47&lt;&gt;0,VLOOKUP(A47,Cuadrillas,7,FALSE),$J$1)</f>
        <v>209369.84</v>
      </c>
      <c r="E47" s="1082"/>
      <c r="F47" s="1083">
        <v>10</v>
      </c>
      <c r="G47" s="1083"/>
      <c r="H47" s="7">
        <f>IF(A47&lt;&gt;0,ROUND(D47/F47,2),$J$1)</f>
        <v>20936.98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256"/>
      <c r="B50" s="1257"/>
      <c r="C50" s="1257"/>
      <c r="D50" s="1255" t="str">
        <f>IF(A50&lt;&gt;0,VLOOKUP(A50,Cuadrillas,7,FALSE),$J$1)</f>
        <v>-</v>
      </c>
      <c r="E50" s="1255"/>
      <c r="F50" s="1265"/>
      <c r="G50" s="1265"/>
      <c r="H50" s="293" t="str">
        <f>IF(A50&lt;&gt;0,ROUND(D50/F50,2),$J$1)</f>
        <v>-</v>
      </c>
      <c r="I50" s="297"/>
    </row>
    <row r="51" spans="1:9" x14ac:dyDescent="0.2">
      <c r="A51" s="1080"/>
      <c r="B51" s="1081"/>
      <c r="C51" s="1081"/>
      <c r="D51" s="1082" t="str">
        <f>IF(A51&lt;&gt;0,VLOOKUP(A51,Cuadrillas,7,FALSE),$J$1)</f>
        <v>-</v>
      </c>
      <c r="E51" s="1082"/>
      <c r="F51" s="1083"/>
      <c r="G51" s="1083"/>
      <c r="H51" s="7" t="str">
        <f>IF(A51&lt;&gt;0,ROUND(D51/F51,2),$J$1)</f>
        <v>-</v>
      </c>
      <c r="I51" s="69"/>
    </row>
    <row r="52" spans="1:9" x14ac:dyDescent="0.2">
      <c r="A52" s="1106" t="s">
        <v>2231</v>
      </c>
      <c r="B52" s="1203"/>
      <c r="C52" s="1203"/>
      <c r="D52" s="1203"/>
      <c r="E52" s="1203"/>
      <c r="F52" s="1203"/>
      <c r="G52" s="1203"/>
      <c r="H52" s="1203"/>
      <c r="I52" s="938">
        <f>SUM(H47:H51)</f>
        <v>20936.98</v>
      </c>
    </row>
    <row r="53" spans="1:9" x14ac:dyDescent="0.2">
      <c r="A53" s="1260"/>
      <c r="B53" s="1261"/>
      <c r="C53" s="1261"/>
      <c r="D53" s="1261"/>
      <c r="E53" s="1261"/>
      <c r="F53" s="1261"/>
      <c r="G53" s="1261"/>
      <c r="H53" s="1261"/>
      <c r="I53" s="1262"/>
    </row>
    <row r="54" spans="1:9" x14ac:dyDescent="0.2">
      <c r="A54" s="1273" t="s">
        <v>2232</v>
      </c>
      <c r="B54" s="1274"/>
      <c r="C54" s="1274"/>
      <c r="D54" s="1274"/>
      <c r="E54" s="1274"/>
      <c r="F54" s="1274"/>
      <c r="G54" s="1274"/>
      <c r="H54" s="1274"/>
      <c r="I54" s="324" t="e">
        <f>I21+I32+I43</f>
        <v>#REF!</v>
      </c>
    </row>
    <row r="55" spans="1:9" ht="13.5" thickBot="1" x14ac:dyDescent="0.25">
      <c r="A55" s="1193" t="s">
        <v>2233</v>
      </c>
      <c r="B55" s="1194"/>
      <c r="C55" s="1194"/>
      <c r="D55" s="1194"/>
      <c r="E55" s="1194"/>
      <c r="F55" s="1194"/>
      <c r="G55" s="1194"/>
      <c r="H55" s="1194"/>
      <c r="I55" s="238">
        <f>I52</f>
        <v>20936.98</v>
      </c>
    </row>
    <row r="56" spans="1:9" s="9" customFormat="1" ht="25.5" customHeight="1" thickTop="1" thickBot="1" x14ac:dyDescent="0.25">
      <c r="A56" s="1195" t="s">
        <v>2234</v>
      </c>
      <c r="B56" s="1196"/>
      <c r="C56" s="1196"/>
      <c r="D56" s="1196"/>
      <c r="E56" s="1196"/>
      <c r="F56" s="1196"/>
      <c r="G56" s="1196"/>
      <c r="H56" s="258"/>
      <c r="I56" s="239" t="e">
        <f>I54+I55</f>
        <v>#REF!</v>
      </c>
    </row>
    <row r="57" spans="1:9" s="9" customFormat="1" ht="25.5" customHeight="1" thickTop="1" thickBot="1" x14ac:dyDescent="0.25">
      <c r="A57" s="1095" t="s">
        <v>10</v>
      </c>
      <c r="B57" s="1096"/>
      <c r="C57" s="1096"/>
      <c r="D57" s="1097">
        <f>+'Datos entrada'!B7</f>
        <v>0.3</v>
      </c>
      <c r="E57" s="1098"/>
      <c r="F57" s="1099" t="e">
        <f>I56*D57</f>
        <v>#REF!</v>
      </c>
      <c r="G57" s="1099"/>
      <c r="H57" s="1099"/>
      <c r="I57" s="1100"/>
    </row>
    <row r="58" spans="1:9" s="9" customFormat="1" ht="25.5" customHeight="1" thickTop="1" thickBot="1" x14ac:dyDescent="0.25">
      <c r="A58" s="1095" t="s">
        <v>2236</v>
      </c>
      <c r="B58" s="1096"/>
      <c r="C58" s="1096"/>
      <c r="D58" s="1096"/>
      <c r="E58" s="1096"/>
      <c r="F58" s="1096"/>
      <c r="G58" s="1096"/>
      <c r="H58" s="1191" t="e">
        <f>I56+F57</f>
        <v>#REF!</v>
      </c>
      <c r="I58" s="1192"/>
    </row>
    <row r="59" spans="1:9" ht="13.5" thickTop="1" x14ac:dyDescent="0.2">
      <c r="I59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5">
    <mergeCell ref="A1:C1"/>
    <mergeCell ref="B40:C40"/>
    <mergeCell ref="A34:H34"/>
    <mergeCell ref="D36:E36"/>
    <mergeCell ref="A26:C26"/>
    <mergeCell ref="A17:C17"/>
    <mergeCell ref="A18:C18"/>
    <mergeCell ref="A19:C19"/>
    <mergeCell ref="A20:C20"/>
    <mergeCell ref="A13:C13"/>
    <mergeCell ref="A14:C14"/>
    <mergeCell ref="A15:C15"/>
    <mergeCell ref="A16:C16"/>
    <mergeCell ref="A25:C25"/>
    <mergeCell ref="H1:I1"/>
    <mergeCell ref="A27:C27"/>
    <mergeCell ref="F48:G48"/>
    <mergeCell ref="A48:C48"/>
    <mergeCell ref="A31:C31"/>
    <mergeCell ref="D48:E48"/>
    <mergeCell ref="A53:I53"/>
    <mergeCell ref="A52:H52"/>
    <mergeCell ref="F51:G51"/>
    <mergeCell ref="A44:I44"/>
    <mergeCell ref="F46:G46"/>
    <mergeCell ref="F47:G47"/>
    <mergeCell ref="A58:G58"/>
    <mergeCell ref="H58:I58"/>
    <mergeCell ref="A49:C49"/>
    <mergeCell ref="A50:C50"/>
    <mergeCell ref="D49:E49"/>
    <mergeCell ref="F49:G49"/>
    <mergeCell ref="A51:C51"/>
    <mergeCell ref="D50:E50"/>
    <mergeCell ref="F50:G50"/>
    <mergeCell ref="D51:E51"/>
    <mergeCell ref="A56:G56"/>
    <mergeCell ref="A54:H54"/>
    <mergeCell ref="A55:H55"/>
    <mergeCell ref="A57:C57"/>
    <mergeCell ref="D57:E57"/>
    <mergeCell ref="F57:I57"/>
    <mergeCell ref="A28:C28"/>
    <mergeCell ref="D47:E47"/>
    <mergeCell ref="A46:C46"/>
    <mergeCell ref="A47:C47"/>
    <mergeCell ref="D46:E46"/>
    <mergeCell ref="A29:C29"/>
    <mergeCell ref="A30:C30"/>
    <mergeCell ref="A45:I45"/>
    <mergeCell ref="A8:C8"/>
    <mergeCell ref="A9:C9"/>
    <mergeCell ref="A10:C10"/>
    <mergeCell ref="A11:C11"/>
    <mergeCell ref="A12:C12"/>
  </mergeCells>
  <phoneticPr fontId="0" type="noConversion"/>
  <dataValidations count="5">
    <dataValidation type="list" allowBlank="1" showInputMessage="1" showErrorMessage="1" sqref="A9:A20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5:A31 B37:C37 B39:C39 B41:C42">
      <formula1>Descrip_equipos</formula1>
    </dataValidation>
    <dataValidation type="list" allowBlank="1" showInputMessage="1" showErrorMessage="1" sqref="A47:C51">
      <formula1>Descrip_cuadrillas</formula1>
    </dataValidation>
    <dataValidation type="list" allowBlank="1" showInputMessage="1" showErrorMessage="1" sqref="A37:A40 A42:A43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6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1.05</v>
      </c>
      <c r="F8" s="21" t="e">
        <f t="shared" ref="F8:F13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330</v>
      </c>
      <c r="B9" s="1216"/>
      <c r="C9" s="1217"/>
      <c r="D9" s="851" t="e">
        <f t="shared" si="0"/>
        <v>#REF!</v>
      </c>
      <c r="E9" s="12">
        <v>2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345</v>
      </c>
      <c r="B10" s="1216"/>
      <c r="C10" s="1217"/>
      <c r="D10" s="851" t="e">
        <f t="shared" si="0"/>
        <v>#REF!</v>
      </c>
      <c r="E10" s="12">
        <v>6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362</v>
      </c>
      <c r="B11" s="1216"/>
      <c r="C11" s="1217"/>
      <c r="D11" s="851" t="e">
        <f t="shared" si="0"/>
        <v>#REF!</v>
      </c>
      <c r="E11" s="12">
        <v>1.82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145</v>
      </c>
      <c r="B12" s="1216"/>
      <c r="C12" s="1217"/>
      <c r="D12" s="851" t="e">
        <f t="shared" si="0"/>
        <v>#REF!</v>
      </c>
      <c r="E12" s="12">
        <v>1.8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242</v>
      </c>
      <c r="B13" s="1216"/>
      <c r="C13" s="1217"/>
      <c r="D13" s="851" t="e">
        <f t="shared" si="0"/>
        <v>#REF!</v>
      </c>
      <c r="E13" s="12">
        <v>4.8499999999999996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3.5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1060</v>
      </c>
      <c r="I23" s="69"/>
    </row>
    <row r="24" spans="1:9" x14ac:dyDescent="0.2">
      <c r="A24" s="1215" t="s">
        <v>497</v>
      </c>
      <c r="B24" s="1216"/>
      <c r="C24" s="1217"/>
      <c r="D24" s="26">
        <v>0.5</v>
      </c>
      <c r="E24" s="28"/>
      <c r="F24" s="12">
        <f t="shared" si="3"/>
        <v>42400</v>
      </c>
      <c r="G24" s="14">
        <v>0.15</v>
      </c>
      <c r="H24" s="8">
        <f t="shared" si="4"/>
        <v>12720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13780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302">
        <v>2.9</v>
      </c>
      <c r="G45" s="1222"/>
      <c r="H45" s="8">
        <f>IF(A45&lt;&gt;0,ROUND(D45/F45,2),$J$1)</f>
        <v>148998.57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148998.57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148998.57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4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B38:C38"/>
    <mergeCell ref="A41:H41"/>
    <mergeCell ref="A42:I42"/>
    <mergeCell ref="A43:I43"/>
    <mergeCell ref="A44:C44"/>
    <mergeCell ref="D44:E44"/>
    <mergeCell ref="F44:G44"/>
    <mergeCell ref="B34:C34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24:C24"/>
    <mergeCell ref="A25:C2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3:C23 A23:A29 B26:C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14:C18 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7">
    <tabColor indexed="4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402</v>
      </c>
      <c r="B8" s="1081"/>
      <c r="C8" s="1081"/>
      <c r="D8" s="844" t="e">
        <f t="shared" ref="D8:D18" si="0">IF(A8&lt;&gt;0,VLOOKUP(A8,Materiales,2,FALSE),$J$1)</f>
        <v>#REF!</v>
      </c>
      <c r="E8" s="12">
        <v>1.67</v>
      </c>
      <c r="F8" s="58" t="e">
        <f t="shared" ref="F8:F16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424" t="s">
        <v>279</v>
      </c>
      <c r="B9" s="1425"/>
      <c r="C9" s="1426"/>
      <c r="D9" s="844" t="e">
        <f t="shared" si="0"/>
        <v>#REF!</v>
      </c>
      <c r="E9" s="12">
        <v>1</v>
      </c>
      <c r="F9" s="58" t="e">
        <f>IF(A9&lt;&gt;0,VLOOKUP(A9,Materiales,6,FALSE),$J$1)</f>
        <v>#REF!</v>
      </c>
      <c r="G9" s="58"/>
      <c r="H9" s="7" t="e">
        <f>IF(A9&lt;&gt;0,ROUND(E9*F9,2),$J$1)</f>
        <v>#REF!</v>
      </c>
      <c r="I9" s="69"/>
    </row>
    <row r="10" spans="1:10" x14ac:dyDescent="0.2">
      <c r="A10" s="1142" t="s">
        <v>317</v>
      </c>
      <c r="B10" s="1143"/>
      <c r="C10" s="1143"/>
      <c r="D10" s="847" t="e">
        <f t="shared" si="0"/>
        <v>#REF!</v>
      </c>
      <c r="E10" s="407">
        <v>0.67</v>
      </c>
      <c r="F10" s="58" t="e">
        <f>IF(A10&lt;&gt;0,VLOOKUP(A10,Materiales,6,FALSE),$J$1)</f>
        <v>#REF!</v>
      </c>
      <c r="G10" s="58"/>
      <c r="H10" s="7" t="e">
        <f t="shared" si="2"/>
        <v>#REF!</v>
      </c>
      <c r="I10" s="69"/>
    </row>
    <row r="11" spans="1:10" x14ac:dyDescent="0.2">
      <c r="A11" s="1215"/>
      <c r="B11" s="1216"/>
      <c r="C11" s="1217"/>
      <c r="D11" s="844"/>
      <c r="E11" s="12"/>
      <c r="F11" s="58" t="str">
        <f t="shared" si="1"/>
        <v>-</v>
      </c>
      <c r="G11" s="58"/>
      <c r="H11" s="7"/>
      <c r="I11" s="69"/>
    </row>
    <row r="12" spans="1:10" x14ac:dyDescent="0.2">
      <c r="A12" s="1080" t="s">
        <v>354</v>
      </c>
      <c r="B12" s="1081"/>
      <c r="C12" s="1081"/>
      <c r="D12" s="844" t="e">
        <f t="shared" si="0"/>
        <v>#REF!</v>
      </c>
      <c r="E12" s="12">
        <v>0.5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120" t="s">
        <v>2320</v>
      </c>
      <c r="B13" s="1121"/>
      <c r="C13" s="1121"/>
      <c r="D13" s="844" t="e">
        <f t="shared" si="0"/>
        <v>#REF!</v>
      </c>
      <c r="E13" s="12">
        <v>0.03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246</v>
      </c>
      <c r="B14" s="1081"/>
      <c r="C14" s="1081"/>
      <c r="D14" s="844" t="e">
        <f t="shared" si="0"/>
        <v>#REF!</v>
      </c>
      <c r="E14" s="12">
        <v>7.0000000000000007E-2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 t="shared" si="1"/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170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21.82</v>
      </c>
      <c r="I23" s="69"/>
    </row>
    <row r="24" spans="1:9" x14ac:dyDescent="0.2">
      <c r="A24" s="1080" t="s">
        <v>467</v>
      </c>
      <c r="B24" s="1081"/>
      <c r="C24" s="1081"/>
      <c r="D24" s="33">
        <v>25</v>
      </c>
      <c r="E24" s="33"/>
      <c r="F24" s="12">
        <f t="shared" si="3"/>
        <v>24592</v>
      </c>
      <c r="G24" s="14">
        <v>1</v>
      </c>
      <c r="H24" s="7">
        <f t="shared" si="4"/>
        <v>983.68</v>
      </c>
      <c r="I24" s="69"/>
    </row>
    <row r="25" spans="1:9" x14ac:dyDescent="0.2">
      <c r="A25" s="1080" t="s">
        <v>464</v>
      </c>
      <c r="B25" s="1081"/>
      <c r="C25" s="1081"/>
      <c r="D25" s="33">
        <v>15</v>
      </c>
      <c r="E25" s="33"/>
      <c r="F25" s="12">
        <f t="shared" si="3"/>
        <v>33920</v>
      </c>
      <c r="G25" s="14">
        <v>1</v>
      </c>
      <c r="H25" s="7">
        <f t="shared" si="4"/>
        <v>2261.33</v>
      </c>
      <c r="I25" s="69"/>
    </row>
    <row r="26" spans="1:9" x14ac:dyDescent="0.2">
      <c r="A26" s="1080" t="s">
        <v>469</v>
      </c>
      <c r="B26" s="1081"/>
      <c r="C26" s="1081"/>
      <c r="D26" s="33">
        <v>15</v>
      </c>
      <c r="E26" s="33"/>
      <c r="F26" s="12">
        <f t="shared" si="3"/>
        <v>21200</v>
      </c>
      <c r="G26" s="14">
        <v>1</v>
      </c>
      <c r="H26" s="7">
        <f t="shared" si="4"/>
        <v>1413.33</v>
      </c>
      <c r="I26" s="69"/>
    </row>
    <row r="27" spans="1:9" x14ac:dyDescent="0.2">
      <c r="A27" s="1080" t="s">
        <v>470</v>
      </c>
      <c r="B27" s="1081"/>
      <c r="C27" s="1081"/>
      <c r="D27" s="33">
        <v>15</v>
      </c>
      <c r="E27" s="33"/>
      <c r="F27" s="12">
        <f t="shared" si="3"/>
        <v>32012</v>
      </c>
      <c r="G27" s="14">
        <v>1</v>
      </c>
      <c r="H27" s="7">
        <f t="shared" si="4"/>
        <v>2134.13</v>
      </c>
      <c r="I27" s="69"/>
    </row>
    <row r="28" spans="1:9" x14ac:dyDescent="0.2">
      <c r="A28" s="1080" t="s">
        <v>461</v>
      </c>
      <c r="B28" s="1081"/>
      <c r="C28" s="1081"/>
      <c r="D28" s="33">
        <v>30</v>
      </c>
      <c r="E28" s="33"/>
      <c r="F28" s="12">
        <f t="shared" si="3"/>
        <v>127200</v>
      </c>
      <c r="G28" s="14"/>
      <c r="H28" s="7">
        <f t="shared" si="4"/>
        <v>0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6814.29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12</v>
      </c>
      <c r="G45" s="1083"/>
      <c r="H45" s="7">
        <f>IF(A45&lt;&gt;0,ROUND(D45/F45,2),$J$1)</f>
        <v>17956.25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17956.25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17956.25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56:G56"/>
    <mergeCell ref="H56:I56"/>
    <mergeCell ref="A11:C11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17:C17"/>
    <mergeCell ref="A1:C1"/>
    <mergeCell ref="H1:I1"/>
    <mergeCell ref="A8:C8"/>
    <mergeCell ref="A9:C9"/>
    <mergeCell ref="A10:C10"/>
    <mergeCell ref="A12:C12"/>
    <mergeCell ref="A13:C13"/>
    <mergeCell ref="A14:C14"/>
    <mergeCell ref="A15:C15"/>
    <mergeCell ref="A16:C16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9" tint="0.59999389629810485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12.75" customHeight="1" x14ac:dyDescent="0.2">
      <c r="A5" s="265" t="s">
        <v>2213</v>
      </c>
      <c r="B5" s="271" t="e">
        <f>#REF!</f>
        <v>#REF!</v>
      </c>
      <c r="C5" s="267" t="e">
        <f>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155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492</v>
      </c>
      <c r="B23" s="1081"/>
      <c r="C23" s="1081"/>
      <c r="D23" s="479">
        <v>8.9999999999999993E-3</v>
      </c>
      <c r="E23" s="33"/>
      <c r="F23" s="12">
        <f>IF(A23&lt;&gt;0,VLOOKUP(A23,Equipos,6,FALSE),$J$1)</f>
        <v>678400</v>
      </c>
      <c r="G23" s="136">
        <v>1</v>
      </c>
      <c r="H23" s="7">
        <f>IF(A23&lt;&gt;0,ROUND((F23*D23)/G23,2),$J$1)</f>
        <v>6105.6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ref="F24:F29" si="3">IF(A24&lt;&gt;0,VLOOKUP(A24,Equipos,6,FALSE),$J$1)</f>
        <v>-</v>
      </c>
      <c r="G24" s="136"/>
      <c r="H24" s="7" t="str">
        <f t="shared" ref="H24:H29" si="4">IF(A24&lt;&gt;0,ROUND((F24/D24)*G24,2),$J$1)</f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6105.6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0"/>
      <c r="B35" s="1211"/>
      <c r="C35" s="1212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61" t="str">
        <f>IF(A26&lt;&gt;0,VLOOKUP(A37,Transporte,8,FALSE),$J$1)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086"/>
      <c r="B39" s="1087"/>
      <c r="C39" s="111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/>
      <c r="B45" s="1081"/>
      <c r="C45" s="1081"/>
      <c r="D45" s="1082" t="str">
        <f>IF(A45&lt;&gt;0,VLOOKUP(A45,Cuadrillas,7,FALSE),$J$1)</f>
        <v>-</v>
      </c>
      <c r="E45" s="1082"/>
      <c r="F45" s="1083"/>
      <c r="G45" s="1083"/>
      <c r="H45" s="7" t="str">
        <f>IF(A45&lt;&gt;0,ROUND(D45/F45,2),$J$1)</f>
        <v>-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0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6105.6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0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6105.6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1831.68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7937.2800000000007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2:H52"/>
    <mergeCell ref="A51:I51"/>
    <mergeCell ref="A50:H50"/>
    <mergeCell ref="F46:G46"/>
    <mergeCell ref="A1:C1"/>
    <mergeCell ref="B34:C34"/>
    <mergeCell ref="B38:C38"/>
    <mergeCell ref="A35:C35"/>
    <mergeCell ref="A36:C36"/>
    <mergeCell ref="A37:C37"/>
    <mergeCell ref="A39:C39"/>
    <mergeCell ref="A40:C40"/>
    <mergeCell ref="A46:C46"/>
    <mergeCell ref="D46:E46"/>
    <mergeCell ref="F44:G44"/>
    <mergeCell ref="F45:G45"/>
    <mergeCell ref="A43:I43"/>
    <mergeCell ref="A25:C25"/>
    <mergeCell ref="A26:C26"/>
    <mergeCell ref="D45:E45"/>
    <mergeCell ref="A44:C44"/>
    <mergeCell ref="A45:C45"/>
    <mergeCell ref="D44:E44"/>
    <mergeCell ref="A27:C27"/>
    <mergeCell ref="A28:C28"/>
    <mergeCell ref="A29:C29"/>
    <mergeCell ref="A41:H41"/>
    <mergeCell ref="A42:I42"/>
    <mergeCell ref="A56:G56"/>
    <mergeCell ref="H56:I56"/>
    <mergeCell ref="A47:C47"/>
    <mergeCell ref="A48:C48"/>
    <mergeCell ref="D47:E47"/>
    <mergeCell ref="F47:G47"/>
    <mergeCell ref="A49:C49"/>
    <mergeCell ref="D48:E48"/>
    <mergeCell ref="A53:H53"/>
    <mergeCell ref="F49:G49"/>
    <mergeCell ref="F48:G48"/>
    <mergeCell ref="D49:E49"/>
    <mergeCell ref="F55:I55"/>
    <mergeCell ref="A55:C55"/>
    <mergeCell ref="D55:E55"/>
    <mergeCell ref="A54:G54"/>
    <mergeCell ref="A14:C14"/>
    <mergeCell ref="H1:I1"/>
    <mergeCell ref="A23:C23"/>
    <mergeCell ref="A24:C24"/>
    <mergeCell ref="A15:C15"/>
    <mergeCell ref="A16:C16"/>
    <mergeCell ref="A17:C17"/>
    <mergeCell ref="A18:C18"/>
    <mergeCell ref="A8:C8"/>
    <mergeCell ref="A9:C9"/>
    <mergeCell ref="A10:C10"/>
    <mergeCell ref="A11:C11"/>
    <mergeCell ref="A12:C12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2">
    <tabColor indexed="47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0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83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211</v>
      </c>
      <c r="B8" s="1081"/>
      <c r="C8" s="108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388</v>
      </c>
      <c r="B9" s="1219"/>
      <c r="C9" s="1219"/>
      <c r="D9" s="844" t="e">
        <f t="shared" si="0"/>
        <v>#REF!</v>
      </c>
      <c r="E9" s="12">
        <f>0.05*1*1</f>
        <v>0.05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371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40</v>
      </c>
      <c r="G45" s="1083"/>
      <c r="H45" s="7">
        <f>IF(A45&lt;&gt;0,ROUND(D45/F45,2),$J$1)</f>
        <v>3856.76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3856.76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3856.76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8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tabColor indexed="49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2389</v>
      </c>
      <c r="C5" s="267" t="s">
        <v>2007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130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235</v>
      </c>
      <c r="B8" s="1081"/>
      <c r="C8" s="108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45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82.44</v>
      </c>
      <c r="I23" s="69"/>
    </row>
    <row r="24" spans="1:9" x14ac:dyDescent="0.2">
      <c r="A24" s="1080"/>
      <c r="B24" s="1081"/>
      <c r="C24" s="1081"/>
      <c r="D24" s="109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82.44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61</v>
      </c>
      <c r="B45" s="1081"/>
      <c r="C45" s="1081"/>
      <c r="D45" s="1082">
        <f>IF(A45&lt;&gt;0,VLOOKUP(A45,Cuadrillas,7,FALSE),$J$1)</f>
        <v>378636.38</v>
      </c>
      <c r="E45" s="1082"/>
      <c r="F45" s="1083">
        <v>250</v>
      </c>
      <c r="G45" s="1083"/>
      <c r="H45" s="7">
        <f>IF(A45&lt;&gt;0,ROUND(D45/F45,2),$J$1)</f>
        <v>1514.55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1514.55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1514.55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9:C39"/>
    <mergeCell ref="A40:C40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35:C35"/>
    <mergeCell ref="A36:C36"/>
    <mergeCell ref="A37:C37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8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tabColor indexed="47"/>
    <pageSetUpPr fitToPage="1"/>
  </sheetPr>
  <dimension ref="A1:J57"/>
  <sheetViews>
    <sheetView workbookViewId="0">
      <selection activeCell="A2" sqref="A2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0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83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153</v>
      </c>
      <c r="B8" s="1081"/>
      <c r="C8" s="108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388</v>
      </c>
      <c r="B9" s="1219"/>
      <c r="C9" s="1219"/>
      <c r="D9" s="844" t="e">
        <f t="shared" si="0"/>
        <v>#REF!</v>
      </c>
      <c r="E9" s="12">
        <v>0.45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371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7</v>
      </c>
      <c r="G45" s="1083"/>
      <c r="H45" s="7">
        <f>IF(A45&lt;&gt;0,ROUND(D45/F45,2),$J$1)</f>
        <v>22038.6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22038.6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22038.6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activeCell="A2" sqref="A2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5:C35"/>
    <mergeCell ref="A36:C36"/>
    <mergeCell ref="A37:C37"/>
    <mergeCell ref="A39:C39"/>
    <mergeCell ref="A40:C40"/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D49:E49"/>
    <mergeCell ref="F46:G46"/>
    <mergeCell ref="A46:C46"/>
    <mergeCell ref="A52:H52"/>
    <mergeCell ref="D46:E46"/>
    <mergeCell ref="F44:G44"/>
    <mergeCell ref="A51:I51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A53:H53"/>
    <mergeCell ref="A54:G54"/>
    <mergeCell ref="A29:C29"/>
    <mergeCell ref="A8:C8"/>
    <mergeCell ref="A9:C9"/>
    <mergeCell ref="A10:C10"/>
    <mergeCell ref="A11:C11"/>
    <mergeCell ref="A12:C12"/>
    <mergeCell ref="A14:C14"/>
    <mergeCell ref="A23:C23"/>
    <mergeCell ref="A24:C24"/>
    <mergeCell ref="A15:C15"/>
    <mergeCell ref="A16:C16"/>
    <mergeCell ref="A17:C17"/>
    <mergeCell ref="A18:C18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8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9">
    <tabColor theme="7" tint="0.59999389629810485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2310</v>
      </c>
      <c r="G7" s="254"/>
      <c r="H7" s="879" t="s">
        <v>2216</v>
      </c>
      <c r="I7" s="72"/>
    </row>
    <row r="8" spans="1:10" x14ac:dyDescent="0.2">
      <c r="A8" s="1215" t="s">
        <v>280</v>
      </c>
      <c r="B8" s="1216"/>
      <c r="C8" s="1217"/>
      <c r="D8" s="851" t="e">
        <f t="shared" ref="D8:D18" si="0">IF(A8&lt;&gt;0,VLOOKUP(A8,Materiales,2,FALSE),$J$1)</f>
        <v>#REF!</v>
      </c>
      <c r="E8" s="12">
        <v>6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306" t="s">
        <v>333</v>
      </c>
      <c r="B9" s="1307"/>
      <c r="C9" s="1308"/>
      <c r="D9" s="851" t="e">
        <f t="shared" si="0"/>
        <v>#REF!</v>
      </c>
      <c r="E9" s="12">
        <v>1.05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5</v>
      </c>
      <c r="E23" s="28"/>
      <c r="F23" s="12">
        <f t="shared" ref="F23:F29" si="3">IF(A23&lt;&gt;0,VLOOKUP(A23,Equipos,6,FALSE),$J$1)</f>
        <v>3710</v>
      </c>
      <c r="G23" s="14">
        <v>5</v>
      </c>
      <c r="H23" s="8">
        <f t="shared" ref="H23:H29" si="4">IF(A23&lt;&gt;0,ROUND((F23/D23)*G23,2),$J$1)</f>
        <v>3710</v>
      </c>
      <c r="I23" s="69"/>
    </row>
    <row r="24" spans="1:9" x14ac:dyDescent="0.2">
      <c r="A24" s="871"/>
      <c r="B24" s="872"/>
      <c r="C24" s="873"/>
      <c r="D24" s="26">
        <v>4</v>
      </c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3710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3.2</v>
      </c>
      <c r="G45" s="1222"/>
      <c r="H45" s="8">
        <f>IF(A45&lt;&gt;0,ROUND(D45/F45,2),$J$1)</f>
        <v>135029.95000000001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135029.95000000001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135029.95000000001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0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1:C1"/>
    <mergeCell ref="H1:I1"/>
    <mergeCell ref="C5:I5"/>
    <mergeCell ref="A8:C8"/>
    <mergeCell ref="A9:C9"/>
    <mergeCell ref="A10:C10"/>
    <mergeCell ref="A12:C12"/>
    <mergeCell ref="B34:C34"/>
    <mergeCell ref="B38:C38"/>
    <mergeCell ref="A41:H41"/>
    <mergeCell ref="A42:I42"/>
  </mergeCells>
  <dataValidations count="5">
    <dataValidation type="list" allowBlank="1" showInputMessage="1" showErrorMessage="1" sqref="A9:A18 B13:C18 B11:C1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C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0">
    <tabColor theme="2" tint="-0.499984740745262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27" customHeight="1" x14ac:dyDescent="0.2">
      <c r="A8" s="1427" t="s">
        <v>310</v>
      </c>
      <c r="B8" s="1428"/>
      <c r="C8" s="1429"/>
      <c r="D8" s="55" t="e">
        <f t="shared" ref="D8:D18" si="0">IF(A8&lt;&gt;0,VLOOKUP(A8,Materiales,2,FALSE),$J$1)</f>
        <v>#REF!</v>
      </c>
      <c r="E8" s="510">
        <v>1</v>
      </c>
      <c r="F8" s="531" t="e">
        <f t="shared" ref="F8:F15" si="1">IF(A8&lt;&gt;0,VLOOKUP(A8,Materiales,6,FALSE),$J$1)</f>
        <v>#REF!</v>
      </c>
      <c r="G8" s="531"/>
      <c r="H8" s="512" t="e">
        <f t="shared" ref="H8:H18" si="2">IF(A8&lt;&gt;0,ROUND(E8*F8,2),$J$1)</f>
        <v>#REF!</v>
      </c>
      <c r="I8" s="69"/>
    </row>
    <row r="9" spans="1:10" ht="12.75" customHeight="1" x14ac:dyDescent="0.2">
      <c r="A9" s="1427" t="s">
        <v>373</v>
      </c>
      <c r="B9" s="1428"/>
      <c r="C9" s="1429"/>
      <c r="D9" s="55" t="e">
        <f t="shared" si="0"/>
        <v>#REF!</v>
      </c>
      <c r="E9" s="510">
        <v>0.4</v>
      </c>
      <c r="F9" s="531" t="e">
        <f t="shared" si="1"/>
        <v>#REF!</v>
      </c>
      <c r="G9" s="531"/>
      <c r="H9" s="512" t="e">
        <f t="shared" si="2"/>
        <v>#REF!</v>
      </c>
      <c r="I9" s="69"/>
    </row>
    <row r="10" spans="1:10" x14ac:dyDescent="0.2">
      <c r="A10" s="1315" t="s">
        <v>212</v>
      </c>
      <c r="B10" s="1316"/>
      <c r="C10" s="1316"/>
      <c r="D10" s="55" t="e">
        <f t="shared" si="0"/>
        <v>#REF!</v>
      </c>
      <c r="E10" s="510">
        <v>4</v>
      </c>
      <c r="F10" s="531" t="e">
        <f t="shared" si="1"/>
        <v>#REF!</v>
      </c>
      <c r="G10" s="531"/>
      <c r="H10" s="512" t="e">
        <f t="shared" si="2"/>
        <v>#REF!</v>
      </c>
      <c r="I10" s="69"/>
    </row>
    <row r="11" spans="1:10" x14ac:dyDescent="0.2">
      <c r="A11" s="1315" t="s">
        <v>354</v>
      </c>
      <c r="B11" s="1316"/>
      <c r="C11" s="1316"/>
      <c r="D11" s="55" t="e">
        <f t="shared" si="0"/>
        <v>#REF!</v>
      </c>
      <c r="E11" s="510">
        <v>0.1</v>
      </c>
      <c r="F11" s="531" t="e">
        <f t="shared" si="1"/>
        <v>#REF!</v>
      </c>
      <c r="G11" s="531"/>
      <c r="H11" s="512" t="e">
        <f t="shared" si="2"/>
        <v>#REF!</v>
      </c>
      <c r="I11" s="69"/>
    </row>
    <row r="12" spans="1:10" x14ac:dyDescent="0.2">
      <c r="A12" s="1315" t="s">
        <v>193</v>
      </c>
      <c r="B12" s="1316"/>
      <c r="C12" s="1316"/>
      <c r="D12" s="55" t="e">
        <f t="shared" si="0"/>
        <v>#REF!</v>
      </c>
      <c r="E12" s="510">
        <v>0.1</v>
      </c>
      <c r="F12" s="531" t="e">
        <f t="shared" si="1"/>
        <v>#REF!</v>
      </c>
      <c r="G12" s="531"/>
      <c r="H12" s="512" t="e">
        <f t="shared" si="2"/>
        <v>#REF!</v>
      </c>
      <c r="I12" s="69"/>
    </row>
    <row r="13" spans="1:10" x14ac:dyDescent="0.2">
      <c r="A13" s="1315"/>
      <c r="B13" s="1316"/>
      <c r="C13" s="1316"/>
      <c r="D13" s="55" t="str">
        <f t="shared" si="0"/>
        <v>-</v>
      </c>
      <c r="E13" s="510"/>
      <c r="F13" s="531" t="str">
        <f t="shared" si="1"/>
        <v>-</v>
      </c>
      <c r="G13" s="531"/>
      <c r="H13" s="512" t="str">
        <f t="shared" si="2"/>
        <v>-</v>
      </c>
      <c r="I13" s="69"/>
    </row>
    <row r="14" spans="1:10" x14ac:dyDescent="0.2">
      <c r="A14" s="1315"/>
      <c r="B14" s="1316"/>
      <c r="C14" s="1316"/>
      <c r="D14" s="55" t="str">
        <f t="shared" si="0"/>
        <v>-</v>
      </c>
      <c r="E14" s="510"/>
      <c r="F14" s="531" t="str">
        <f t="shared" si="1"/>
        <v>-</v>
      </c>
      <c r="G14" s="531"/>
      <c r="H14" s="512" t="str">
        <f t="shared" si="2"/>
        <v>-</v>
      </c>
      <c r="I14" s="69"/>
    </row>
    <row r="15" spans="1:10" x14ac:dyDescent="0.2">
      <c r="A15" s="1315"/>
      <c r="B15" s="1316"/>
      <c r="C15" s="1316"/>
      <c r="D15" s="55" t="str">
        <f t="shared" si="0"/>
        <v>-</v>
      </c>
      <c r="E15" s="510"/>
      <c r="F15" s="531" t="str">
        <f t="shared" si="1"/>
        <v>-</v>
      </c>
      <c r="G15" s="531"/>
      <c r="H15" s="512" t="str">
        <f t="shared" si="2"/>
        <v>-</v>
      </c>
      <c r="I15" s="69"/>
    </row>
    <row r="16" spans="1:10" x14ac:dyDescent="0.2">
      <c r="A16" s="1315"/>
      <c r="B16" s="1316"/>
      <c r="C16" s="1316"/>
      <c r="D16" s="55" t="str">
        <f t="shared" si="0"/>
        <v>-</v>
      </c>
      <c r="E16" s="510"/>
      <c r="F16" s="531" t="str">
        <f>IF(A16&lt;&gt;0,VLOOKUP(A16,Materiales,5,FALSE),$J$1)</f>
        <v>-</v>
      </c>
      <c r="G16" s="531"/>
      <c r="H16" s="512" t="str">
        <f t="shared" si="2"/>
        <v>-</v>
      </c>
      <c r="I16" s="69"/>
    </row>
    <row r="17" spans="1:9" x14ac:dyDescent="0.2">
      <c r="A17" s="1315"/>
      <c r="B17" s="1316"/>
      <c r="C17" s="1316"/>
      <c r="D17" s="55" t="str">
        <f t="shared" si="0"/>
        <v>-</v>
      </c>
      <c r="E17" s="510"/>
      <c r="F17" s="531" t="str">
        <f>IF(A17&lt;&gt;0,VLOOKUP(A17,Materiales,5,FALSE),$J$1)</f>
        <v>-</v>
      </c>
      <c r="G17" s="531"/>
      <c r="H17" s="512" t="str">
        <f t="shared" si="2"/>
        <v>-</v>
      </c>
      <c r="I17" s="69"/>
    </row>
    <row r="18" spans="1:9" x14ac:dyDescent="0.2">
      <c r="A18" s="1315"/>
      <c r="B18" s="1316"/>
      <c r="C18" s="1316"/>
      <c r="D18" s="55" t="str">
        <f t="shared" si="0"/>
        <v>-</v>
      </c>
      <c r="E18" s="510"/>
      <c r="F18" s="531" t="str">
        <f>IF(A18&lt;&gt;0,VLOOKUP(A18,Materiales,5,FALSE),$J$1)</f>
        <v>-</v>
      </c>
      <c r="G18" s="531"/>
      <c r="H18" s="512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0.01</v>
      </c>
      <c r="H23" s="7">
        <f t="shared" ref="H23:H29" si="4">IF(A23&lt;&gt;0,ROUND((F23/D23)*G23,2),$J$1)</f>
        <v>37.1</v>
      </c>
      <c r="I23" s="69"/>
    </row>
    <row r="24" spans="1:9" x14ac:dyDescent="0.2">
      <c r="A24" s="1080" t="s">
        <v>476</v>
      </c>
      <c r="B24" s="1081"/>
      <c r="C24" s="1081"/>
      <c r="D24" s="33">
        <v>1</v>
      </c>
      <c r="E24" s="33"/>
      <c r="F24" s="12">
        <f t="shared" si="3"/>
        <v>5807.74</v>
      </c>
      <c r="G24" s="14">
        <v>0.05</v>
      </c>
      <c r="H24" s="7">
        <f t="shared" si="4"/>
        <v>290.39</v>
      </c>
      <c r="I24" s="69"/>
    </row>
    <row r="25" spans="1:9" x14ac:dyDescent="0.2">
      <c r="A25" s="1080" t="s">
        <v>467</v>
      </c>
      <c r="B25" s="1081"/>
      <c r="C25" s="1081"/>
      <c r="D25" s="33">
        <v>1</v>
      </c>
      <c r="E25" s="33"/>
      <c r="F25" s="12">
        <f t="shared" si="3"/>
        <v>24592</v>
      </c>
      <c r="G25" s="14">
        <v>0.01</v>
      </c>
      <c r="H25" s="7">
        <f t="shared" si="4"/>
        <v>245.92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573.41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64</v>
      </c>
      <c r="B45" s="1081"/>
      <c r="C45" s="1081"/>
      <c r="D45" s="1082">
        <f>IF(A45&lt;&gt;0,VLOOKUP(A45,Cuadrillas,7,FALSE),$J$1)</f>
        <v>456806.92</v>
      </c>
      <c r="E45" s="1082"/>
      <c r="F45" s="1083">
        <v>65</v>
      </c>
      <c r="G45" s="1083"/>
      <c r="H45" s="7">
        <f>IF(A45&lt;&gt;0,ROUND(D45/F45,2),$J$1)</f>
        <v>7027.8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7027.8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7027.8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+I53+I52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1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123</v>
      </c>
      <c r="B8" s="1216"/>
      <c r="C8" s="1217"/>
      <c r="D8" s="851" t="e">
        <f t="shared" ref="D8:D18" si="0">IF(A8&lt;&gt;0,VLOOKUP(A8,Materiales,2,FALSE),$J$1)</f>
        <v>#REF!</v>
      </c>
      <c r="E8" s="12">
        <v>1.01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145</v>
      </c>
      <c r="B9" s="1216"/>
      <c r="C9" s="1217"/>
      <c r="D9" s="851" t="e">
        <f t="shared" si="0"/>
        <v>#REF!</v>
      </c>
      <c r="E9" s="13">
        <v>3.0000000000000001E-3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180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20.61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20.61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1200</v>
      </c>
      <c r="G45" s="1222"/>
      <c r="H45" s="8">
        <f>IF(A45&lt;&gt;0,ROUND(D45/F45,2),$J$1)</f>
        <v>360.08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360.08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360.08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2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5:C45"/>
    <mergeCell ref="D45:E45"/>
    <mergeCell ref="F45:G45"/>
    <mergeCell ref="A23:C23"/>
    <mergeCell ref="A24:C24"/>
    <mergeCell ref="A25:C25"/>
    <mergeCell ref="B34:C34"/>
    <mergeCell ref="B38:C38"/>
    <mergeCell ref="A41:H41"/>
    <mergeCell ref="A42:I42"/>
    <mergeCell ref="A43:I43"/>
    <mergeCell ref="A44:C44"/>
    <mergeCell ref="D44:E44"/>
    <mergeCell ref="F44:G44"/>
    <mergeCell ref="A10:C10"/>
    <mergeCell ref="A1:C1"/>
    <mergeCell ref="H1:I1"/>
    <mergeCell ref="C5:I5"/>
    <mergeCell ref="A8:C8"/>
    <mergeCell ref="A9:C9"/>
  </mergeCells>
  <dataValidations count="5">
    <dataValidation type="list" allowBlank="1" showInputMessage="1" showErrorMessage="1" sqref="A9:A18 B11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6:C29 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2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121</v>
      </c>
      <c r="B8" s="1216"/>
      <c r="C8" s="1217"/>
      <c r="D8" s="851" t="e">
        <f t="shared" ref="D8:D18" si="0">IF(A8&lt;&gt;0,VLOOKUP(A8,Materiales,2,FALSE),$J$1)</f>
        <v>#REF!</v>
      </c>
      <c r="E8" s="12">
        <v>1.01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145</v>
      </c>
      <c r="B9" s="1216"/>
      <c r="C9" s="1217"/>
      <c r="D9" s="851" t="e">
        <f t="shared" si="0"/>
        <v>#REF!</v>
      </c>
      <c r="E9" s="13">
        <v>3.0000000000000001E-3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180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20.61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20.61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1100</v>
      </c>
      <c r="G45" s="1222"/>
      <c r="H45" s="8">
        <f>IF(A45&lt;&gt;0,ROUND(D45/F45,2),$J$1)</f>
        <v>392.81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392.81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392.81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7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23:C23"/>
    <mergeCell ref="A24:C24"/>
    <mergeCell ref="A25:C25"/>
    <mergeCell ref="B34:C34"/>
    <mergeCell ref="A35:C35"/>
    <mergeCell ref="A36:C36"/>
    <mergeCell ref="A37:C37"/>
    <mergeCell ref="B38:C38"/>
    <mergeCell ref="A39:C39"/>
    <mergeCell ref="A40:C40"/>
    <mergeCell ref="A41:H41"/>
    <mergeCell ref="A10:C10"/>
    <mergeCell ref="A1:C1"/>
    <mergeCell ref="H1:I1"/>
    <mergeCell ref="C5:I5"/>
    <mergeCell ref="A8:C8"/>
    <mergeCell ref="A9:C9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6:C29 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1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3EDA00"/>
    <pageSetUpPr fitToPage="1"/>
  </sheetPr>
  <dimension ref="A1:P78"/>
  <sheetViews>
    <sheetView view="pageBreakPreview" zoomScaleNormal="100" zoomScaleSheetLayoutView="100" workbookViewId="0">
      <selection activeCell="A7" sqref="A7"/>
    </sheetView>
  </sheetViews>
  <sheetFormatPr baseColWidth="10" defaultColWidth="11.42578125" defaultRowHeight="12.75" x14ac:dyDescent="0.2"/>
  <cols>
    <col min="1" max="1" width="30" bestFit="1" customWidth="1"/>
    <col min="2" max="3" width="10.42578125" bestFit="1" customWidth="1"/>
    <col min="4" max="4" width="12.7109375" customWidth="1"/>
    <col min="5" max="5" width="5" bestFit="1" customWidth="1"/>
    <col min="6" max="6" width="11.85546875" bestFit="1" customWidth="1"/>
    <col min="7" max="7" width="5" bestFit="1" customWidth="1"/>
    <col min="8" max="8" width="8.140625" bestFit="1" customWidth="1"/>
    <col min="9" max="9" width="2.140625" bestFit="1" customWidth="1"/>
    <col min="10" max="10" width="5" bestFit="1" customWidth="1"/>
    <col min="11" max="11" width="3.5703125" bestFit="1" customWidth="1"/>
    <col min="12" max="12" width="2.140625" bestFit="1" customWidth="1"/>
    <col min="13" max="13" width="5.140625" bestFit="1" customWidth="1"/>
    <col min="14" max="14" width="14.85546875" customWidth="1"/>
    <col min="15" max="15" width="2.140625" bestFit="1" customWidth="1"/>
    <col min="16" max="16" width="5.140625" bestFit="1" customWidth="1"/>
  </cols>
  <sheetData>
    <row r="1" spans="1:16" x14ac:dyDescent="0.2">
      <c r="A1" s="815"/>
      <c r="B1" s="816"/>
      <c r="C1" s="816"/>
      <c r="D1" s="817"/>
      <c r="E1" s="818"/>
      <c r="F1" s="818"/>
      <c r="G1" s="818"/>
      <c r="H1" s="818"/>
      <c r="I1" s="817"/>
      <c r="J1" s="818"/>
      <c r="K1" s="818"/>
      <c r="L1" s="818"/>
      <c r="M1" s="819"/>
      <c r="N1" s="820"/>
      <c r="O1" s="820"/>
      <c r="P1" s="820"/>
    </row>
    <row r="2" spans="1:16" ht="12.75" customHeight="1" x14ac:dyDescent="0.2">
      <c r="A2" s="1015" t="str">
        <f>+'Datos entrada'!B8</f>
        <v>CORREGIMIENTO DE LAS MESAS-MUNICIPIO DETABLON DE GOMES (N)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5"/>
    </row>
    <row r="3" spans="1:16" x14ac:dyDescent="0.2">
      <c r="A3" s="815"/>
      <c r="B3" s="816"/>
      <c r="C3" s="816"/>
      <c r="D3" s="817"/>
      <c r="E3" s="818"/>
      <c r="F3" s="818"/>
      <c r="G3" s="818"/>
      <c r="H3" s="818"/>
      <c r="I3" s="817"/>
      <c r="J3" s="818"/>
      <c r="K3" s="818"/>
      <c r="L3" s="818"/>
      <c r="M3" s="821"/>
      <c r="N3" s="821"/>
      <c r="O3" s="821"/>
      <c r="P3" s="821"/>
    </row>
    <row r="4" spans="1:16" ht="38.25" customHeight="1" x14ac:dyDescent="0.2">
      <c r="A4" s="1018" t="str">
        <f>+'Datos entrada'!B3</f>
        <v>OPTIMIZACIÓN Y AMPLIACIÓN DE LA RED ALCANTARILLADO DEL CORREGIMIENTO DE LAS MESAS, MUNICIPIO DE EL TABLON DE GOMEZ – DEPARTAMENTO DE NARIÑO.</v>
      </c>
      <c r="B4" s="1018"/>
      <c r="C4" s="1018"/>
      <c r="D4" s="1018"/>
      <c r="E4" s="1018"/>
      <c r="F4" s="1018"/>
      <c r="G4" s="1018"/>
      <c r="H4" s="1018"/>
      <c r="I4" s="1018"/>
      <c r="J4" s="1018"/>
      <c r="K4" s="1018"/>
      <c r="L4" s="1018"/>
      <c r="M4" s="1018"/>
      <c r="N4" s="1018"/>
      <c r="O4" s="1018"/>
      <c r="P4" s="1018"/>
    </row>
    <row r="5" spans="1:16" x14ac:dyDescent="0.2">
      <c r="A5" s="815"/>
      <c r="B5" s="816"/>
      <c r="C5" s="816"/>
      <c r="D5" s="817"/>
      <c r="E5" s="818"/>
      <c r="F5" s="818"/>
      <c r="G5" s="818"/>
      <c r="H5" s="818"/>
      <c r="I5" s="817"/>
      <c r="J5" s="818"/>
      <c r="K5" s="818"/>
      <c r="L5" s="818"/>
      <c r="M5" s="821"/>
      <c r="N5" s="821"/>
      <c r="O5" s="821"/>
      <c r="P5" s="821"/>
    </row>
    <row r="6" spans="1:16" x14ac:dyDescent="0.2">
      <c r="A6" s="1019" t="s">
        <v>69</v>
      </c>
      <c r="B6" s="1019"/>
      <c r="C6" s="1019"/>
      <c r="D6" s="1019"/>
      <c r="E6" s="1019"/>
      <c r="F6" s="1019"/>
      <c r="G6" s="1019"/>
      <c r="H6" s="1019"/>
      <c r="I6" s="1019"/>
      <c r="J6" s="1019"/>
      <c r="K6" s="1019"/>
      <c r="L6" s="1019"/>
      <c r="M6" s="1019"/>
      <c r="N6" s="1019"/>
      <c r="O6" s="1019"/>
      <c r="P6" s="1019"/>
    </row>
    <row r="7" spans="1:16" x14ac:dyDescent="0.2">
      <c r="A7" s="820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  <c r="P7" s="820"/>
    </row>
    <row r="8" spans="1:16" x14ac:dyDescent="0.2">
      <c r="A8" s="1010"/>
      <c r="B8" s="1010"/>
      <c r="C8" s="1010"/>
      <c r="D8" s="822" t="s">
        <v>29</v>
      </c>
      <c r="E8" s="1008" t="s">
        <v>30</v>
      </c>
      <c r="F8" s="1008"/>
      <c r="G8" s="1008"/>
      <c r="H8" s="1008" t="s">
        <v>31</v>
      </c>
      <c r="I8" s="1008"/>
      <c r="J8" s="1008"/>
      <c r="K8" s="1008" t="s">
        <v>32</v>
      </c>
      <c r="L8" s="1008"/>
      <c r="M8" s="1008"/>
      <c r="N8" s="1008" t="s">
        <v>33</v>
      </c>
      <c r="O8" s="1008"/>
      <c r="P8" s="1008"/>
    </row>
    <row r="9" spans="1:16" x14ac:dyDescent="0.2">
      <c r="A9" s="1010"/>
      <c r="B9" s="1010"/>
      <c r="C9" s="1010"/>
      <c r="D9" s="823" t="s">
        <v>70</v>
      </c>
      <c r="E9" s="824" t="s">
        <v>70</v>
      </c>
      <c r="F9" s="825" t="s">
        <v>44</v>
      </c>
      <c r="G9" s="826">
        <v>0.1</v>
      </c>
      <c r="H9" s="824" t="s">
        <v>70</v>
      </c>
      <c r="I9" s="827" t="s">
        <v>44</v>
      </c>
      <c r="J9" s="826">
        <v>0.15</v>
      </c>
      <c r="K9" s="824" t="s">
        <v>70</v>
      </c>
      <c r="L9" s="827" t="s">
        <v>44</v>
      </c>
      <c r="M9" s="826">
        <v>0.2</v>
      </c>
      <c r="N9" s="824" t="s">
        <v>70</v>
      </c>
      <c r="O9" s="827" t="s">
        <v>44</v>
      </c>
      <c r="P9" s="826">
        <v>0.33</v>
      </c>
    </row>
    <row r="10" spans="1:16" x14ac:dyDescent="0.2">
      <c r="A10" s="828" t="s">
        <v>71</v>
      </c>
      <c r="B10" s="829">
        <v>1</v>
      </c>
      <c r="C10" s="828" t="s">
        <v>72</v>
      </c>
      <c r="D10" s="823">
        <f>N19*B10</f>
        <v>27361.9</v>
      </c>
      <c r="E10" s="998">
        <f>$D$10*(1+G9)</f>
        <v>30098.090000000004</v>
      </c>
      <c r="F10" s="998"/>
      <c r="G10" s="998"/>
      <c r="H10" s="998">
        <f>$D$10*(1+J9)</f>
        <v>31466.184999999998</v>
      </c>
      <c r="I10" s="998"/>
      <c r="J10" s="998"/>
      <c r="K10" s="998">
        <f>$D$10*(1+M9)</f>
        <v>32834.28</v>
      </c>
      <c r="L10" s="998"/>
      <c r="M10" s="998"/>
      <c r="N10" s="998">
        <f>$D$10*(1+P9)</f>
        <v>36391.327000000005</v>
      </c>
      <c r="O10" s="998"/>
      <c r="P10" s="998"/>
    </row>
    <row r="11" spans="1:16" x14ac:dyDescent="0.2">
      <c r="A11" s="828" t="s">
        <v>73</v>
      </c>
      <c r="B11" s="1009">
        <f>+B44</f>
        <v>1.7729999999999997</v>
      </c>
      <c r="C11" s="1009"/>
      <c r="D11" s="823">
        <f>D10*$B$11</f>
        <v>48512.648699999991</v>
      </c>
      <c r="E11" s="998">
        <f>E10*$B$11</f>
        <v>53363.913569999997</v>
      </c>
      <c r="F11" s="998"/>
      <c r="G11" s="998"/>
      <c r="H11" s="998">
        <f>H10*$B$11</f>
        <v>55789.546004999989</v>
      </c>
      <c r="I11" s="998"/>
      <c r="J11" s="998"/>
      <c r="K11" s="998">
        <f>K10*$B$11</f>
        <v>58215.178439999989</v>
      </c>
      <c r="L11" s="998"/>
      <c r="M11" s="998"/>
      <c r="N11" s="998">
        <f>N10*$B$11</f>
        <v>64521.822770999999</v>
      </c>
      <c r="O11" s="998"/>
      <c r="P11" s="998"/>
    </row>
    <row r="12" spans="1:16" x14ac:dyDescent="0.2">
      <c r="A12" s="999" t="s">
        <v>74</v>
      </c>
      <c r="B12" s="999"/>
      <c r="C12" s="999"/>
      <c r="D12" s="823">
        <f>D11/8</f>
        <v>6064.0810874999988</v>
      </c>
      <c r="E12" s="998">
        <f>E11/8</f>
        <v>6670.4891962499996</v>
      </c>
      <c r="F12" s="998"/>
      <c r="G12" s="998"/>
      <c r="H12" s="998">
        <f>H11/8</f>
        <v>6973.6932506249987</v>
      </c>
      <c r="I12" s="998"/>
      <c r="J12" s="998"/>
      <c r="K12" s="998">
        <f>K11/8</f>
        <v>7276.8973049999986</v>
      </c>
      <c r="L12" s="998"/>
      <c r="M12" s="998"/>
      <c r="N12" s="998">
        <f>N11/8</f>
        <v>8065.2278463749999</v>
      </c>
      <c r="O12" s="998"/>
      <c r="P12" s="998"/>
    </row>
    <row r="13" spans="1:16" x14ac:dyDescent="0.2">
      <c r="A13" s="828" t="s">
        <v>75</v>
      </c>
      <c r="B13" s="829">
        <v>3</v>
      </c>
      <c r="C13" s="828" t="s">
        <v>72</v>
      </c>
      <c r="D13" s="823">
        <f>N19*B13</f>
        <v>82085.700000000012</v>
      </c>
      <c r="E13" s="998">
        <f>$D$13*(1+G9)</f>
        <v>90294.270000000019</v>
      </c>
      <c r="F13" s="998"/>
      <c r="G13" s="998"/>
      <c r="H13" s="998">
        <f>$D$13*(1+J9)</f>
        <v>94398.555000000008</v>
      </c>
      <c r="I13" s="998"/>
      <c r="J13" s="998"/>
      <c r="K13" s="998">
        <f>$D$13*(1+M9)</f>
        <v>98502.840000000011</v>
      </c>
      <c r="L13" s="998"/>
      <c r="M13" s="998"/>
      <c r="N13" s="998">
        <f>$D$13*(1+P9)</f>
        <v>109173.98100000001</v>
      </c>
      <c r="O13" s="998"/>
      <c r="P13" s="998"/>
    </row>
    <row r="14" spans="1:16" x14ac:dyDescent="0.2">
      <c r="A14" s="828" t="s">
        <v>73</v>
      </c>
      <c r="B14" s="1009">
        <f>+C44</f>
        <v>1.5964999999999998</v>
      </c>
      <c r="C14" s="1009"/>
      <c r="D14" s="823">
        <f>D13*$B$14</f>
        <v>131049.82005000001</v>
      </c>
      <c r="E14" s="998">
        <f>E13*$B$14</f>
        <v>144154.80205500001</v>
      </c>
      <c r="F14" s="998"/>
      <c r="G14" s="998"/>
      <c r="H14" s="998">
        <f>H13*$B$14</f>
        <v>150707.29305750001</v>
      </c>
      <c r="I14" s="998"/>
      <c r="J14" s="998"/>
      <c r="K14" s="998">
        <f>K13*$B$14</f>
        <v>157259.78406000001</v>
      </c>
      <c r="L14" s="998"/>
      <c r="M14" s="998"/>
      <c r="N14" s="998">
        <f>N13*$B$14</f>
        <v>174296.26066649999</v>
      </c>
      <c r="O14" s="998"/>
      <c r="P14" s="998"/>
    </row>
    <row r="15" spans="1:16" x14ac:dyDescent="0.2">
      <c r="A15" s="999" t="s">
        <v>76</v>
      </c>
      <c r="B15" s="999"/>
      <c r="C15" s="999"/>
      <c r="D15" s="823">
        <f>D14/8</f>
        <v>16381.227506250001</v>
      </c>
      <c r="E15" s="998">
        <f>E14/8</f>
        <v>18019.350256875001</v>
      </c>
      <c r="F15" s="998"/>
      <c r="G15" s="998"/>
      <c r="H15" s="998">
        <f>H14/8</f>
        <v>18838.411632187501</v>
      </c>
      <c r="I15" s="998"/>
      <c r="J15" s="998"/>
      <c r="K15" s="998">
        <f>K14/8</f>
        <v>19657.473007500001</v>
      </c>
      <c r="L15" s="998"/>
      <c r="M15" s="998"/>
      <c r="N15" s="998">
        <f>N14/8</f>
        <v>21787.032583312499</v>
      </c>
      <c r="O15" s="998"/>
      <c r="P15" s="998"/>
    </row>
    <row r="16" spans="1:16" x14ac:dyDescent="0.2">
      <c r="A16" s="828" t="s">
        <v>77</v>
      </c>
      <c r="B16" s="828"/>
      <c r="C16" s="828"/>
      <c r="D16" s="823">
        <f>D11+D14</f>
        <v>179562.46875</v>
      </c>
      <c r="E16" s="998">
        <f>E11+E14</f>
        <v>197518.71562500001</v>
      </c>
      <c r="F16" s="998"/>
      <c r="G16" s="998"/>
      <c r="H16" s="998">
        <f>H11+H14</f>
        <v>206496.83906249999</v>
      </c>
      <c r="I16" s="998"/>
      <c r="J16" s="998"/>
      <c r="K16" s="998">
        <f>K11+K14</f>
        <v>215474.96249999999</v>
      </c>
      <c r="L16" s="998"/>
      <c r="M16" s="998"/>
      <c r="N16" s="998">
        <f>N11+N14</f>
        <v>238818.0834375</v>
      </c>
      <c r="O16" s="998"/>
      <c r="P16" s="998"/>
    </row>
    <row r="17" spans="1:16" x14ac:dyDescent="0.2">
      <c r="A17" s="828" t="s">
        <v>78</v>
      </c>
      <c r="B17" s="828"/>
      <c r="C17" s="828"/>
      <c r="D17" s="823">
        <f>D12+D15</f>
        <v>22445.30859375</v>
      </c>
      <c r="E17" s="998">
        <f>E12+E15</f>
        <v>24689.839453125001</v>
      </c>
      <c r="F17" s="998"/>
      <c r="G17" s="998"/>
      <c r="H17" s="998">
        <f>H12+H15</f>
        <v>25812.104882812499</v>
      </c>
      <c r="I17" s="998"/>
      <c r="J17" s="998"/>
      <c r="K17" s="998">
        <f>K12+K15</f>
        <v>26934.370312499999</v>
      </c>
      <c r="L17" s="998"/>
      <c r="M17" s="998"/>
      <c r="N17" s="998">
        <f>N12+N15</f>
        <v>29852.2604296875</v>
      </c>
      <c r="O17" s="998"/>
      <c r="P17" s="998"/>
    </row>
    <row r="18" spans="1:16" x14ac:dyDescent="0.2">
      <c r="A18" s="820"/>
      <c r="B18" s="820"/>
      <c r="C18" s="820"/>
      <c r="D18" s="820"/>
      <c r="E18" s="820"/>
      <c r="F18" s="820"/>
      <c r="G18" s="820"/>
      <c r="H18" s="820"/>
      <c r="I18" s="820"/>
      <c r="J18" s="820"/>
      <c r="K18" s="820"/>
      <c r="L18" s="820"/>
      <c r="M18" s="820"/>
      <c r="N18" s="820"/>
      <c r="O18" s="820"/>
      <c r="P18" s="820"/>
    </row>
    <row r="19" spans="1:16" x14ac:dyDescent="0.2">
      <c r="A19" s="828" t="s">
        <v>79</v>
      </c>
      <c r="B19" s="1016">
        <v>820857</v>
      </c>
      <c r="C19" s="1017"/>
      <c r="D19" s="1013">
        <f>B19*1</f>
        <v>820857</v>
      </c>
      <c r="E19" s="1013"/>
      <c r="F19" s="1014"/>
      <c r="G19" s="824" t="s">
        <v>80</v>
      </c>
      <c r="H19" s="1011">
        <f>D19/30*365</f>
        <v>9987093.5</v>
      </c>
      <c r="I19" s="1011"/>
      <c r="J19" s="1011"/>
      <c r="K19" s="1011"/>
      <c r="L19" s="1012"/>
      <c r="M19" s="824" t="s">
        <v>81</v>
      </c>
      <c r="N19" s="1011">
        <f>D19/30</f>
        <v>27361.9</v>
      </c>
      <c r="O19" s="1011"/>
      <c r="P19" s="1012"/>
    </row>
    <row r="20" spans="1:16" x14ac:dyDescent="0.2">
      <c r="A20" s="820"/>
      <c r="B20" s="820"/>
      <c r="C20" s="820"/>
      <c r="D20" s="830">
        <v>535600</v>
      </c>
      <c r="E20" s="830"/>
      <c r="F20" s="830">
        <v>2011</v>
      </c>
      <c r="G20" s="820"/>
      <c r="H20" s="820"/>
      <c r="I20" s="820"/>
      <c r="J20" s="820"/>
      <c r="K20" s="820"/>
      <c r="L20" s="820"/>
      <c r="M20" s="820"/>
      <c r="N20" s="820"/>
      <c r="O20" s="820"/>
      <c r="P20" s="820"/>
    </row>
    <row r="21" spans="1:16" x14ac:dyDescent="0.2">
      <c r="A21" s="820"/>
      <c r="B21" s="820"/>
      <c r="C21" s="820"/>
      <c r="D21" s="830">
        <v>515000</v>
      </c>
      <c r="E21" s="830"/>
      <c r="F21" s="830">
        <v>2010</v>
      </c>
      <c r="G21" s="820"/>
      <c r="H21" s="820"/>
      <c r="I21" s="820"/>
      <c r="J21" s="820"/>
      <c r="K21" s="820"/>
      <c r="L21" s="820"/>
      <c r="M21" s="820"/>
      <c r="N21" s="820"/>
      <c r="O21" s="820"/>
      <c r="P21" s="820"/>
    </row>
    <row r="22" spans="1:16" x14ac:dyDescent="0.2">
      <c r="A22" s="820"/>
      <c r="B22" s="820"/>
      <c r="C22" s="820"/>
      <c r="D22" s="820"/>
      <c r="E22" s="820"/>
      <c r="F22" s="820"/>
      <c r="G22" s="820"/>
      <c r="H22" s="820"/>
      <c r="I22" s="820"/>
      <c r="J22" s="820"/>
      <c r="K22" s="820"/>
      <c r="L22" s="820"/>
      <c r="M22" s="820"/>
      <c r="N22" s="820"/>
      <c r="O22" s="820"/>
      <c r="P22" s="820"/>
    </row>
    <row r="23" spans="1:16" x14ac:dyDescent="0.2">
      <c r="A23" s="1015" t="s">
        <v>82</v>
      </c>
      <c r="B23" s="1015"/>
      <c r="C23" s="1015"/>
      <c r="D23" s="1015"/>
      <c r="E23" s="1015"/>
      <c r="F23" s="1015"/>
      <c r="G23" s="1015"/>
      <c r="H23" s="1015"/>
      <c r="I23" s="1015"/>
      <c r="J23" s="1015"/>
      <c r="K23" s="1015"/>
      <c r="L23" s="1015"/>
      <c r="M23" s="1015"/>
      <c r="N23" s="1015"/>
      <c r="O23" s="1015"/>
      <c r="P23" s="1015"/>
    </row>
    <row r="24" spans="1:16" x14ac:dyDescent="0.2">
      <c r="A24" s="1015"/>
      <c r="B24" s="1015"/>
      <c r="C24" s="1015"/>
      <c r="D24" s="1015"/>
      <c r="E24" s="1015"/>
      <c r="F24" s="1015"/>
      <c r="G24" s="1015"/>
      <c r="H24" s="1015"/>
      <c r="I24" s="1015"/>
      <c r="J24" s="1015"/>
      <c r="K24" s="1015"/>
      <c r="L24" s="1015"/>
      <c r="M24" s="1015"/>
      <c r="N24" s="1015"/>
      <c r="O24" s="1015"/>
      <c r="P24" s="1015"/>
    </row>
    <row r="25" spans="1:16" x14ac:dyDescent="0.2">
      <c r="A25" s="820"/>
      <c r="B25" s="820"/>
      <c r="C25" s="820"/>
      <c r="D25" s="820"/>
      <c r="E25" s="820"/>
      <c r="F25" s="820"/>
      <c r="G25" s="820"/>
      <c r="H25" s="820"/>
      <c r="I25" s="820"/>
      <c r="J25" s="820"/>
      <c r="K25" s="820"/>
      <c r="L25" s="820"/>
      <c r="M25" s="820"/>
      <c r="N25" s="820"/>
      <c r="O25" s="820"/>
      <c r="P25" s="820"/>
    </row>
    <row r="26" spans="1:16" x14ac:dyDescent="0.2">
      <c r="A26" s="828"/>
      <c r="B26" s="831" t="s">
        <v>83</v>
      </c>
      <c r="C26" s="831" t="s">
        <v>84</v>
      </c>
      <c r="D26" s="820"/>
      <c r="E26" s="820"/>
      <c r="F26" s="820"/>
      <c r="G26" s="820"/>
      <c r="H26" s="820"/>
      <c r="I26" s="820"/>
      <c r="J26" s="820"/>
      <c r="K26" s="820"/>
      <c r="L26" s="820"/>
      <c r="M26" s="820"/>
      <c r="N26" s="820"/>
      <c r="O26" s="820"/>
      <c r="P26" s="820"/>
    </row>
    <row r="27" spans="1:16" x14ac:dyDescent="0.2">
      <c r="A27" s="832" t="s">
        <v>85</v>
      </c>
      <c r="B27" s="833">
        <v>1</v>
      </c>
      <c r="C27" s="833">
        <v>1</v>
      </c>
      <c r="D27" s="820"/>
      <c r="E27" s="820"/>
      <c r="F27" s="820"/>
      <c r="G27" s="820"/>
      <c r="H27" s="820"/>
      <c r="I27" s="820"/>
      <c r="J27" s="820"/>
      <c r="K27" s="820"/>
      <c r="L27" s="820"/>
      <c r="M27" s="820"/>
      <c r="N27" s="820"/>
      <c r="O27" s="820"/>
      <c r="P27" s="820"/>
    </row>
    <row r="28" spans="1:16" x14ac:dyDescent="0.2">
      <c r="A28" s="832" t="s">
        <v>86</v>
      </c>
      <c r="B28" s="828"/>
      <c r="C28" s="828"/>
      <c r="D28" s="820"/>
      <c r="E28" s="820"/>
      <c r="F28" s="820"/>
      <c r="G28" s="820"/>
      <c r="H28" s="820"/>
      <c r="I28" s="820"/>
      <c r="J28" s="820"/>
      <c r="K28" s="820"/>
      <c r="L28" s="820"/>
      <c r="M28" s="820"/>
      <c r="N28" s="820"/>
      <c r="O28" s="820"/>
      <c r="P28" s="820"/>
    </row>
    <row r="29" spans="1:16" x14ac:dyDescent="0.2">
      <c r="A29" s="831" t="s">
        <v>87</v>
      </c>
      <c r="B29" s="833">
        <v>8.5000000000000006E-2</v>
      </c>
      <c r="C29" s="833">
        <v>8.5000000000000006E-2</v>
      </c>
      <c r="D29" s="820" t="s">
        <v>88</v>
      </c>
      <c r="E29" s="820"/>
      <c r="F29" s="820"/>
      <c r="G29" s="820"/>
      <c r="H29" s="820"/>
      <c r="I29" s="820"/>
      <c r="J29" s="820"/>
      <c r="K29" s="820"/>
      <c r="L29" s="820"/>
      <c r="M29" s="820"/>
      <c r="N29" s="820"/>
      <c r="O29" s="820"/>
      <c r="P29" s="820"/>
    </row>
    <row r="30" spans="1:16" x14ac:dyDescent="0.2">
      <c r="A30" s="831" t="s">
        <v>89</v>
      </c>
      <c r="B30" s="833">
        <v>0.105</v>
      </c>
      <c r="C30" s="833">
        <v>0.105</v>
      </c>
      <c r="D30" s="820"/>
      <c r="E30" s="820"/>
      <c r="F30" s="820"/>
      <c r="G30" s="820"/>
      <c r="H30" s="820"/>
      <c r="I30" s="820"/>
      <c r="J30" s="820"/>
      <c r="K30" s="820"/>
      <c r="L30" s="820"/>
      <c r="M30" s="820"/>
      <c r="N30" s="834"/>
      <c r="O30" s="820"/>
      <c r="P30" s="820"/>
    </row>
    <row r="31" spans="1:16" x14ac:dyDescent="0.2">
      <c r="A31" s="831" t="s">
        <v>90</v>
      </c>
      <c r="B31" s="833">
        <v>6.9599999999999995E-2</v>
      </c>
      <c r="C31" s="833">
        <v>6.9599999999999995E-2</v>
      </c>
      <c r="D31" s="820" t="s">
        <v>91</v>
      </c>
      <c r="E31" s="820"/>
      <c r="F31" s="820"/>
      <c r="G31" s="820"/>
      <c r="H31" s="820"/>
      <c r="I31" s="820"/>
      <c r="J31" s="820"/>
      <c r="K31" s="820"/>
      <c r="L31" s="820"/>
      <c r="M31" s="820"/>
      <c r="N31" s="820"/>
      <c r="O31" s="820"/>
      <c r="P31" s="820"/>
    </row>
    <row r="32" spans="1:16" x14ac:dyDescent="0.2">
      <c r="A32" s="831" t="s">
        <v>92</v>
      </c>
      <c r="B32" s="833">
        <v>0.11070000000000001</v>
      </c>
      <c r="C32" s="833">
        <v>0</v>
      </c>
      <c r="D32" s="835" t="s">
        <v>93</v>
      </c>
      <c r="E32" s="820"/>
      <c r="F32" s="820"/>
      <c r="G32" s="820"/>
      <c r="H32" s="820"/>
      <c r="I32" s="820"/>
      <c r="J32" s="820"/>
      <c r="K32" s="820"/>
      <c r="L32" s="820"/>
      <c r="M32" s="820"/>
      <c r="N32" s="820"/>
      <c r="O32" s="820"/>
      <c r="P32" s="820"/>
    </row>
    <row r="33" spans="1:16" x14ac:dyDescent="0.2">
      <c r="A33" s="832" t="s">
        <v>94</v>
      </c>
      <c r="B33" s="833"/>
      <c r="C33" s="833"/>
      <c r="D33" s="835" t="s">
        <v>95</v>
      </c>
      <c r="E33" s="820"/>
      <c r="F33" s="820"/>
      <c r="G33" s="820"/>
      <c r="H33" s="820"/>
      <c r="I33" s="820"/>
      <c r="J33" s="820"/>
      <c r="K33" s="820"/>
      <c r="L33" s="820"/>
      <c r="M33" s="820"/>
      <c r="N33" s="820"/>
      <c r="O33" s="820"/>
      <c r="P33" s="820"/>
    </row>
    <row r="34" spans="1:16" x14ac:dyDescent="0.2">
      <c r="A34" s="831" t="s">
        <v>96</v>
      </c>
      <c r="B34" s="833">
        <v>0.1095</v>
      </c>
      <c r="C34" s="833">
        <v>9.8599999999999993E-2</v>
      </c>
      <c r="D34" s="820"/>
      <c r="E34" s="820"/>
      <c r="F34" s="820"/>
      <c r="G34" s="820"/>
      <c r="H34" s="820"/>
      <c r="I34" s="820"/>
      <c r="J34" s="820"/>
      <c r="K34" s="820"/>
      <c r="L34" s="820"/>
      <c r="M34" s="820"/>
      <c r="N34" s="820"/>
      <c r="O34" s="820"/>
      <c r="P34" s="820"/>
    </row>
    <row r="35" spans="1:16" x14ac:dyDescent="0.2">
      <c r="A35" s="831" t="s">
        <v>97</v>
      </c>
      <c r="B35" s="833">
        <v>1.3100000000000001E-2</v>
      </c>
      <c r="C35" s="909">
        <v>1.18E-2</v>
      </c>
      <c r="D35" s="820"/>
      <c r="E35" s="820"/>
      <c r="F35" s="820"/>
      <c r="G35" s="820"/>
      <c r="H35" s="820"/>
      <c r="I35" s="820"/>
      <c r="J35" s="820"/>
      <c r="K35" s="820"/>
      <c r="L35" s="820"/>
      <c r="M35" s="820"/>
      <c r="N35" s="820"/>
      <c r="O35" s="820"/>
      <c r="P35" s="820"/>
    </row>
    <row r="36" spans="1:16" x14ac:dyDescent="0.2">
      <c r="A36" s="831" t="s">
        <v>98</v>
      </c>
      <c r="B36" s="833">
        <v>9.1800000000000007E-2</v>
      </c>
      <c r="C36" s="909">
        <v>8.2199999999999995E-2</v>
      </c>
      <c r="D36" s="835" t="s">
        <v>99</v>
      </c>
      <c r="E36" s="820"/>
      <c r="F36" s="820"/>
      <c r="G36" s="820"/>
      <c r="H36" s="820"/>
      <c r="I36" s="820"/>
      <c r="J36" s="820"/>
      <c r="K36" s="820"/>
      <c r="L36" s="820"/>
      <c r="M36" s="820"/>
      <c r="N36" s="820"/>
      <c r="O36" s="820"/>
      <c r="P36" s="820"/>
    </row>
    <row r="37" spans="1:16" x14ac:dyDescent="0.2">
      <c r="A37" s="831" t="s">
        <v>100</v>
      </c>
      <c r="B37" s="833">
        <v>4.1099999999999998E-2</v>
      </c>
      <c r="C37" s="833">
        <v>4.1099999999999998E-2</v>
      </c>
      <c r="D37" s="820"/>
      <c r="E37" s="820"/>
      <c r="F37" s="820"/>
      <c r="G37" s="820"/>
      <c r="H37" s="820"/>
      <c r="I37" s="820"/>
      <c r="J37" s="820"/>
      <c r="K37" s="820"/>
      <c r="L37" s="820"/>
      <c r="M37" s="820"/>
      <c r="N37" s="820"/>
      <c r="O37" s="820"/>
      <c r="P37" s="820"/>
    </row>
    <row r="38" spans="1:16" x14ac:dyDescent="0.2">
      <c r="A38" s="831" t="s">
        <v>101</v>
      </c>
      <c r="B38" s="833">
        <v>0.03</v>
      </c>
      <c r="C38" s="833">
        <v>0.03</v>
      </c>
      <c r="D38" s="820"/>
      <c r="E38" s="820"/>
      <c r="F38" s="820"/>
      <c r="G38" s="820"/>
      <c r="H38" s="820"/>
      <c r="I38" s="820"/>
      <c r="J38" s="820"/>
      <c r="K38" s="820"/>
      <c r="L38" s="820"/>
      <c r="M38" s="820"/>
      <c r="N38" s="820"/>
      <c r="O38" s="820"/>
      <c r="P38" s="820"/>
    </row>
    <row r="39" spans="1:16" x14ac:dyDescent="0.2">
      <c r="A39" s="831" t="s">
        <v>102</v>
      </c>
      <c r="B39" s="833">
        <v>0.04</v>
      </c>
      <c r="C39" s="833">
        <v>0.04</v>
      </c>
      <c r="D39" s="820"/>
      <c r="E39" s="820"/>
      <c r="F39" s="820"/>
      <c r="G39" s="820"/>
      <c r="H39" s="820"/>
      <c r="I39" s="820"/>
      <c r="J39" s="820"/>
      <c r="K39" s="820"/>
      <c r="L39" s="820"/>
      <c r="M39" s="820"/>
      <c r="N39" s="820"/>
      <c r="O39" s="820"/>
      <c r="P39" s="820"/>
    </row>
    <row r="40" spans="1:16" x14ac:dyDescent="0.2">
      <c r="A40" s="831" t="s">
        <v>103</v>
      </c>
      <c r="B40" s="833">
        <v>0.02</v>
      </c>
      <c r="C40" s="833">
        <v>0.02</v>
      </c>
      <c r="D40" s="820"/>
      <c r="E40" s="820"/>
      <c r="F40" s="820"/>
      <c r="G40" s="820"/>
      <c r="H40" s="820"/>
      <c r="I40" s="820"/>
      <c r="J40" s="820"/>
      <c r="K40" s="820"/>
      <c r="L40" s="820"/>
      <c r="M40" s="820"/>
      <c r="N40" s="820"/>
      <c r="O40" s="820"/>
      <c r="P40" s="820"/>
    </row>
    <row r="41" spans="1:16" x14ac:dyDescent="0.2">
      <c r="A41" s="831" t="s">
        <v>104</v>
      </c>
      <c r="B41" s="833">
        <v>2.4700000000000003E-2</v>
      </c>
      <c r="C41" s="833">
        <v>8.2000000000000007E-3</v>
      </c>
      <c r="D41" s="820"/>
      <c r="E41" s="820"/>
      <c r="F41" s="820"/>
      <c r="G41" s="820"/>
      <c r="H41" s="820"/>
      <c r="I41" s="820"/>
      <c r="J41" s="820"/>
      <c r="K41" s="820"/>
      <c r="L41" s="820"/>
      <c r="M41" s="820"/>
      <c r="N41" s="820"/>
      <c r="O41" s="820"/>
      <c r="P41" s="820"/>
    </row>
    <row r="42" spans="1:16" x14ac:dyDescent="0.2">
      <c r="A42" s="831" t="s">
        <v>105</v>
      </c>
      <c r="B42" s="833">
        <v>2.75E-2</v>
      </c>
      <c r="C42" s="833">
        <v>0</v>
      </c>
      <c r="D42" s="820"/>
      <c r="E42" s="820"/>
      <c r="F42" s="820"/>
      <c r="G42" s="820"/>
      <c r="H42" s="820"/>
      <c r="I42" s="820"/>
      <c r="J42" s="820"/>
      <c r="K42" s="820"/>
      <c r="L42" s="820"/>
      <c r="M42" s="820"/>
      <c r="N42" s="820"/>
      <c r="O42" s="820"/>
      <c r="P42" s="820"/>
    </row>
    <row r="43" spans="1:16" x14ac:dyDescent="0.2">
      <c r="A43" s="831" t="s">
        <v>106</v>
      </c>
      <c r="B43" s="833">
        <v>5.0000000000000001E-3</v>
      </c>
      <c r="C43" s="833">
        <v>5.0000000000000001E-3</v>
      </c>
      <c r="D43" s="836"/>
      <c r="E43" s="820"/>
      <c r="F43" s="820"/>
      <c r="G43" s="820"/>
      <c r="H43" s="820"/>
      <c r="I43" s="820"/>
      <c r="J43" s="820"/>
      <c r="K43" s="820"/>
      <c r="L43" s="820"/>
      <c r="M43" s="820"/>
      <c r="N43" s="820"/>
      <c r="O43" s="820"/>
      <c r="P43" s="820"/>
    </row>
    <row r="44" spans="1:16" x14ac:dyDescent="0.2">
      <c r="A44" s="828"/>
      <c r="B44" s="833">
        <f>SUM(B27:B43)</f>
        <v>1.7729999999999997</v>
      </c>
      <c r="C44" s="833">
        <f>SUM(C27:C43)</f>
        <v>1.5964999999999998</v>
      </c>
      <c r="D44" s="837"/>
      <c r="E44" s="820"/>
      <c r="F44" s="820"/>
      <c r="G44" s="820"/>
      <c r="H44" s="820"/>
      <c r="I44" s="820"/>
      <c r="J44" s="820"/>
      <c r="K44" s="820"/>
      <c r="L44" s="820"/>
      <c r="M44" s="820"/>
      <c r="N44" s="820"/>
      <c r="O44" s="820"/>
      <c r="P44" s="820"/>
    </row>
    <row r="45" spans="1:16" x14ac:dyDescent="0.2">
      <c r="A45" s="820"/>
      <c r="B45" s="820"/>
      <c r="C45" s="820"/>
      <c r="D45" s="820"/>
      <c r="E45" s="820"/>
      <c r="F45" s="820"/>
      <c r="G45" s="820"/>
      <c r="H45" s="820"/>
      <c r="I45" s="820"/>
      <c r="J45" s="820"/>
      <c r="K45" s="820"/>
      <c r="L45" s="820"/>
      <c r="M45" s="820"/>
      <c r="N45" s="820"/>
      <c r="O45" s="820"/>
      <c r="P45" s="820"/>
    </row>
    <row r="46" spans="1:16" x14ac:dyDescent="0.2">
      <c r="A46" s="820"/>
      <c r="B46" s="820"/>
      <c r="C46" s="820"/>
      <c r="D46" s="820"/>
      <c r="E46" s="820"/>
      <c r="F46" s="820"/>
      <c r="G46" s="820"/>
      <c r="H46" s="820"/>
      <c r="I46" s="820"/>
      <c r="J46" s="820"/>
      <c r="K46" s="820"/>
      <c r="L46" s="820"/>
      <c r="M46" s="820"/>
      <c r="N46" s="820"/>
      <c r="O46" s="820"/>
      <c r="P46" s="820"/>
    </row>
    <row r="47" spans="1:16" x14ac:dyDescent="0.2">
      <c r="A47" s="820"/>
      <c r="B47" s="820"/>
      <c r="C47" s="820"/>
      <c r="D47" s="820"/>
      <c r="E47" s="820"/>
      <c r="F47" s="820"/>
      <c r="G47" s="820"/>
      <c r="H47" s="820"/>
      <c r="I47" s="820"/>
      <c r="J47" s="820"/>
      <c r="K47" s="820"/>
      <c r="L47" s="820"/>
      <c r="M47" s="820"/>
      <c r="N47" s="820"/>
      <c r="O47" s="820"/>
      <c r="P47" s="820"/>
    </row>
    <row r="48" spans="1:16" x14ac:dyDescent="0.2">
      <c r="A48" s="1010"/>
      <c r="B48" s="1010"/>
      <c r="C48" s="1010"/>
      <c r="D48" s="822" t="s">
        <v>29</v>
      </c>
      <c r="E48" s="1008" t="s">
        <v>30</v>
      </c>
      <c r="F48" s="1008"/>
      <c r="G48" s="1008"/>
      <c r="H48" s="1008" t="s">
        <v>31</v>
      </c>
      <c r="I48" s="1008"/>
      <c r="J48" s="1008"/>
      <c r="K48" s="1008" t="s">
        <v>32</v>
      </c>
      <c r="L48" s="1008"/>
      <c r="M48" s="1008"/>
      <c r="N48" s="1008" t="s">
        <v>33</v>
      </c>
      <c r="O48" s="1008"/>
      <c r="P48" s="1008"/>
    </row>
    <row r="49" spans="1:16" x14ac:dyDescent="0.2">
      <c r="A49" s="1010"/>
      <c r="B49" s="1010"/>
      <c r="C49" s="1010"/>
      <c r="D49" s="823" t="s">
        <v>70</v>
      </c>
      <c r="E49" s="824" t="s">
        <v>70</v>
      </c>
      <c r="F49" s="825" t="s">
        <v>44</v>
      </c>
      <c r="G49" s="826">
        <v>0.1</v>
      </c>
      <c r="H49" s="824" t="s">
        <v>70</v>
      </c>
      <c r="I49" s="827" t="s">
        <v>44</v>
      </c>
      <c r="J49" s="826">
        <v>0.15</v>
      </c>
      <c r="K49" s="824" t="s">
        <v>70</v>
      </c>
      <c r="L49" s="827" t="s">
        <v>44</v>
      </c>
      <c r="M49" s="826">
        <v>0.2</v>
      </c>
      <c r="N49" s="824" t="s">
        <v>70</v>
      </c>
      <c r="O49" s="827" t="s">
        <v>44</v>
      </c>
      <c r="P49" s="826">
        <v>0.43</v>
      </c>
    </row>
    <row r="50" spans="1:16" x14ac:dyDescent="0.2">
      <c r="A50" s="828" t="s">
        <v>71</v>
      </c>
      <c r="B50" s="829">
        <v>1</v>
      </c>
      <c r="C50" s="828" t="s">
        <v>72</v>
      </c>
      <c r="D50" s="823">
        <f>N59*B50</f>
        <v>27361.9</v>
      </c>
      <c r="E50" s="998">
        <f>$D$10*(1+G49)</f>
        <v>30098.090000000004</v>
      </c>
      <c r="F50" s="998"/>
      <c r="G50" s="998"/>
      <c r="H50" s="998">
        <f>$D$10*(1+J49)</f>
        <v>31466.184999999998</v>
      </c>
      <c r="I50" s="998"/>
      <c r="J50" s="998"/>
      <c r="K50" s="998">
        <f>$D$10*(1+M49)</f>
        <v>32834.28</v>
      </c>
      <c r="L50" s="998"/>
      <c r="M50" s="998"/>
      <c r="N50" s="998">
        <f>$D$10*(1+P49)</f>
        <v>39127.517</v>
      </c>
      <c r="O50" s="998"/>
      <c r="P50" s="998"/>
    </row>
    <row r="51" spans="1:16" x14ac:dyDescent="0.2">
      <c r="A51" s="828" t="s">
        <v>73</v>
      </c>
      <c r="B51" s="1009">
        <v>1.7595000000000001</v>
      </c>
      <c r="C51" s="1009"/>
      <c r="D51" s="823">
        <f>D50*$B$51</f>
        <v>48143.263050000001</v>
      </c>
      <c r="E51" s="998">
        <f>E50*$B$11</f>
        <v>53363.913569999997</v>
      </c>
      <c r="F51" s="998"/>
      <c r="G51" s="998"/>
      <c r="H51" s="998">
        <f>H50*$B$11</f>
        <v>55789.546004999989</v>
      </c>
      <c r="I51" s="998"/>
      <c r="J51" s="998"/>
      <c r="K51" s="998">
        <f>K50*$B$11</f>
        <v>58215.178439999989</v>
      </c>
      <c r="L51" s="998"/>
      <c r="M51" s="998"/>
      <c r="N51" s="998">
        <f>N50*$B$11</f>
        <v>69373.087640999991</v>
      </c>
      <c r="O51" s="998"/>
      <c r="P51" s="998"/>
    </row>
    <row r="52" spans="1:16" x14ac:dyDescent="0.2">
      <c r="A52" s="999" t="s">
        <v>74</v>
      </c>
      <c r="B52" s="999"/>
      <c r="C52" s="999"/>
      <c r="D52" s="823">
        <f>D51/8</f>
        <v>6017.9078812500002</v>
      </c>
      <c r="E52" s="998">
        <f>E51/8</f>
        <v>6670.4891962499996</v>
      </c>
      <c r="F52" s="998"/>
      <c r="G52" s="998"/>
      <c r="H52" s="998">
        <f>H51/8</f>
        <v>6973.6932506249987</v>
      </c>
      <c r="I52" s="998"/>
      <c r="J52" s="998"/>
      <c r="K52" s="998">
        <f>K51/8</f>
        <v>7276.8973049999986</v>
      </c>
      <c r="L52" s="998"/>
      <c r="M52" s="998"/>
      <c r="N52" s="998">
        <f>N51/8</f>
        <v>8671.6359551249989</v>
      </c>
      <c r="O52" s="998"/>
      <c r="P52" s="998"/>
    </row>
    <row r="53" spans="1:16" x14ac:dyDescent="0.2">
      <c r="A53" s="828" t="s">
        <v>75</v>
      </c>
      <c r="B53" s="829">
        <v>3</v>
      </c>
      <c r="C53" s="828" t="s">
        <v>72</v>
      </c>
      <c r="D53" s="823">
        <f>N59*B53</f>
        <v>82085.700000000012</v>
      </c>
      <c r="E53" s="998">
        <f>$D$13*(1+G49)</f>
        <v>90294.270000000019</v>
      </c>
      <c r="F53" s="998"/>
      <c r="G53" s="998"/>
      <c r="H53" s="998">
        <f>$D$13*(1+J49)</f>
        <v>94398.555000000008</v>
      </c>
      <c r="I53" s="998"/>
      <c r="J53" s="998"/>
      <c r="K53" s="998">
        <f>$D$13*(1+M49)</f>
        <v>98502.840000000011</v>
      </c>
      <c r="L53" s="998"/>
      <c r="M53" s="998"/>
      <c r="N53" s="998">
        <f>$D$13*(1+P49)</f>
        <v>117382.55100000001</v>
      </c>
      <c r="O53" s="998"/>
      <c r="P53" s="998"/>
    </row>
    <row r="54" spans="1:16" x14ac:dyDescent="0.2">
      <c r="A54" s="828" t="s">
        <v>73</v>
      </c>
      <c r="B54" s="1009">
        <v>1.583</v>
      </c>
      <c r="C54" s="1009"/>
      <c r="D54" s="823">
        <f>D53*$B$54</f>
        <v>129941.66310000002</v>
      </c>
      <c r="E54" s="998">
        <f>E53*$B$14</f>
        <v>144154.80205500001</v>
      </c>
      <c r="F54" s="998"/>
      <c r="G54" s="998"/>
      <c r="H54" s="998">
        <f>H53*$B$14</f>
        <v>150707.29305750001</v>
      </c>
      <c r="I54" s="998"/>
      <c r="J54" s="998"/>
      <c r="K54" s="998">
        <f>K53*$B$14</f>
        <v>157259.78406000001</v>
      </c>
      <c r="L54" s="998"/>
      <c r="M54" s="998"/>
      <c r="N54" s="998">
        <f>N53*$B$14</f>
        <v>187401.24267149999</v>
      </c>
      <c r="O54" s="998"/>
      <c r="P54" s="998"/>
    </row>
    <row r="55" spans="1:16" x14ac:dyDescent="0.2">
      <c r="A55" s="999" t="s">
        <v>76</v>
      </c>
      <c r="B55" s="999"/>
      <c r="C55" s="999"/>
      <c r="D55" s="823">
        <f>D54/8</f>
        <v>16242.707887500002</v>
      </c>
      <c r="E55" s="998">
        <f>E54/8</f>
        <v>18019.350256875001</v>
      </c>
      <c r="F55" s="998"/>
      <c r="G55" s="998"/>
      <c r="H55" s="998">
        <f>H54/8</f>
        <v>18838.411632187501</v>
      </c>
      <c r="I55" s="998"/>
      <c r="J55" s="998"/>
      <c r="K55" s="998">
        <f>K54/8</f>
        <v>19657.473007500001</v>
      </c>
      <c r="L55" s="998"/>
      <c r="M55" s="998"/>
      <c r="N55" s="998">
        <f>N54/8</f>
        <v>23425.155333937499</v>
      </c>
      <c r="O55" s="998"/>
      <c r="P55" s="998"/>
    </row>
    <row r="56" spans="1:16" x14ac:dyDescent="0.2">
      <c r="A56" s="828" t="s">
        <v>77</v>
      </c>
      <c r="B56" s="828"/>
      <c r="C56" s="828"/>
      <c r="D56" s="823">
        <f>D51+D54</f>
        <v>178084.92615000001</v>
      </c>
      <c r="E56" s="998">
        <f>E51+E54</f>
        <v>197518.71562500001</v>
      </c>
      <c r="F56" s="998"/>
      <c r="G56" s="998"/>
      <c r="H56" s="998">
        <f>H51+H54</f>
        <v>206496.83906249999</v>
      </c>
      <c r="I56" s="998"/>
      <c r="J56" s="998"/>
      <c r="K56" s="998">
        <f>K51+K54</f>
        <v>215474.96249999999</v>
      </c>
      <c r="L56" s="998"/>
      <c r="M56" s="998"/>
      <c r="N56" s="998">
        <f>N51+N54</f>
        <v>256774.33031249998</v>
      </c>
      <c r="O56" s="998"/>
      <c r="P56" s="998"/>
    </row>
    <row r="57" spans="1:16" x14ac:dyDescent="0.2">
      <c r="A57" s="828" t="s">
        <v>78</v>
      </c>
      <c r="B57" s="828"/>
      <c r="C57" s="828"/>
      <c r="D57" s="823">
        <f>D52+D55</f>
        <v>22260.615768750002</v>
      </c>
      <c r="E57" s="998">
        <f>E52+E55</f>
        <v>24689.839453125001</v>
      </c>
      <c r="F57" s="998"/>
      <c r="G57" s="998"/>
      <c r="H57" s="998">
        <f>H52+H55</f>
        <v>25812.104882812499</v>
      </c>
      <c r="I57" s="998"/>
      <c r="J57" s="998"/>
      <c r="K57" s="998">
        <f>K52+K55</f>
        <v>26934.370312499999</v>
      </c>
      <c r="L57" s="998"/>
      <c r="M57" s="998"/>
      <c r="N57" s="998">
        <f>N52+N55</f>
        <v>32096.791289062498</v>
      </c>
      <c r="O57" s="998"/>
      <c r="P57" s="998"/>
    </row>
    <row r="58" spans="1:16" x14ac:dyDescent="0.2">
      <c r="A58" s="820"/>
      <c r="B58" s="820"/>
      <c r="C58" s="820"/>
      <c r="D58" s="820"/>
      <c r="E58" s="820"/>
      <c r="F58" s="820"/>
      <c r="G58" s="820"/>
      <c r="H58" s="820"/>
      <c r="I58" s="820"/>
      <c r="J58" s="820"/>
      <c r="K58" s="820"/>
      <c r="L58" s="820"/>
      <c r="M58" s="820"/>
      <c r="N58" s="820"/>
      <c r="O58" s="820"/>
      <c r="P58" s="820"/>
    </row>
    <row r="59" spans="1:16" x14ac:dyDescent="0.2">
      <c r="A59" s="828" t="s">
        <v>79</v>
      </c>
      <c r="B59" s="1000">
        <f>+B19</f>
        <v>820857</v>
      </c>
      <c r="C59" s="1001"/>
      <c r="D59" s="1002">
        <f>B59*1</f>
        <v>820857</v>
      </c>
      <c r="E59" s="1002"/>
      <c r="F59" s="1003"/>
      <c r="G59" s="824" t="s">
        <v>80</v>
      </c>
      <c r="H59" s="1004">
        <f>D59/30*365</f>
        <v>9987093.5</v>
      </c>
      <c r="I59" s="1004"/>
      <c r="J59" s="1004"/>
      <c r="K59" s="1004"/>
      <c r="L59" s="1005"/>
      <c r="M59" s="824" t="s">
        <v>81</v>
      </c>
      <c r="N59" s="1006">
        <f>+D59/30</f>
        <v>27361.9</v>
      </c>
      <c r="O59" s="1006"/>
      <c r="P59" s="1007"/>
    </row>
    <row r="60" spans="1:16" x14ac:dyDescent="0.2">
      <c r="A60" s="820"/>
      <c r="B60" s="820"/>
      <c r="C60" s="820"/>
      <c r="D60" s="820"/>
      <c r="E60" s="820"/>
      <c r="F60" s="820"/>
      <c r="G60" s="820"/>
      <c r="H60" s="820"/>
      <c r="I60" s="820"/>
      <c r="J60" s="820"/>
      <c r="K60" s="820"/>
      <c r="L60" s="820"/>
      <c r="M60" s="820"/>
      <c r="N60" s="820"/>
      <c r="O60" s="820"/>
      <c r="P60" s="820"/>
    </row>
    <row r="61" spans="1:16" x14ac:dyDescent="0.2">
      <c r="A61" s="820"/>
      <c r="B61" s="820"/>
      <c r="C61" s="820"/>
      <c r="D61" s="820"/>
      <c r="E61" s="820"/>
      <c r="F61" s="820"/>
      <c r="G61" s="820"/>
      <c r="H61" s="820"/>
      <c r="I61" s="820"/>
      <c r="J61" s="820"/>
      <c r="K61" s="820"/>
      <c r="L61" s="820"/>
      <c r="M61" s="820"/>
      <c r="N61" s="820"/>
      <c r="O61" s="820"/>
      <c r="P61" s="820"/>
    </row>
    <row r="62" spans="1:16" x14ac:dyDescent="0.2">
      <c r="A62" s="1010"/>
      <c r="B62" s="1010"/>
      <c r="C62" s="1010"/>
      <c r="D62" s="822" t="s">
        <v>29</v>
      </c>
      <c r="E62" s="1008" t="s">
        <v>30</v>
      </c>
      <c r="F62" s="1008"/>
      <c r="G62" s="1008"/>
      <c r="H62" s="1008" t="s">
        <v>31</v>
      </c>
      <c r="I62" s="1008"/>
      <c r="J62" s="1008"/>
      <c r="K62" s="1008" t="s">
        <v>32</v>
      </c>
      <c r="L62" s="1008"/>
      <c r="M62" s="1008"/>
      <c r="N62" s="1008" t="s">
        <v>33</v>
      </c>
      <c r="O62" s="1008"/>
      <c r="P62" s="1008"/>
    </row>
    <row r="63" spans="1:16" x14ac:dyDescent="0.2">
      <c r="A63" s="1010"/>
      <c r="B63" s="1010"/>
      <c r="C63" s="1010"/>
      <c r="D63" s="823" t="s">
        <v>70</v>
      </c>
      <c r="E63" s="824" t="s">
        <v>70</v>
      </c>
      <c r="F63" s="825" t="s">
        <v>44</v>
      </c>
      <c r="G63" s="826">
        <v>0.1</v>
      </c>
      <c r="H63" s="824" t="s">
        <v>70</v>
      </c>
      <c r="I63" s="827" t="s">
        <v>44</v>
      </c>
      <c r="J63" s="826">
        <v>0.15</v>
      </c>
      <c r="K63" s="824" t="s">
        <v>70</v>
      </c>
      <c r="L63" s="827" t="s">
        <v>44</v>
      </c>
      <c r="M63" s="826">
        <v>0.2</v>
      </c>
      <c r="N63" s="824" t="s">
        <v>70</v>
      </c>
      <c r="O63" s="827" t="s">
        <v>44</v>
      </c>
      <c r="P63" s="826">
        <v>0.43</v>
      </c>
    </row>
    <row r="64" spans="1:16" x14ac:dyDescent="0.2">
      <c r="A64" s="828" t="s">
        <v>71</v>
      </c>
      <c r="B64" s="829">
        <v>1.25</v>
      </c>
      <c r="C64" s="828" t="s">
        <v>72</v>
      </c>
      <c r="D64" s="823">
        <f>N73*B64</f>
        <v>36938.565000000002</v>
      </c>
      <c r="E64" s="998">
        <f>$D$10*(1+G63)</f>
        <v>30098.090000000004</v>
      </c>
      <c r="F64" s="998"/>
      <c r="G64" s="998"/>
      <c r="H64" s="998">
        <f>$D$10*(1+J63)</f>
        <v>31466.184999999998</v>
      </c>
      <c r="I64" s="998"/>
      <c r="J64" s="998"/>
      <c r="K64" s="998">
        <f>$D$10*(1+M63)</f>
        <v>32834.28</v>
      </c>
      <c r="L64" s="998"/>
      <c r="M64" s="998"/>
      <c r="N64" s="998">
        <f>$D$10*(1+P63)</f>
        <v>39127.517</v>
      </c>
      <c r="O64" s="998"/>
      <c r="P64" s="998"/>
    </row>
    <row r="65" spans="1:16" x14ac:dyDescent="0.2">
      <c r="A65" s="828" t="s">
        <v>73</v>
      </c>
      <c r="B65" s="1009">
        <v>2.0941000000000001</v>
      </c>
      <c r="C65" s="1009"/>
      <c r="D65" s="823">
        <f>D64*$B$11</f>
        <v>65492.075744999995</v>
      </c>
      <c r="E65" s="998">
        <f>E64*$B$11</f>
        <v>53363.913569999997</v>
      </c>
      <c r="F65" s="998"/>
      <c r="G65" s="998"/>
      <c r="H65" s="998">
        <f>H64*$B$11</f>
        <v>55789.546004999989</v>
      </c>
      <c r="I65" s="998"/>
      <c r="J65" s="998"/>
      <c r="K65" s="998">
        <f>K64*$B$11</f>
        <v>58215.178439999989</v>
      </c>
      <c r="L65" s="998"/>
      <c r="M65" s="998"/>
      <c r="N65" s="998">
        <f>N64*$B$11</f>
        <v>69373.087640999991</v>
      </c>
      <c r="O65" s="998"/>
      <c r="P65" s="998"/>
    </row>
    <row r="66" spans="1:16" x14ac:dyDescent="0.2">
      <c r="A66" s="999" t="s">
        <v>74</v>
      </c>
      <c r="B66" s="999"/>
      <c r="C66" s="999"/>
      <c r="D66" s="823">
        <f>D65/8</f>
        <v>8186.5094681249993</v>
      </c>
      <c r="E66" s="998">
        <f>E65/8</f>
        <v>6670.4891962499996</v>
      </c>
      <c r="F66" s="998"/>
      <c r="G66" s="998"/>
      <c r="H66" s="998">
        <f>H65/8</f>
        <v>6973.6932506249987</v>
      </c>
      <c r="I66" s="998"/>
      <c r="J66" s="998"/>
      <c r="K66" s="998">
        <f>K65/8</f>
        <v>7276.8973049999986</v>
      </c>
      <c r="L66" s="998"/>
      <c r="M66" s="998"/>
      <c r="N66" s="998">
        <f>N65/8</f>
        <v>8671.6359551249989</v>
      </c>
      <c r="O66" s="998"/>
      <c r="P66" s="998"/>
    </row>
    <row r="67" spans="1:16" x14ac:dyDescent="0.2">
      <c r="A67" s="828" t="s">
        <v>75</v>
      </c>
      <c r="B67" s="829">
        <v>1.75</v>
      </c>
      <c r="C67" s="828" t="s">
        <v>72</v>
      </c>
      <c r="D67" s="823">
        <f>N73*B67</f>
        <v>51713.991000000002</v>
      </c>
      <c r="E67" s="998">
        <f>$D$13*(1+G63)</f>
        <v>90294.270000000019</v>
      </c>
      <c r="F67" s="998"/>
      <c r="G67" s="998"/>
      <c r="H67" s="998">
        <f>$D$13*(1+J63)</f>
        <v>94398.555000000008</v>
      </c>
      <c r="I67" s="998"/>
      <c r="J67" s="998"/>
      <c r="K67" s="998">
        <f>$D$13*(1+M63)</f>
        <v>98502.840000000011</v>
      </c>
      <c r="L67" s="998"/>
      <c r="M67" s="998"/>
      <c r="N67" s="998">
        <f>$D$13*(1+P63)</f>
        <v>117382.55100000001</v>
      </c>
      <c r="O67" s="998"/>
      <c r="P67" s="998"/>
    </row>
    <row r="68" spans="1:16" x14ac:dyDescent="0.2">
      <c r="A68" s="828" t="s">
        <v>73</v>
      </c>
      <c r="B68" s="1009">
        <v>2.0583</v>
      </c>
      <c r="C68" s="1009"/>
      <c r="D68" s="823">
        <f>D67*$B$14</f>
        <v>82561.38663149999</v>
      </c>
      <c r="E68" s="998">
        <f>E67*$B$14</f>
        <v>144154.80205500001</v>
      </c>
      <c r="F68" s="998"/>
      <c r="G68" s="998"/>
      <c r="H68" s="998">
        <f>H67*$B$14</f>
        <v>150707.29305750001</v>
      </c>
      <c r="I68" s="998"/>
      <c r="J68" s="998"/>
      <c r="K68" s="998">
        <f>K67*$B$14</f>
        <v>157259.78406000001</v>
      </c>
      <c r="L68" s="998"/>
      <c r="M68" s="998"/>
      <c r="N68" s="998">
        <f>N67*$B$14</f>
        <v>187401.24267149999</v>
      </c>
      <c r="O68" s="998"/>
      <c r="P68" s="998"/>
    </row>
    <row r="69" spans="1:16" x14ac:dyDescent="0.2">
      <c r="A69" s="999" t="s">
        <v>76</v>
      </c>
      <c r="B69" s="999"/>
      <c r="C69" s="999"/>
      <c r="D69" s="823">
        <f>D68/8</f>
        <v>10320.173328937499</v>
      </c>
      <c r="E69" s="998">
        <f>E68/8</f>
        <v>18019.350256875001</v>
      </c>
      <c r="F69" s="998"/>
      <c r="G69" s="998"/>
      <c r="H69" s="998">
        <f>H68/8</f>
        <v>18838.411632187501</v>
      </c>
      <c r="I69" s="998"/>
      <c r="J69" s="998"/>
      <c r="K69" s="998">
        <f>K68/8</f>
        <v>19657.473007500001</v>
      </c>
      <c r="L69" s="998"/>
      <c r="M69" s="998"/>
      <c r="N69" s="998">
        <f>N68/8</f>
        <v>23425.155333937499</v>
      </c>
      <c r="O69" s="998"/>
      <c r="P69" s="998"/>
    </row>
    <row r="70" spans="1:16" x14ac:dyDescent="0.2">
      <c r="A70" s="828" t="s">
        <v>77</v>
      </c>
      <c r="B70" s="828"/>
      <c r="C70" s="828"/>
      <c r="D70" s="823">
        <f>D65+D68</f>
        <v>148053.46237649999</v>
      </c>
      <c r="E70" s="998">
        <f>E65+E68</f>
        <v>197518.71562500001</v>
      </c>
      <c r="F70" s="998"/>
      <c r="G70" s="998"/>
      <c r="H70" s="998">
        <f>H65+H68</f>
        <v>206496.83906249999</v>
      </c>
      <c r="I70" s="998"/>
      <c r="J70" s="998"/>
      <c r="K70" s="998">
        <f>K65+K68</f>
        <v>215474.96249999999</v>
      </c>
      <c r="L70" s="998"/>
      <c r="M70" s="998"/>
      <c r="N70" s="998">
        <f>N65+N68</f>
        <v>256774.33031249998</v>
      </c>
      <c r="O70" s="998"/>
      <c r="P70" s="998"/>
    </row>
    <row r="71" spans="1:16" x14ac:dyDescent="0.2">
      <c r="A71" s="828" t="s">
        <v>78</v>
      </c>
      <c r="B71" s="828"/>
      <c r="C71" s="828"/>
      <c r="D71" s="823">
        <f>D66+D69</f>
        <v>18506.682797062498</v>
      </c>
      <c r="E71" s="998">
        <f>E66+E69</f>
        <v>24689.839453125001</v>
      </c>
      <c r="F71" s="998"/>
      <c r="G71" s="998"/>
      <c r="H71" s="998">
        <f>H66+H69</f>
        <v>25812.104882812499</v>
      </c>
      <c r="I71" s="998"/>
      <c r="J71" s="998"/>
      <c r="K71" s="998">
        <f>K66+K69</f>
        <v>26934.370312499999</v>
      </c>
      <c r="L71" s="998"/>
      <c r="M71" s="998"/>
      <c r="N71" s="998">
        <f>N66+N69</f>
        <v>32096.791289062498</v>
      </c>
      <c r="O71" s="998"/>
      <c r="P71" s="998"/>
    </row>
    <row r="72" spans="1:16" x14ac:dyDescent="0.2">
      <c r="A72" s="820"/>
      <c r="B72" s="820"/>
      <c r="C72" s="820"/>
      <c r="D72" s="820"/>
      <c r="E72" s="820"/>
      <c r="F72" s="820"/>
      <c r="G72" s="820"/>
      <c r="H72" s="820"/>
      <c r="I72" s="820"/>
      <c r="J72" s="820"/>
      <c r="K72" s="820"/>
      <c r="L72" s="820"/>
      <c r="M72" s="820"/>
      <c r="N72" s="820"/>
      <c r="O72" s="820"/>
      <c r="P72" s="820"/>
    </row>
    <row r="73" spans="1:16" x14ac:dyDescent="0.2">
      <c r="A73" s="828" t="s">
        <v>79</v>
      </c>
      <c r="B73" s="1016">
        <f>+B59</f>
        <v>820857</v>
      </c>
      <c r="C73" s="1017"/>
      <c r="D73" s="1013">
        <f>B73*1.08</f>
        <v>886525.56</v>
      </c>
      <c r="E73" s="1013"/>
      <c r="F73" s="1014"/>
      <c r="G73" s="824" t="s">
        <v>80</v>
      </c>
      <c r="H73" s="1011">
        <f>D73/30*365</f>
        <v>10786060.98</v>
      </c>
      <c r="I73" s="1011"/>
      <c r="J73" s="1011"/>
      <c r="K73" s="1011"/>
      <c r="L73" s="1012"/>
      <c r="M73" s="824" t="s">
        <v>81</v>
      </c>
      <c r="N73" s="1011">
        <f>D73/30</f>
        <v>29550.852000000003</v>
      </c>
      <c r="O73" s="1011"/>
      <c r="P73" s="1012"/>
    </row>
    <row r="74" spans="1:16" x14ac:dyDescent="0.2">
      <c r="A74" s="820"/>
      <c r="B74" s="820"/>
      <c r="C74" s="820"/>
      <c r="D74" s="820"/>
      <c r="E74" s="820"/>
      <c r="F74" s="820"/>
      <c r="G74" s="820"/>
      <c r="H74" s="820"/>
      <c r="I74" s="820"/>
      <c r="J74" s="820"/>
      <c r="K74" s="820"/>
      <c r="L74" s="820"/>
      <c r="M74" s="820"/>
      <c r="N74" s="820"/>
      <c r="O74" s="820"/>
      <c r="P74" s="820"/>
    </row>
    <row r="75" spans="1:16" ht="13.5" customHeight="1" x14ac:dyDescent="0.2">
      <c r="A75" s="997" t="str">
        <f>+'Datos entrada'!$B$5</f>
        <v>INGENIERO CIVIL HEBER EDUARDO YEPES VILLOTA</v>
      </c>
      <c r="B75" s="997"/>
      <c r="C75" s="997"/>
      <c r="D75" s="997"/>
      <c r="E75" s="997"/>
      <c r="F75" s="997"/>
      <c r="G75" s="997"/>
      <c r="H75" s="997"/>
      <c r="I75" s="997"/>
      <c r="J75" s="997"/>
      <c r="K75" s="997"/>
      <c r="L75" s="997"/>
      <c r="M75" s="997"/>
      <c r="N75" s="997"/>
      <c r="O75" s="997"/>
      <c r="P75" s="997"/>
    </row>
    <row r="76" spans="1:16" x14ac:dyDescent="0.2">
      <c r="A76" s="997"/>
      <c r="B76" s="997"/>
      <c r="C76" s="997"/>
      <c r="D76" s="997"/>
      <c r="E76" s="997"/>
      <c r="F76" s="997"/>
      <c r="G76" s="997"/>
      <c r="H76" s="997"/>
      <c r="I76" s="997"/>
      <c r="J76" s="997"/>
      <c r="K76" s="997"/>
      <c r="L76" s="997"/>
      <c r="M76" s="997"/>
      <c r="N76" s="997"/>
      <c r="O76" s="997"/>
      <c r="P76" s="997"/>
    </row>
    <row r="77" spans="1:16" x14ac:dyDescent="0.2">
      <c r="A77" s="997"/>
      <c r="B77" s="997"/>
      <c r="C77" s="997"/>
      <c r="D77" s="997"/>
      <c r="E77" s="997"/>
      <c r="F77" s="997"/>
      <c r="G77" s="997"/>
      <c r="H77" s="997"/>
      <c r="I77" s="997"/>
      <c r="J77" s="997"/>
      <c r="K77" s="997"/>
      <c r="L77" s="997"/>
      <c r="M77" s="997"/>
      <c r="N77" s="997"/>
      <c r="O77" s="997"/>
      <c r="P77" s="997"/>
    </row>
    <row r="78" spans="1:16" x14ac:dyDescent="0.2">
      <c r="A78" s="997"/>
      <c r="B78" s="997"/>
      <c r="C78" s="997"/>
      <c r="D78" s="997"/>
      <c r="E78" s="997"/>
      <c r="F78" s="997"/>
      <c r="G78" s="997"/>
      <c r="H78" s="997"/>
      <c r="I78" s="997"/>
      <c r="J78" s="997"/>
      <c r="K78" s="997"/>
      <c r="L78" s="997"/>
      <c r="M78" s="997"/>
      <c r="N78" s="997"/>
      <c r="O78" s="997"/>
      <c r="P78" s="997"/>
    </row>
  </sheetData>
  <customSheetViews>
    <customSheetView guid="{93F324B6-F965-4669-93FF-DBB148734A46}" fitToPage="1" topLeftCell="A61">
      <selection activeCell="Q88" sqref="Q88"/>
      <pageMargins left="0" right="0" top="0" bottom="0" header="0" footer="0"/>
      <printOptions horizontalCentered="1"/>
      <pageSetup scale="67" orientation="portrait" errors="blank" horizontalDpi="300" verticalDpi="300" r:id="rId1"/>
      <headerFooter alignWithMargins="0"/>
    </customSheetView>
  </customSheetViews>
  <mergeCells count="140">
    <mergeCell ref="A4:P4"/>
    <mergeCell ref="A2:P2"/>
    <mergeCell ref="A6:P6"/>
    <mergeCell ref="B73:C73"/>
    <mergeCell ref="D73:F73"/>
    <mergeCell ref="H73:L73"/>
    <mergeCell ref="N73:P73"/>
    <mergeCell ref="E70:G70"/>
    <mergeCell ref="H70:J70"/>
    <mergeCell ref="K70:M70"/>
    <mergeCell ref="N70:P70"/>
    <mergeCell ref="E71:G71"/>
    <mergeCell ref="H71:J71"/>
    <mergeCell ref="K71:M71"/>
    <mergeCell ref="N71:P71"/>
    <mergeCell ref="A69:C69"/>
    <mergeCell ref="E69:G69"/>
    <mergeCell ref="H69:J69"/>
    <mergeCell ref="K69:M69"/>
    <mergeCell ref="N69:P69"/>
    <mergeCell ref="E67:G67"/>
    <mergeCell ref="H67:J67"/>
    <mergeCell ref="K67:M67"/>
    <mergeCell ref="N67:P67"/>
    <mergeCell ref="B68:C68"/>
    <mergeCell ref="E68:G68"/>
    <mergeCell ref="H68:J68"/>
    <mergeCell ref="K68:M68"/>
    <mergeCell ref="N68:P68"/>
    <mergeCell ref="E16:G16"/>
    <mergeCell ref="N17:P17"/>
    <mergeCell ref="N16:P16"/>
    <mergeCell ref="K16:M16"/>
    <mergeCell ref="N48:P48"/>
    <mergeCell ref="E50:G50"/>
    <mergeCell ref="H50:J50"/>
    <mergeCell ref="K50:M50"/>
    <mergeCell ref="N50:P50"/>
    <mergeCell ref="H16:J16"/>
    <mergeCell ref="B54:C54"/>
    <mergeCell ref="E54:G54"/>
    <mergeCell ref="H54:J54"/>
    <mergeCell ref="K54:M54"/>
    <mergeCell ref="N54:P54"/>
    <mergeCell ref="K55:M55"/>
    <mergeCell ref="N55:P55"/>
    <mergeCell ref="E53:G53"/>
    <mergeCell ref="H53:J53"/>
    <mergeCell ref="H64:J64"/>
    <mergeCell ref="K64:M64"/>
    <mergeCell ref="N64:P64"/>
    <mergeCell ref="B65:C65"/>
    <mergeCell ref="E65:G65"/>
    <mergeCell ref="H65:J65"/>
    <mergeCell ref="K65:M65"/>
    <mergeCell ref="N65:P65"/>
    <mergeCell ref="E15:G15"/>
    <mergeCell ref="B51:C51"/>
    <mergeCell ref="E51:G51"/>
    <mergeCell ref="H51:J51"/>
    <mergeCell ref="K51:M51"/>
    <mergeCell ref="A48:C49"/>
    <mergeCell ref="E48:G48"/>
    <mergeCell ref="H48:J48"/>
    <mergeCell ref="K48:M48"/>
    <mergeCell ref="A23:P24"/>
    <mergeCell ref="A62:C63"/>
    <mergeCell ref="E62:G62"/>
    <mergeCell ref="H62:J62"/>
    <mergeCell ref="K62:M62"/>
    <mergeCell ref="N62:P62"/>
    <mergeCell ref="B19:C19"/>
    <mergeCell ref="N19:P19"/>
    <mergeCell ref="H19:L19"/>
    <mergeCell ref="D19:F19"/>
    <mergeCell ref="E17:G17"/>
    <mergeCell ref="H17:J17"/>
    <mergeCell ref="K14:M14"/>
    <mergeCell ref="K15:M15"/>
    <mergeCell ref="K17:M17"/>
    <mergeCell ref="N15:P15"/>
    <mergeCell ref="K10:M10"/>
    <mergeCell ref="K11:M11"/>
    <mergeCell ref="H12:J12"/>
    <mergeCell ref="H11:J11"/>
    <mergeCell ref="N12:P12"/>
    <mergeCell ref="N13:P13"/>
    <mergeCell ref="N14:P14"/>
    <mergeCell ref="A8:C9"/>
    <mergeCell ref="A12:C12"/>
    <mergeCell ref="E13:G13"/>
    <mergeCell ref="E14:G14"/>
    <mergeCell ref="N51:P51"/>
    <mergeCell ref="A52:C52"/>
    <mergeCell ref="E52:G52"/>
    <mergeCell ref="H52:J52"/>
    <mergeCell ref="K52:M52"/>
    <mergeCell ref="N52:P52"/>
    <mergeCell ref="E10:G10"/>
    <mergeCell ref="K8:M8"/>
    <mergeCell ref="K12:M12"/>
    <mergeCell ref="K13:M13"/>
    <mergeCell ref="H14:J14"/>
    <mergeCell ref="H8:J8"/>
    <mergeCell ref="H10:J10"/>
    <mergeCell ref="A15:C15"/>
    <mergeCell ref="H13:J13"/>
    <mergeCell ref="H15:J15"/>
    <mergeCell ref="E11:G11"/>
    <mergeCell ref="E12:G12"/>
    <mergeCell ref="B14:C14"/>
    <mergeCell ref="E8:G8"/>
    <mergeCell ref="B11:C11"/>
    <mergeCell ref="N8:P8"/>
    <mergeCell ref="N10:P10"/>
    <mergeCell ref="N11:P11"/>
    <mergeCell ref="A75:P78"/>
    <mergeCell ref="K53:M53"/>
    <mergeCell ref="N53:P53"/>
    <mergeCell ref="A55:C55"/>
    <mergeCell ref="E55:G55"/>
    <mergeCell ref="H55:J55"/>
    <mergeCell ref="B59:C59"/>
    <mergeCell ref="D59:F59"/>
    <mergeCell ref="H59:L59"/>
    <mergeCell ref="N59:P59"/>
    <mergeCell ref="E56:G56"/>
    <mergeCell ref="H56:J56"/>
    <mergeCell ref="K56:M56"/>
    <mergeCell ref="N56:P56"/>
    <mergeCell ref="E57:G57"/>
    <mergeCell ref="H57:J57"/>
    <mergeCell ref="K57:M57"/>
    <mergeCell ref="N57:P57"/>
    <mergeCell ref="A66:C66"/>
    <mergeCell ref="E66:G66"/>
    <mergeCell ref="H66:J66"/>
    <mergeCell ref="K66:M66"/>
    <mergeCell ref="N66:P66"/>
    <mergeCell ref="E64:G64"/>
  </mergeCells>
  <phoneticPr fontId="0" type="noConversion"/>
  <printOptions horizontalCentered="1"/>
  <pageMargins left="0.78740157480314965" right="0.78740157480314965" top="1.299212598425197" bottom="0.98425196850393704" header="0" footer="0"/>
  <pageSetup scale="60" orientation="portrait" errors="blank" horizontalDpi="300" verticalDpi="300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tabColor indexed="50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5" t="s">
        <v>2297</v>
      </c>
      <c r="C5" s="267" t="s">
        <v>1713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130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139</v>
      </c>
      <c r="B8" s="1081"/>
      <c r="C8" s="1081"/>
      <c r="D8" s="844" t="e">
        <f t="shared" ref="D8:D18" si="0">IF(A8&lt;&gt;0,VLOOKUP(A8,Materiales,2,FALSE),$J$1)</f>
        <v>#REF!</v>
      </c>
      <c r="E8" s="12">
        <v>7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080" t="s">
        <v>160</v>
      </c>
      <c r="B9" s="1081"/>
      <c r="C9" s="1081"/>
      <c r="D9" s="844" t="e">
        <f t="shared" si="0"/>
        <v>#REF!</v>
      </c>
      <c r="E9" s="12">
        <v>0.05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209</v>
      </c>
      <c r="B10" s="1081"/>
      <c r="C10" s="1081"/>
      <c r="D10" s="844" t="e">
        <f t="shared" si="0"/>
        <v>#REF!</v>
      </c>
      <c r="E10" s="12">
        <v>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210</v>
      </c>
      <c r="B11" s="1081"/>
      <c r="C11" s="1081"/>
      <c r="D11" s="844" t="e">
        <f t="shared" si="0"/>
        <v>#REF!</v>
      </c>
      <c r="E11" s="12">
        <v>0.5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259</v>
      </c>
      <c r="B12" s="1081"/>
      <c r="C12" s="1081"/>
      <c r="D12" s="844" t="e">
        <f t="shared" si="0"/>
        <v>#REF!</v>
      </c>
      <c r="E12" s="12">
        <v>0.4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288</v>
      </c>
      <c r="B13" s="1081"/>
      <c r="C13" s="1081"/>
      <c r="D13" s="844" t="e">
        <f t="shared" si="0"/>
        <v>#REF!</v>
      </c>
      <c r="E13" s="12">
        <v>0.5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4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927.5</v>
      </c>
      <c r="I23" s="69"/>
    </row>
    <row r="24" spans="1:9" x14ac:dyDescent="0.2">
      <c r="A24" s="1080" t="s">
        <v>470</v>
      </c>
      <c r="B24" s="1081"/>
      <c r="C24" s="1081"/>
      <c r="D24" s="109">
        <v>15</v>
      </c>
      <c r="E24" s="33"/>
      <c r="F24" s="12">
        <f t="shared" si="3"/>
        <v>32012</v>
      </c>
      <c r="G24" s="14">
        <v>1</v>
      </c>
      <c r="H24" s="7">
        <f t="shared" si="4"/>
        <v>2134.13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3061.63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12">
        <f>SUM(H35:H37)</f>
        <v>0</v>
      </c>
    </row>
    <row r="35" spans="1:9" x14ac:dyDescent="0.2">
      <c r="A35" s="1086"/>
      <c r="B35" s="1087"/>
      <c r="C35" s="111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69"/>
    </row>
    <row r="36" spans="1:9" x14ac:dyDescent="0.2">
      <c r="A36" s="1086"/>
      <c r="B36" s="1087"/>
      <c r="C36" s="111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69"/>
    </row>
    <row r="37" spans="1:9" x14ac:dyDescent="0.2">
      <c r="A37" s="1086"/>
      <c r="B37" s="1087"/>
      <c r="C37" s="111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12">
        <f>SUM(H39:H40)</f>
        <v>0</v>
      </c>
    </row>
    <row r="39" spans="1:9" x14ac:dyDescent="0.2">
      <c r="A39" s="1086"/>
      <c r="B39" s="1087"/>
      <c r="C39" s="1119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43</v>
      </c>
      <c r="B45" s="1081"/>
      <c r="C45" s="1081"/>
      <c r="D45" s="1082">
        <f>IF(A45&lt;&gt;0,VLOOKUP(A45,Cuadrillas,7,FALSE),$J$1)</f>
        <v>190336.22</v>
      </c>
      <c r="E45" s="1082"/>
      <c r="F45" s="1083">
        <v>18</v>
      </c>
      <c r="G45" s="1083"/>
      <c r="H45" s="7">
        <f>IF(A45&lt;&gt;0,ROUND(D45/F45,2),$J$1)</f>
        <v>10574.23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10574.23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10574.23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6:C36"/>
    <mergeCell ref="A37:C37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A39:C39"/>
    <mergeCell ref="A40:C40"/>
    <mergeCell ref="B34:C34"/>
    <mergeCell ref="B38:C38"/>
    <mergeCell ref="A35:C35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3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282</v>
      </c>
      <c r="B8" s="1216"/>
      <c r="C8" s="1217"/>
      <c r="D8" s="851" t="e">
        <f t="shared" ref="D8:D18" si="0">IF(A8&lt;&gt;0,VLOOKUP(A8,Materiales,2,FALSE),$J$1)</f>
        <v>#REF!</v>
      </c>
      <c r="E8" s="12">
        <v>1.03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145</v>
      </c>
      <c r="B9" s="1216"/>
      <c r="C9" s="1217"/>
      <c r="D9" s="851" t="e">
        <f t="shared" si="0"/>
        <v>#REF!</v>
      </c>
      <c r="E9" s="13">
        <v>0.03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2</v>
      </c>
      <c r="E23" s="28"/>
      <c r="F23" s="12">
        <f t="shared" ref="F23:F29" si="3">IF(A23&lt;&gt;0,VLOOKUP(A23,Equipos,6,FALSE),$J$1)</f>
        <v>3710</v>
      </c>
      <c r="G23" s="14">
        <v>0.01</v>
      </c>
      <c r="H23" s="8">
        <f t="shared" ref="H23:H29" si="4">IF(A23&lt;&gt;0,ROUND((F23/D23)*G23,2),$J$1)</f>
        <v>18.55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18.55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700</v>
      </c>
      <c r="G45" s="1222"/>
      <c r="H45" s="8">
        <f>IF(A45&lt;&gt;0,ROUND(D45/F45,2),$J$1)</f>
        <v>617.28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617.28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617.28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7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23:C23"/>
    <mergeCell ref="A24:C24"/>
    <mergeCell ref="A25:C25"/>
    <mergeCell ref="B34:C34"/>
    <mergeCell ref="A35:C35"/>
    <mergeCell ref="A36:C36"/>
    <mergeCell ref="A37:C37"/>
    <mergeCell ref="B38:C38"/>
    <mergeCell ref="A39:C39"/>
    <mergeCell ref="A40:C40"/>
    <mergeCell ref="A41:H41"/>
    <mergeCell ref="A10:C10"/>
    <mergeCell ref="A1:C1"/>
    <mergeCell ref="H1:I1"/>
    <mergeCell ref="C5:I5"/>
    <mergeCell ref="A8:C8"/>
    <mergeCell ref="A9:C9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6:C29 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1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4">
    <tabColor indexed="49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125</v>
      </c>
      <c r="B8" s="1081"/>
      <c r="C8" s="1081"/>
      <c r="D8" s="844" t="e">
        <f t="shared" ref="D8:D18" si="0">IF(A8&lt;&gt;0,VLOOKUP(A8,Materiales,2,FALSE),$J$1)</f>
        <v>#REF!</v>
      </c>
      <c r="E8" s="12">
        <v>0.04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139</v>
      </c>
      <c r="B9" s="1284"/>
      <c r="C9" s="1284"/>
      <c r="D9" s="844" t="e">
        <f t="shared" si="0"/>
        <v>#REF!</v>
      </c>
      <c r="E9" s="12">
        <v>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152</v>
      </c>
      <c r="B10" s="1081"/>
      <c r="C10" s="1081"/>
      <c r="D10" s="844" t="e">
        <f t="shared" si="0"/>
        <v>#REF!</v>
      </c>
      <c r="E10" s="12">
        <v>0.1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45</v>
      </c>
      <c r="E23" s="33"/>
      <c r="F23" s="12">
        <f t="shared" ref="F23:F29" si="3">IF(A23&lt;&gt;0,VLOOKUP(A23,Equipos,6,FALSE),$J$1)</f>
        <v>3710</v>
      </c>
      <c r="G23" s="14">
        <v>2</v>
      </c>
      <c r="H23" s="7">
        <f t="shared" ref="H23:H29" si="4">IF(A23&lt;&gt;0,ROUND((F23/D23)*G23,2),$J$1)</f>
        <v>164.89</v>
      </c>
      <c r="I23" s="69"/>
    </row>
    <row r="24" spans="1:9" x14ac:dyDescent="0.2">
      <c r="A24" s="1080" t="s">
        <v>482</v>
      </c>
      <c r="B24" s="1081"/>
      <c r="C24" s="1081"/>
      <c r="D24" s="109">
        <v>1</v>
      </c>
      <c r="E24" s="33"/>
      <c r="F24" s="12">
        <f t="shared" si="3"/>
        <v>1590</v>
      </c>
      <c r="G24" s="14">
        <v>0.25</v>
      </c>
      <c r="H24" s="7">
        <f t="shared" si="4"/>
        <v>397.5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562.39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IF(A39&lt;&gt;0,VLOOKUP(A39,Transporte,8,FALSE),$J$1)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61</v>
      </c>
      <c r="B45" s="1081"/>
      <c r="C45" s="1081"/>
      <c r="D45" s="1082">
        <f>IF(A45&lt;&gt;0,VLOOKUP(A45,Cuadrillas,7,FALSE),$J$1)</f>
        <v>378636.38</v>
      </c>
      <c r="E45" s="1082"/>
      <c r="F45" s="1083">
        <v>150</v>
      </c>
      <c r="G45" s="1083"/>
      <c r="H45" s="7">
        <f>IF(A45&lt;&gt;0,ROUND(D45/F45,2),$J$1)</f>
        <v>2524.2399999999998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2524.2399999999998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2524.2399999999998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8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5">
    <tabColor indexed="47"/>
    <pageSetUpPr fitToPage="1"/>
  </sheetPr>
  <dimension ref="A1:K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3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83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230</v>
      </c>
      <c r="B8" s="1081"/>
      <c r="C8" s="1081"/>
      <c r="D8" s="844" t="e">
        <f t="shared" ref="D8:D18" si="0">IF(A8&lt;&gt;0,VLOOKUP(A8,Materiales,2,FALSE),$J$1)</f>
        <v>#REF!</v>
      </c>
      <c r="E8" s="13">
        <f>1*0.5*0.1</f>
        <v>0.05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240</v>
      </c>
      <c r="B9" s="1284"/>
      <c r="C9" s="1284"/>
      <c r="D9" s="844" t="e">
        <f t="shared" si="0"/>
        <v>#REF!</v>
      </c>
      <c r="E9" s="12">
        <v>1.03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330</v>
      </c>
      <c r="B10" s="1081"/>
      <c r="C10" s="1081"/>
      <c r="D10" s="844" t="e">
        <f t="shared" si="0"/>
        <v>#REF!</v>
      </c>
      <c r="E10" s="12">
        <v>0.2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335</v>
      </c>
      <c r="B11" s="1081"/>
      <c r="C11" s="1081"/>
      <c r="D11" s="844" t="e">
        <f t="shared" si="0"/>
        <v>#REF!</v>
      </c>
      <c r="E11" s="12">
        <f>0.15*1*0.4</f>
        <v>0.06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7.0000000000000007E-2</v>
      </c>
      <c r="H23" s="7">
        <f t="shared" ref="H23:H29" si="4">IF(A23&lt;&gt;0,ROUND((F23/D23)*G23,2),$J$1)</f>
        <v>259.7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259.7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14</v>
      </c>
      <c r="G45" s="1083"/>
      <c r="H45" s="7">
        <f>IF(A45&lt;&gt;0,ROUND(D45/F45,2),$J$1)</f>
        <v>23517.79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23517.79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23517.79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8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5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3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</v>
      </c>
      <c r="E23" s="33"/>
      <c r="F23" s="12">
        <f t="shared" ref="F23:F29" si="3">IF(A23&lt;&gt;0,VLOOKUP(A23,Equipos,6,FALSE),$J$1)</f>
        <v>3710</v>
      </c>
      <c r="G23" s="136">
        <v>1</v>
      </c>
      <c r="H23" s="7">
        <f t="shared" ref="H23:H29" si="4">IF(A23&lt;&gt;0,ROUND((F23/D23)*G23,2),$J$1)</f>
        <v>1855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38" t="s">
        <v>2270</v>
      </c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1855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5"/>
      <c r="B34" s="1103" t="s">
        <v>2226</v>
      </c>
      <c r="C34" s="1298"/>
      <c r="D34" s="46"/>
      <c r="E34" s="47"/>
      <c r="F34" s="15"/>
      <c r="G34" s="12"/>
      <c r="H34" s="7"/>
      <c r="I34" s="343">
        <f>SUM(H35:H37)</f>
        <v>0</v>
      </c>
    </row>
    <row r="35" spans="1:9" s="525" customFormat="1" ht="24.75" customHeight="1" x14ac:dyDescent="0.2">
      <c r="A35" s="1303" t="s">
        <v>2073</v>
      </c>
      <c r="B35" s="1304"/>
      <c r="C35" s="1305"/>
      <c r="D35" s="526">
        <f>IF(A35&lt;&gt;0,VLOOKUP(A35,Transporte,8,FALSE),$J$1)</f>
        <v>0</v>
      </c>
      <c r="E35" s="527"/>
      <c r="F35" s="528">
        <f t="shared" ref="F35:F40" si="5">IF(A35&lt;&gt;0,VLOOKUP(A35,Transporte,2,FALSE),$J$1)</f>
        <v>5.5</v>
      </c>
      <c r="G35" s="515">
        <v>1.1000000000000001</v>
      </c>
      <c r="H35" s="512">
        <f t="shared" ref="H35:H40" si="6">IF(A35&lt;&gt;0,D35/F35*G35,$J$1)</f>
        <v>0</v>
      </c>
      <c r="I35" s="524"/>
    </row>
    <row r="36" spans="1:9" x14ac:dyDescent="0.2">
      <c r="A36" s="1430"/>
      <c r="B36" s="1431"/>
      <c r="C36" s="1432"/>
      <c r="D36" s="529" t="str">
        <f>IF(A36&lt;&gt;0,VLOOKUP(A36,Transporte,8,FALSE),$J$1)</f>
        <v>-</v>
      </c>
      <c r="E36" s="119"/>
      <c r="F36" s="530" t="str">
        <f t="shared" si="5"/>
        <v>-</v>
      </c>
      <c r="G36" s="510"/>
      <c r="H36" s="512" t="str">
        <f t="shared" si="6"/>
        <v>-</v>
      </c>
      <c r="I36" s="344"/>
    </row>
    <row r="37" spans="1:9" x14ac:dyDescent="0.2">
      <c r="A37" s="1210"/>
      <c r="B37" s="1211"/>
      <c r="C37" s="1212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0"/>
      <c r="B39" s="1211"/>
      <c r="C39" s="1212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0"/>
      <c r="B40" s="1211"/>
      <c r="C40" s="1212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20</v>
      </c>
      <c r="G45" s="1083"/>
      <c r="H45" s="7">
        <f>IF(A45&lt;&gt;0,ROUND(D45/F45,2),$J$1)</f>
        <v>7713.51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7713.51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1855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7713.51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9568.51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2870.5529999999999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12439.063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disablePrompts="1"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tabColor indexed="10"/>
    <pageSetUpPr fitToPage="1"/>
  </sheetPr>
  <dimension ref="A1:J57"/>
  <sheetViews>
    <sheetView workbookViewId="0">
      <selection activeCell="L9" sqref="L9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92"/>
      <c r="B1" s="93"/>
      <c r="C1" s="93"/>
      <c r="D1" s="93"/>
      <c r="E1" s="93"/>
      <c r="F1" s="93"/>
      <c r="G1" s="164"/>
      <c r="H1" s="1129"/>
      <c r="I1" s="1130"/>
      <c r="J1" s="34" t="s">
        <v>2212</v>
      </c>
    </row>
    <row r="2" spans="1:10" s="9" customFormat="1" ht="15" customHeight="1" x14ac:dyDescent="0.2">
      <c r="A2" s="102"/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84" t="str">
        <f>'Datos entrada'!B2</f>
        <v>Análisis de Precios Unitarios</v>
      </c>
      <c r="B3" s="53"/>
      <c r="C3" s="53"/>
      <c r="D3" s="53"/>
      <c r="E3" s="53"/>
      <c r="F3" s="53"/>
      <c r="G3" s="53"/>
      <c r="H3" s="53"/>
      <c r="I3" s="63"/>
    </row>
    <row r="4" spans="1:10" s="10" customFormat="1" ht="17.45" customHeight="1" x14ac:dyDescent="0.2">
      <c r="A4" s="118"/>
      <c r="B4" s="86"/>
      <c r="C4" s="86"/>
      <c r="D4" s="86"/>
      <c r="E4" s="86"/>
      <c r="F4" s="86" t="str">
        <f>'Datos entrada'!B6</f>
        <v>Presupuesto de Obra</v>
      </c>
      <c r="G4" s="86"/>
      <c r="H4" s="86"/>
      <c r="I4" s="87"/>
    </row>
    <row r="5" spans="1:10" x14ac:dyDescent="0.2">
      <c r="A5" s="91" t="s">
        <v>2213</v>
      </c>
      <c r="B5" s="160"/>
      <c r="C5" s="979"/>
      <c r="D5" s="30"/>
      <c r="E5" s="30"/>
      <c r="F5" s="30"/>
      <c r="G5" s="30"/>
      <c r="H5" s="30"/>
      <c r="I5" s="79"/>
    </row>
    <row r="6" spans="1:10" x14ac:dyDescent="0.2">
      <c r="A6" s="78" t="s">
        <v>553</v>
      </c>
      <c r="B6" s="59"/>
      <c r="C6" s="18"/>
      <c r="D6" s="900"/>
      <c r="E6" s="900"/>
      <c r="F6" s="900"/>
      <c r="G6" s="19"/>
      <c r="H6" s="54" t="s">
        <v>2214</v>
      </c>
      <c r="I6" s="65"/>
    </row>
    <row r="7" spans="1:10" s="11" customFormat="1" ht="25.5" x14ac:dyDescent="0.2">
      <c r="A7" s="66" t="s">
        <v>26</v>
      </c>
      <c r="B7" s="60"/>
      <c r="C7" s="60"/>
      <c r="D7" s="55" t="s">
        <v>2214</v>
      </c>
      <c r="E7" s="55" t="s">
        <v>2071</v>
      </c>
      <c r="F7" s="137" t="s">
        <v>2302</v>
      </c>
      <c r="G7" s="56"/>
      <c r="H7" s="57" t="s">
        <v>2216</v>
      </c>
      <c r="I7" s="72"/>
    </row>
    <row r="8" spans="1:10" x14ac:dyDescent="0.2">
      <c r="A8" s="1080"/>
      <c r="B8" s="1081"/>
      <c r="C8" s="1081"/>
      <c r="D8" s="844"/>
      <c r="E8" s="12"/>
      <c r="F8" s="58"/>
      <c r="G8" s="58"/>
      <c r="H8" s="7"/>
      <c r="I8" s="69"/>
    </row>
    <row r="9" spans="1:10" ht="12.75" customHeight="1" x14ac:dyDescent="0.2">
      <c r="A9" s="1218"/>
      <c r="B9" s="1219"/>
      <c r="C9" s="1219"/>
      <c r="D9" s="844"/>
      <c r="E9" s="12"/>
      <c r="F9" s="58"/>
      <c r="G9" s="58"/>
      <c r="H9" s="7"/>
      <c r="I9" s="69"/>
    </row>
    <row r="10" spans="1:10" x14ac:dyDescent="0.2">
      <c r="A10" s="1080"/>
      <c r="B10" s="1081"/>
      <c r="C10" s="1081"/>
      <c r="D10" s="844"/>
      <c r="E10" s="12"/>
      <c r="F10" s="58"/>
      <c r="G10" s="58"/>
      <c r="H10" s="7"/>
      <c r="I10" s="69"/>
    </row>
    <row r="11" spans="1:10" x14ac:dyDescent="0.2">
      <c r="A11" s="1080"/>
      <c r="B11" s="1081"/>
      <c r="C11" s="1081"/>
      <c r="D11" s="844"/>
      <c r="E11" s="12"/>
      <c r="F11" s="58"/>
      <c r="G11" s="58"/>
      <c r="H11" s="7"/>
      <c r="I11" s="69"/>
    </row>
    <row r="12" spans="1:10" x14ac:dyDescent="0.2">
      <c r="A12" s="1080"/>
      <c r="B12" s="1081"/>
      <c r="C12" s="1081"/>
      <c r="D12" s="844"/>
      <c r="E12" s="12"/>
      <c r="F12" s="58"/>
      <c r="G12" s="58"/>
      <c r="H12" s="7"/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/>
      <c r="I13" s="69"/>
    </row>
    <row r="14" spans="1:10" x14ac:dyDescent="0.2">
      <c r="A14" s="1080"/>
      <c r="B14" s="1081"/>
      <c r="C14" s="1081"/>
      <c r="D14" s="844" t="str">
        <f>IF(A14&lt;&gt;0,VLOOKUP(A14,Materiales,2,FALSE),$J$1)</f>
        <v>-</v>
      </c>
      <c r="E14" s="12"/>
      <c r="F14" s="58" t="str">
        <f>IF(A14&lt;&gt;0,VLOOKUP(A14,Materiales,6,FALSE),$J$1)</f>
        <v>-</v>
      </c>
      <c r="G14" s="58"/>
      <c r="H14" s="7" t="str">
        <f>IF(A14&lt;&gt;0,ROUND(E14*F14,2),$J$1)</f>
        <v>-</v>
      </c>
      <c r="I14" s="69"/>
    </row>
    <row r="15" spans="1:10" x14ac:dyDescent="0.2">
      <c r="A15" s="1080"/>
      <c r="B15" s="1081"/>
      <c r="C15" s="1081"/>
      <c r="D15" s="844" t="str">
        <f>IF(A15&lt;&gt;0,VLOOKUP(A15,Materiales,2,FALSE),$J$1)</f>
        <v>-</v>
      </c>
      <c r="E15" s="12"/>
      <c r="F15" s="58" t="str">
        <f>IF(A15&lt;&gt;0,VLOOKUP(A15,Materiales,6,FALSE),$J$1)</f>
        <v>-</v>
      </c>
      <c r="G15" s="58"/>
      <c r="H15" s="7" t="str">
        <f>IF(A15&lt;&gt;0,ROUND(E15*F15,2),$J$1)</f>
        <v>-</v>
      </c>
      <c r="I15" s="69"/>
    </row>
    <row r="16" spans="1:10" x14ac:dyDescent="0.2">
      <c r="A16" s="1080"/>
      <c r="B16" s="1081"/>
      <c r="C16" s="1081"/>
      <c r="D16" s="844" t="str">
        <f>IF(A16&lt;&gt;0,VLOOKUP(A16,Materiales,2,FALSE),$J$1)</f>
        <v>-</v>
      </c>
      <c r="E16" s="12"/>
      <c r="F16" s="58" t="str">
        <f>IF(A16&lt;&gt;0,VLOOKUP(A16,Materiales,5,FALSE),$J$1)</f>
        <v>-</v>
      </c>
      <c r="G16" s="58"/>
      <c r="H16" s="7" t="str">
        <f>IF(A16&lt;&gt;0,ROUND(E16*F16,2),$J$1)</f>
        <v>-</v>
      </c>
      <c r="I16" s="69"/>
    </row>
    <row r="17" spans="1:9" x14ac:dyDescent="0.2">
      <c r="A17" s="1080"/>
      <c r="B17" s="1081"/>
      <c r="C17" s="1081"/>
      <c r="D17" s="844" t="str">
        <f>IF(A17&lt;&gt;0,VLOOKUP(A17,Materiales,2,FALSE),$J$1)</f>
        <v>-</v>
      </c>
      <c r="E17" s="12"/>
      <c r="F17" s="58" t="str">
        <f>IF(A17&lt;&gt;0,VLOOKUP(A17,Materiales,5,FALSE),$J$1)</f>
        <v>-</v>
      </c>
      <c r="G17" s="58"/>
      <c r="H17" s="7" t="str">
        <f>IF(A17&lt;&gt;0,ROUND(E17*F17,2),$J$1)</f>
        <v>-</v>
      </c>
      <c r="I17" s="69"/>
    </row>
    <row r="18" spans="1:9" x14ac:dyDescent="0.2">
      <c r="A18" s="1080"/>
      <c r="B18" s="1081"/>
      <c r="C18" s="1081"/>
      <c r="D18" s="844" t="str">
        <f>IF(A18&lt;&gt;0,VLOOKUP(A18,Materiales,2,FALSE),$J$1)</f>
        <v>-</v>
      </c>
      <c r="E18" s="12"/>
      <c r="F18" s="58" t="str">
        <f>IF(A18&lt;&gt;0,VLOOKUP(A18,Materiales,5,FALSE),$J$1)</f>
        <v>-</v>
      </c>
      <c r="G18" s="58"/>
      <c r="H18" s="7" t="str">
        <f>IF(A18&lt;&gt;0,ROUND(E18*F18,2),$J$1)</f>
        <v>-</v>
      </c>
      <c r="I18" s="73"/>
    </row>
    <row r="19" spans="1:9" x14ac:dyDescent="0.2">
      <c r="A19" s="848" t="s">
        <v>2217</v>
      </c>
      <c r="B19" s="849"/>
      <c r="C19" s="849"/>
      <c r="D19" s="3"/>
      <c r="E19" s="872"/>
      <c r="F19" s="872"/>
      <c r="G19" s="872"/>
      <c r="H19" s="873"/>
      <c r="I19" s="70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99" t="s">
        <v>454</v>
      </c>
      <c r="B21" s="900"/>
      <c r="C21" s="900"/>
      <c r="D21" s="900"/>
      <c r="E21" s="900"/>
      <c r="F21" s="900"/>
      <c r="G21" s="900"/>
      <c r="H21" s="900"/>
      <c r="I21" s="80"/>
    </row>
    <row r="22" spans="1:9" s="9" customFormat="1" ht="25.5" x14ac:dyDescent="0.2">
      <c r="A22" s="71" t="s">
        <v>26</v>
      </c>
      <c r="B22" s="56"/>
      <c r="C22" s="56"/>
      <c r="D22" s="56" t="s">
        <v>2218</v>
      </c>
      <c r="E22" s="56"/>
      <c r="F22" s="137" t="s">
        <v>2219</v>
      </c>
      <c r="G22" s="57" t="s">
        <v>2220</v>
      </c>
      <c r="H22" s="57" t="s">
        <v>2216</v>
      </c>
      <c r="I22" s="72"/>
    </row>
    <row r="23" spans="1:9" x14ac:dyDescent="0.2">
      <c r="A23" s="1080"/>
      <c r="B23" s="1081"/>
      <c r="C23" s="1081"/>
      <c r="D23" s="33"/>
      <c r="E23" s="33"/>
      <c r="F23" s="12"/>
      <c r="G23" s="14"/>
      <c r="H23" s="7"/>
      <c r="I23" s="69"/>
    </row>
    <row r="24" spans="1:9" x14ac:dyDescent="0.2">
      <c r="A24" s="1080"/>
      <c r="B24" s="1081"/>
      <c r="C24" s="1081"/>
      <c r="D24" s="33"/>
      <c r="E24" s="33"/>
      <c r="F24" s="12"/>
      <c r="G24" s="14"/>
      <c r="H24" s="7"/>
      <c r="I24" s="69"/>
    </row>
    <row r="25" spans="1:9" x14ac:dyDescent="0.2">
      <c r="A25" s="1080"/>
      <c r="B25" s="1081"/>
      <c r="C25" s="1081"/>
      <c r="D25" s="33"/>
      <c r="E25" s="33"/>
      <c r="F25" s="12"/>
      <c r="G25" s="14"/>
      <c r="H25" s="7"/>
      <c r="I25" s="69"/>
    </row>
    <row r="26" spans="1:9" x14ac:dyDescent="0.2">
      <c r="A26" s="1080"/>
      <c r="B26" s="1081"/>
      <c r="C26" s="1081"/>
      <c r="D26" s="33"/>
      <c r="E26" s="33"/>
      <c r="F26" s="12"/>
      <c r="G26" s="14"/>
      <c r="H26" s="7"/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/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/>
      <c r="I28" s="69"/>
    </row>
    <row r="29" spans="1:9" x14ac:dyDescent="0.2">
      <c r="A29" s="1080"/>
      <c r="B29" s="1081"/>
      <c r="C29" s="1081"/>
      <c r="D29" s="33"/>
      <c r="E29" s="33"/>
      <c r="F29" s="12"/>
      <c r="G29" s="14"/>
      <c r="H29" s="7"/>
      <c r="I29" s="73"/>
    </row>
    <row r="30" spans="1:9" x14ac:dyDescent="0.2">
      <c r="A30" s="905" t="s">
        <v>2221</v>
      </c>
      <c r="B30" s="854"/>
      <c r="C30" s="854"/>
      <c r="D30" s="3"/>
      <c r="E30" s="872"/>
      <c r="F30" s="872"/>
      <c r="G30" s="872"/>
      <c r="H30" s="873"/>
      <c r="I30" s="70">
        <f>SUM(H23:H29)</f>
        <v>0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78" t="s">
        <v>2222</v>
      </c>
      <c r="B32" s="59"/>
      <c r="C32" s="18"/>
      <c r="D32" s="900"/>
      <c r="E32" s="900"/>
      <c r="F32" s="900"/>
      <c r="G32" s="900"/>
      <c r="H32" s="900"/>
      <c r="I32" s="901"/>
    </row>
    <row r="33" spans="1:9" s="9" customFormat="1" ht="25.5" x14ac:dyDescent="0.2">
      <c r="A33" s="81" t="s">
        <v>26</v>
      </c>
      <c r="B33" s="62"/>
      <c r="C33" s="62"/>
      <c r="D33" s="45" t="s">
        <v>2223</v>
      </c>
      <c r="E33" s="45"/>
      <c r="F33" s="44" t="s">
        <v>2224</v>
      </c>
      <c r="G33" s="44" t="s">
        <v>2225</v>
      </c>
      <c r="H33" s="906" t="s">
        <v>2216</v>
      </c>
      <c r="I33" s="72"/>
    </row>
    <row r="34" spans="1:9" x14ac:dyDescent="0.2">
      <c r="A34" s="1080"/>
      <c r="B34" s="1081"/>
      <c r="C34" s="1081"/>
      <c r="D34" s="61" t="str">
        <f>IF(A34&lt;&gt;0,VLOOKUP(A34,Transporte,8,FALSE),$J$1)</f>
        <v>-</v>
      </c>
      <c r="E34" s="61"/>
      <c r="F34" s="15"/>
      <c r="G34" s="12"/>
      <c r="H34" s="7" t="str">
        <f t="shared" ref="H34:H40" si="0">IF(A34&lt;&gt;0,D34/F34*G34,$J$1)</f>
        <v>-</v>
      </c>
      <c r="I34" s="69"/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1">IF(A35&lt;&gt;0,VLOOKUP(A35,Transporte,2,FALSE),$J$1)</f>
        <v>-</v>
      </c>
      <c r="G35" s="12"/>
      <c r="H35" s="7" t="str">
        <f t="shared" si="0"/>
        <v>-</v>
      </c>
      <c r="I35" s="69"/>
    </row>
    <row r="36" spans="1:9" x14ac:dyDescent="0.2">
      <c r="A36" s="848"/>
      <c r="B36" s="849"/>
      <c r="C36" s="849"/>
      <c r="D36" s="61"/>
      <c r="E36" s="61"/>
      <c r="F36" s="15" t="str">
        <f t="shared" si="1"/>
        <v>-</v>
      </c>
      <c r="G36" s="12"/>
      <c r="H36" s="7" t="str">
        <f t="shared" si="0"/>
        <v>-</v>
      </c>
      <c r="I36" s="69"/>
    </row>
    <row r="37" spans="1:9" x14ac:dyDescent="0.2">
      <c r="A37" s="848"/>
      <c r="B37" s="849"/>
      <c r="C37" s="849"/>
      <c r="D37" s="61"/>
      <c r="E37" s="61"/>
      <c r="F37" s="15" t="str">
        <f t="shared" si="1"/>
        <v>-</v>
      </c>
      <c r="G37" s="12"/>
      <c r="H37" s="7" t="str">
        <f t="shared" si="0"/>
        <v>-</v>
      </c>
      <c r="I37" s="69"/>
    </row>
    <row r="38" spans="1:9" x14ac:dyDescent="0.2">
      <c r="A38" s="848"/>
      <c r="B38" s="849"/>
      <c r="C38" s="849"/>
      <c r="D38" s="61"/>
      <c r="E38" s="61"/>
      <c r="F38" s="15" t="str">
        <f t="shared" si="1"/>
        <v>-</v>
      </c>
      <c r="G38" s="12"/>
      <c r="H38" s="7" t="str">
        <f t="shared" si="0"/>
        <v>-</v>
      </c>
      <c r="I38" s="69"/>
    </row>
    <row r="39" spans="1:9" x14ac:dyDescent="0.2">
      <c r="A39" s="848"/>
      <c r="B39" s="849"/>
      <c r="C39" s="849"/>
      <c r="D39" s="61"/>
      <c r="E39" s="61"/>
      <c r="F39" s="15" t="str">
        <f t="shared" si="1"/>
        <v>-</v>
      </c>
      <c r="G39" s="12"/>
      <c r="H39" s="7" t="str">
        <f t="shared" si="0"/>
        <v>-</v>
      </c>
      <c r="I39" s="69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1"/>
        <v>-</v>
      </c>
      <c r="G40" s="12"/>
      <c r="H40" s="7" t="str">
        <f t="shared" si="0"/>
        <v>-</v>
      </c>
      <c r="I40" s="73"/>
    </row>
    <row r="41" spans="1:9" x14ac:dyDescent="0.2">
      <c r="A41" s="1438" t="s">
        <v>2390</v>
      </c>
      <c r="B41" s="1107"/>
      <c r="C41" s="1107"/>
      <c r="D41" s="1107"/>
      <c r="E41" s="1107"/>
      <c r="F41" s="1107"/>
      <c r="G41" s="1107"/>
      <c r="H41" s="1107"/>
      <c r="I41" s="70">
        <f>SUM(H34:H40)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387" t="s">
        <v>554</v>
      </c>
      <c r="B43" s="1388"/>
      <c r="C43" s="1388"/>
      <c r="D43" s="1388"/>
      <c r="E43" s="1388"/>
      <c r="F43" s="1388"/>
      <c r="G43" s="1388"/>
      <c r="H43" s="1388"/>
      <c r="I43" s="1389"/>
    </row>
    <row r="44" spans="1:9" s="9" customFormat="1" ht="25.5" x14ac:dyDescent="0.2">
      <c r="A44" s="1436" t="s">
        <v>2229</v>
      </c>
      <c r="B44" s="1437"/>
      <c r="C44" s="1437"/>
      <c r="D44" s="1435" t="s">
        <v>2230</v>
      </c>
      <c r="E44" s="1435"/>
      <c r="F44" s="1435" t="s">
        <v>2218</v>
      </c>
      <c r="G44" s="1435"/>
      <c r="H44" s="906" t="s">
        <v>2216</v>
      </c>
      <c r="I44" s="72"/>
    </row>
    <row r="45" spans="1:9" x14ac:dyDescent="0.2">
      <c r="A45" s="1080"/>
      <c r="B45" s="1081"/>
      <c r="C45" s="1081"/>
      <c r="D45" s="1082"/>
      <c r="E45" s="1082"/>
      <c r="F45" s="1083"/>
      <c r="G45" s="1083"/>
      <c r="H45" s="7"/>
      <c r="I45" s="69"/>
    </row>
    <row r="46" spans="1:9" x14ac:dyDescent="0.2">
      <c r="A46" s="1080"/>
      <c r="B46" s="1081"/>
      <c r="C46" s="1081"/>
      <c r="D46" s="1082"/>
      <c r="E46" s="1082"/>
      <c r="F46" s="1083"/>
      <c r="G46" s="1083"/>
      <c r="H46" s="7"/>
      <c r="I46" s="69"/>
    </row>
    <row r="47" spans="1:9" x14ac:dyDescent="0.2">
      <c r="A47" s="1080"/>
      <c r="B47" s="1081"/>
      <c r="C47" s="1081"/>
      <c r="D47" s="1082"/>
      <c r="E47" s="1082"/>
      <c r="F47" s="1083"/>
      <c r="G47" s="1083"/>
      <c r="H47" s="7"/>
      <c r="I47" s="69"/>
    </row>
    <row r="48" spans="1:9" x14ac:dyDescent="0.2">
      <c r="A48" s="1080"/>
      <c r="B48" s="1081"/>
      <c r="C48" s="1081"/>
      <c r="D48" s="1082"/>
      <c r="E48" s="1082"/>
      <c r="F48" s="1083"/>
      <c r="G48" s="1083"/>
      <c r="H48" s="7"/>
      <c r="I48" s="69"/>
    </row>
    <row r="49" spans="1:9" x14ac:dyDescent="0.2">
      <c r="A49" s="1080"/>
      <c r="B49" s="1081"/>
      <c r="C49" s="1081"/>
      <c r="D49" s="1082"/>
      <c r="E49" s="1082"/>
      <c r="F49" s="1083"/>
      <c r="G49" s="1083"/>
      <c r="H49" s="7"/>
      <c r="I49" s="69"/>
    </row>
    <row r="50" spans="1:9" x14ac:dyDescent="0.2">
      <c r="A50" s="1438" t="s">
        <v>2231</v>
      </c>
      <c r="B50" s="1107"/>
      <c r="C50" s="1107"/>
      <c r="D50" s="1107"/>
      <c r="E50" s="1107"/>
      <c r="F50" s="1107"/>
      <c r="G50" s="1107"/>
      <c r="H50" s="1107"/>
      <c r="I50" s="82">
        <f>SUM(H45:H49)</f>
        <v>0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387" t="s">
        <v>2232</v>
      </c>
      <c r="B52" s="1388"/>
      <c r="C52" s="1388"/>
      <c r="D52" s="1388"/>
      <c r="E52" s="1388"/>
      <c r="F52" s="1388"/>
      <c r="G52" s="1388"/>
      <c r="H52" s="1388"/>
      <c r="I52" s="74">
        <f>I19+I30+I41</f>
        <v>0</v>
      </c>
    </row>
    <row r="53" spans="1:9" ht="13.5" thickBot="1" x14ac:dyDescent="0.25">
      <c r="A53" s="1433" t="s">
        <v>2233</v>
      </c>
      <c r="B53" s="1434"/>
      <c r="C53" s="1434"/>
      <c r="D53" s="1434"/>
      <c r="E53" s="1434"/>
      <c r="F53" s="1434"/>
      <c r="G53" s="1434"/>
      <c r="H53" s="1434"/>
      <c r="I53" s="75">
        <f>I50</f>
        <v>0</v>
      </c>
    </row>
    <row r="54" spans="1:9" s="9" customFormat="1" ht="25.5" customHeight="1" thickTop="1" thickBot="1" x14ac:dyDescent="0.25">
      <c r="A54" s="1095" t="s">
        <v>2234</v>
      </c>
      <c r="B54" s="1096"/>
      <c r="C54" s="1096"/>
      <c r="D54" s="1096"/>
      <c r="E54" s="1096"/>
      <c r="F54" s="1096"/>
      <c r="G54" s="1096"/>
      <c r="H54" s="16"/>
      <c r="I54" s="17">
        <f>I52+I53</f>
        <v>0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0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0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activeCell="L9" sqref="L9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1">
    <mergeCell ref="A52:H52"/>
    <mergeCell ref="A51:I51"/>
    <mergeCell ref="A50:H50"/>
    <mergeCell ref="F46:G46"/>
    <mergeCell ref="A46:C46"/>
    <mergeCell ref="D46:E46"/>
    <mergeCell ref="F44:G44"/>
    <mergeCell ref="F45:G45"/>
    <mergeCell ref="A43:I43"/>
    <mergeCell ref="A25:C25"/>
    <mergeCell ref="A26:C26"/>
    <mergeCell ref="D45:E45"/>
    <mergeCell ref="A44:C44"/>
    <mergeCell ref="A45:C45"/>
    <mergeCell ref="D44:E44"/>
    <mergeCell ref="A34:C34"/>
    <mergeCell ref="A27:C27"/>
    <mergeCell ref="A28:C28"/>
    <mergeCell ref="A29:C29"/>
    <mergeCell ref="A41:H41"/>
    <mergeCell ref="A42:I42"/>
    <mergeCell ref="A56:G56"/>
    <mergeCell ref="H56:I56"/>
    <mergeCell ref="A47:C47"/>
    <mergeCell ref="A48:C48"/>
    <mergeCell ref="D47:E47"/>
    <mergeCell ref="F47:G47"/>
    <mergeCell ref="A49:C49"/>
    <mergeCell ref="D48:E48"/>
    <mergeCell ref="A53:H53"/>
    <mergeCell ref="F49:G49"/>
    <mergeCell ref="F48:G48"/>
    <mergeCell ref="D49:E49"/>
    <mergeCell ref="F55:I55"/>
    <mergeCell ref="A55:C55"/>
    <mergeCell ref="D55:E55"/>
    <mergeCell ref="A54:G54"/>
    <mergeCell ref="A14:C14"/>
    <mergeCell ref="H1:I1"/>
    <mergeCell ref="A23:C23"/>
    <mergeCell ref="A24:C24"/>
    <mergeCell ref="A15:C15"/>
    <mergeCell ref="A16:C16"/>
    <mergeCell ref="A17:C17"/>
    <mergeCell ref="A18:C18"/>
    <mergeCell ref="A8:C8"/>
    <mergeCell ref="A9:C9"/>
    <mergeCell ref="A10:C10"/>
    <mergeCell ref="A11:C11"/>
    <mergeCell ref="A12:C12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>
    <tabColor indexed="50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2297</v>
      </c>
      <c r="C5" s="267" t="s">
        <v>2319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114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271</v>
      </c>
      <c r="B8" s="1081"/>
      <c r="C8" s="1081"/>
      <c r="D8" s="844" t="e">
        <f t="shared" ref="D8:D18" si="0">IF(A8&lt;&gt;0,VLOOKUP(A8,Materiales,2,FALSE),$J$1)</f>
        <v>#REF!</v>
      </c>
      <c r="E8" s="12">
        <v>0.08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354</v>
      </c>
      <c r="B9" s="1219"/>
      <c r="C9" s="1219"/>
      <c r="D9" s="844" t="e">
        <f t="shared" si="0"/>
        <v>#REF!</v>
      </c>
      <c r="E9" s="12">
        <v>0.22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2320</v>
      </c>
      <c r="B10" s="1081"/>
      <c r="C10" s="1081"/>
      <c r="D10" s="844" t="e">
        <f t="shared" si="0"/>
        <v>#REF!</v>
      </c>
      <c r="E10" s="12">
        <v>0.02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246</v>
      </c>
      <c r="B11" s="1081"/>
      <c r="C11" s="1081"/>
      <c r="D11" s="844" t="e">
        <f t="shared" si="0"/>
        <v>#REF!</v>
      </c>
      <c r="E11" s="12">
        <v>0.02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166</v>
      </c>
      <c r="B12" s="1081"/>
      <c r="C12" s="1081"/>
      <c r="D12" s="844" t="e">
        <f t="shared" si="0"/>
        <v>#REF!</v>
      </c>
      <c r="E12" s="12">
        <v>0.6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470</v>
      </c>
      <c r="B23" s="1081"/>
      <c r="C23" s="1081"/>
      <c r="D23" s="33">
        <v>35</v>
      </c>
      <c r="E23" s="33"/>
      <c r="F23" s="12">
        <f t="shared" ref="F23:F29" si="3">IF(A23&lt;&gt;0,VLOOKUP(A23,Equipos,6,FALSE),$J$1)</f>
        <v>32012</v>
      </c>
      <c r="G23" s="14">
        <v>1</v>
      </c>
      <c r="H23" s="7">
        <f t="shared" ref="H23:H29" si="4">IF(A23&lt;&gt;0,ROUND((F23/D23)*G23,2),$J$1)</f>
        <v>914.63</v>
      </c>
      <c r="I23" s="69"/>
    </row>
    <row r="24" spans="1:9" x14ac:dyDescent="0.2">
      <c r="A24" s="1080" t="s">
        <v>467</v>
      </c>
      <c r="B24" s="1081"/>
      <c r="C24" s="1081"/>
      <c r="D24" s="33">
        <v>40</v>
      </c>
      <c r="E24" s="33"/>
      <c r="F24" s="12">
        <f t="shared" si="3"/>
        <v>24592</v>
      </c>
      <c r="G24" s="14">
        <v>1</v>
      </c>
      <c r="H24" s="7">
        <f t="shared" si="4"/>
        <v>614.79999999999995</v>
      </c>
      <c r="I24" s="69"/>
    </row>
    <row r="25" spans="1:9" x14ac:dyDescent="0.2">
      <c r="A25" s="1080" t="s">
        <v>461</v>
      </c>
      <c r="B25" s="1081"/>
      <c r="C25" s="1081"/>
      <c r="D25" s="33">
        <v>40</v>
      </c>
      <c r="E25" s="33"/>
      <c r="F25" s="12">
        <f t="shared" si="3"/>
        <v>127200</v>
      </c>
      <c r="G25" s="14">
        <v>1</v>
      </c>
      <c r="H25" s="7">
        <f t="shared" si="4"/>
        <v>3180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4709.43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12">
        <f>SUM(H35:H37)</f>
        <v>0</v>
      </c>
    </row>
    <row r="35" spans="1:9" x14ac:dyDescent="0.2">
      <c r="A35" s="1086"/>
      <c r="B35" s="1087"/>
      <c r="C35" s="111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69"/>
    </row>
    <row r="36" spans="1:9" x14ac:dyDescent="0.2">
      <c r="A36" s="1086"/>
      <c r="B36" s="1087"/>
      <c r="C36" s="111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69"/>
    </row>
    <row r="37" spans="1:9" x14ac:dyDescent="0.2">
      <c r="A37" s="1086"/>
      <c r="B37" s="1087"/>
      <c r="C37" s="1119"/>
      <c r="D37" s="61" t="str">
        <f>IF(A26&lt;&gt;0,VLOOKUP(A37,Transporte,8,FALSE),$J$1)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12">
        <f>SUM(H39:H40)</f>
        <v>0</v>
      </c>
    </row>
    <row r="39" spans="1:9" x14ac:dyDescent="0.2">
      <c r="A39" s="1086"/>
      <c r="B39" s="1087"/>
      <c r="C39" s="111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40</v>
      </c>
      <c r="G45" s="1083"/>
      <c r="H45" s="7">
        <f>IF(A45&lt;&gt;0,ROUND(D45/F45,2),$J$1)</f>
        <v>5386.87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5386.87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5386.87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6:C36"/>
    <mergeCell ref="A37:C37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A39:C39"/>
    <mergeCell ref="A40:C40"/>
    <mergeCell ref="B34:C34"/>
    <mergeCell ref="B38:C38"/>
    <mergeCell ref="A35:C35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indexed="5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s">
        <v>2297</v>
      </c>
      <c r="C5" s="267" t="s">
        <v>2321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114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271</v>
      </c>
      <c r="B8" s="1081"/>
      <c r="C8" s="1081"/>
      <c r="D8" s="844" t="e">
        <f t="shared" ref="D8:D18" si="0">IF(A8&lt;&gt;0,VLOOKUP(A8,Materiales,2,FALSE),$J$1)</f>
        <v>#REF!</v>
      </c>
      <c r="E8" s="12">
        <v>0.08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 t="s">
        <v>354</v>
      </c>
      <c r="B9" s="1219"/>
      <c r="C9" s="1219"/>
      <c r="D9" s="844" t="e">
        <f t="shared" si="0"/>
        <v>#REF!</v>
      </c>
      <c r="E9" s="12">
        <v>0.22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2320</v>
      </c>
      <c r="B10" s="1081"/>
      <c r="C10" s="1081"/>
      <c r="D10" s="844" t="e">
        <f t="shared" si="0"/>
        <v>#REF!</v>
      </c>
      <c r="E10" s="12">
        <v>0.02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246</v>
      </c>
      <c r="B11" s="1081"/>
      <c r="C11" s="1081"/>
      <c r="D11" s="844" t="e">
        <f t="shared" si="0"/>
        <v>#REF!</v>
      </c>
      <c r="E11" s="12">
        <v>0.02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470</v>
      </c>
      <c r="B23" s="1081"/>
      <c r="C23" s="1081"/>
      <c r="D23" s="33">
        <v>35</v>
      </c>
      <c r="E23" s="33"/>
      <c r="F23" s="12">
        <f t="shared" ref="F23:F29" si="3">IF(A23&lt;&gt;0,VLOOKUP(A23,Equipos,6,FALSE),$J$1)</f>
        <v>32012</v>
      </c>
      <c r="G23" s="14">
        <v>1</v>
      </c>
      <c r="H23" s="7">
        <f t="shared" ref="H23:H29" si="4">IF(A23&lt;&gt;0,ROUND((F23/D23)*G23,2),$J$1)</f>
        <v>914.63</v>
      </c>
      <c r="I23" s="69"/>
    </row>
    <row r="24" spans="1:9" x14ac:dyDescent="0.2">
      <c r="A24" s="1080" t="s">
        <v>467</v>
      </c>
      <c r="B24" s="1081"/>
      <c r="C24" s="1081"/>
      <c r="D24" s="33">
        <v>40</v>
      </c>
      <c r="E24" s="33"/>
      <c r="F24" s="12">
        <f t="shared" si="3"/>
        <v>24592</v>
      </c>
      <c r="G24" s="14">
        <v>1</v>
      </c>
      <c r="H24" s="7">
        <f t="shared" si="4"/>
        <v>614.79999999999995</v>
      </c>
      <c r="I24" s="69"/>
    </row>
    <row r="25" spans="1:9" x14ac:dyDescent="0.2">
      <c r="A25" s="1080" t="s">
        <v>461</v>
      </c>
      <c r="B25" s="1081"/>
      <c r="C25" s="1081"/>
      <c r="D25" s="33">
        <v>40</v>
      </c>
      <c r="E25" s="33"/>
      <c r="F25" s="12">
        <f t="shared" si="3"/>
        <v>127200</v>
      </c>
      <c r="G25" s="14">
        <v>1</v>
      </c>
      <c r="H25" s="7">
        <f t="shared" si="4"/>
        <v>3180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4709.43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12">
        <f>SUM(H35:H37)</f>
        <v>0</v>
      </c>
    </row>
    <row r="35" spans="1:9" x14ac:dyDescent="0.2">
      <c r="A35" s="1086"/>
      <c r="B35" s="1087"/>
      <c r="C35" s="111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69"/>
    </row>
    <row r="36" spans="1:9" x14ac:dyDescent="0.2">
      <c r="A36" s="1086"/>
      <c r="B36" s="1087"/>
      <c r="C36" s="111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69"/>
    </row>
    <row r="37" spans="1:9" x14ac:dyDescent="0.2">
      <c r="A37" s="1086"/>
      <c r="B37" s="1087"/>
      <c r="C37" s="1119"/>
      <c r="D37" s="61" t="str">
        <f>IF(A26&lt;&gt;0,VLOOKUP(A37,Transporte,8,FALSE),$J$1)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12">
        <f>SUM(H39:H40)</f>
        <v>0</v>
      </c>
    </row>
    <row r="39" spans="1:9" x14ac:dyDescent="0.2">
      <c r="A39" s="1086"/>
      <c r="B39" s="1087"/>
      <c r="C39" s="111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SUM(H34:H40)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57</v>
      </c>
      <c r="B45" s="1081"/>
      <c r="C45" s="1081"/>
      <c r="D45" s="1082">
        <f>IF(A45&lt;&gt;0,VLOOKUP(A45,Cuadrillas,7,FALSE),$J$1)</f>
        <v>215474.96249999999</v>
      </c>
      <c r="E45" s="1082"/>
      <c r="F45" s="1083">
        <v>40</v>
      </c>
      <c r="G45" s="1083"/>
      <c r="H45" s="7">
        <f>IF(A45&lt;&gt;0,ROUND(D45/F45,2),$J$1)</f>
        <v>5386.87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5386.87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5386.87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0:C10"/>
    <mergeCell ref="A11:C11"/>
    <mergeCell ref="A12:C12"/>
    <mergeCell ref="A14:C14"/>
    <mergeCell ref="A23:C23"/>
    <mergeCell ref="D46:E46"/>
    <mergeCell ref="A13:C13"/>
    <mergeCell ref="F44:G44"/>
    <mergeCell ref="A51:I51"/>
    <mergeCell ref="F45:G45"/>
    <mergeCell ref="A43:I43"/>
    <mergeCell ref="F48:G48"/>
    <mergeCell ref="D49:E49"/>
    <mergeCell ref="F46:G46"/>
    <mergeCell ref="A46:C46"/>
    <mergeCell ref="A39:C39"/>
    <mergeCell ref="A40:C40"/>
    <mergeCell ref="B34:C34"/>
    <mergeCell ref="B38:C38"/>
    <mergeCell ref="A35:C35"/>
    <mergeCell ref="A36:C36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A1:C1"/>
    <mergeCell ref="A37:C37"/>
    <mergeCell ref="A29:C29"/>
    <mergeCell ref="A8:C8"/>
    <mergeCell ref="A9:C9"/>
    <mergeCell ref="A50:H50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A53:H53"/>
    <mergeCell ref="A54:G54"/>
    <mergeCell ref="A52:H52"/>
    <mergeCell ref="A24:C24"/>
    <mergeCell ref="A15:C15"/>
    <mergeCell ref="A16:C16"/>
    <mergeCell ref="A17:C17"/>
    <mergeCell ref="A18:C18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indexed="27"/>
    <pageSetUpPr fitToPage="1"/>
  </sheetPr>
  <dimension ref="A1:J60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/>
    </row>
    <row r="2" spans="1:10" s="9" customFormat="1" ht="15" customHeight="1" x14ac:dyDescent="0.2">
      <c r="A2" s="1204" t="str">
        <f>+'Datos entrada'!B8</f>
        <v>CORREGIMIENTO DE LAS MESAS-MUNICIPIO DETABLON DE GOMES (N)</v>
      </c>
      <c r="B2" s="1205"/>
      <c r="C2" s="1205"/>
      <c r="D2" s="1205"/>
      <c r="E2" s="1205"/>
      <c r="F2" s="1205"/>
      <c r="G2" s="1205"/>
      <c r="H2" s="1205"/>
      <c r="I2" s="1206"/>
      <c r="J2" s="34"/>
    </row>
    <row r="3" spans="1:10" s="9" customFormat="1" ht="21" customHeight="1" x14ac:dyDescent="0.2">
      <c r="A3" s="1280" t="str">
        <f>'Datos entrada'!B2</f>
        <v>Análisis de Precios Unitarios</v>
      </c>
      <c r="B3" s="1281"/>
      <c r="C3" s="1281"/>
      <c r="D3" s="1281"/>
      <c r="E3" s="1281"/>
      <c r="F3" s="1281"/>
      <c r="G3" s="1281"/>
      <c r="H3" s="1281"/>
      <c r="I3" s="1282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6" t="s">
        <v>2322</v>
      </c>
      <c r="C5" s="267" t="s">
        <v>2323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110</v>
      </c>
    </row>
    <row r="7" spans="1:10" s="11" customFormat="1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2292</v>
      </c>
      <c r="G7" s="225"/>
      <c r="H7" s="858" t="s">
        <v>2293</v>
      </c>
      <c r="I7" s="72"/>
    </row>
    <row r="8" spans="1:10" x14ac:dyDescent="0.2">
      <c r="A8" s="1080" t="s">
        <v>229</v>
      </c>
      <c r="B8" s="1081"/>
      <c r="C8" s="1081"/>
      <c r="D8" s="844" t="e">
        <f t="shared" ref="D8:D20" si="0">IF(A8&lt;&gt;0,VLOOKUP(A8,Materiales,2,FALSE),$J$1)</f>
        <v>#REF!</v>
      </c>
      <c r="E8" s="12">
        <v>2.76</v>
      </c>
      <c r="F8" s="58" t="e">
        <f t="shared" ref="F8:F21" si="1">IF(A8&lt;&gt;0,VLOOKUP(A8,Materiales,6,FALSE),$J$1)</f>
        <v>#REF!</v>
      </c>
      <c r="G8" s="58"/>
      <c r="H8" s="7" t="e">
        <f>IF(A8&lt;&gt;0,ROUND(E8*F8,2),$J$1)</f>
        <v>#REF!</v>
      </c>
      <c r="I8" s="69"/>
    </row>
    <row r="9" spans="1:10" ht="12.75" customHeight="1" x14ac:dyDescent="0.2">
      <c r="A9" s="1283" t="s">
        <v>253</v>
      </c>
      <c r="B9" s="1284"/>
      <c r="C9" s="1284"/>
      <c r="D9" s="844" t="e">
        <f t="shared" si="0"/>
        <v>#REF!</v>
      </c>
      <c r="E9" s="12">
        <v>75.75</v>
      </c>
      <c r="F9" s="58" t="e">
        <f t="shared" si="1"/>
        <v>#REF!</v>
      </c>
      <c r="G9" s="58"/>
      <c r="H9" s="7" t="e">
        <f>IF(A9&lt;&gt;0,ROUND(E9*F9,2),$J$1)</f>
        <v>#REF!</v>
      </c>
      <c r="I9" s="69"/>
    </row>
    <row r="10" spans="1:10" x14ac:dyDescent="0.2">
      <c r="A10" s="1080" t="s">
        <v>166</v>
      </c>
      <c r="B10" s="1081"/>
      <c r="C10" s="1081"/>
      <c r="D10" s="844" t="e">
        <f t="shared" si="0"/>
        <v>#REF!</v>
      </c>
      <c r="E10" s="12">
        <v>6</v>
      </c>
      <c r="F10" s="58" t="e">
        <f t="shared" si="1"/>
        <v>#REF!</v>
      </c>
      <c r="G10" s="58"/>
      <c r="H10" s="7" t="e">
        <f>IF(A10&lt;&gt;0,ROUND(E10*F10,2),$J$1)</f>
        <v>#REF!</v>
      </c>
      <c r="I10" s="69"/>
    </row>
    <row r="11" spans="1:10" x14ac:dyDescent="0.2">
      <c r="A11" s="1137" t="s">
        <v>250</v>
      </c>
      <c r="B11" s="1138"/>
      <c r="C11" s="1138"/>
      <c r="D11" s="844" t="e">
        <f t="shared" si="0"/>
        <v>#REF!</v>
      </c>
      <c r="E11" s="12">
        <v>1</v>
      </c>
      <c r="F11" s="58" t="e">
        <f t="shared" si="1"/>
        <v>#REF!</v>
      </c>
      <c r="G11" s="58"/>
      <c r="H11" s="7" t="e">
        <f>IF(A11&lt;&gt;0,ROUND(E11*F11,2),$J$1)</f>
        <v>#REF!</v>
      </c>
      <c r="I11" s="69"/>
    </row>
    <row r="12" spans="1:10" x14ac:dyDescent="0.2">
      <c r="A12" s="1215" t="s">
        <v>449</v>
      </c>
      <c r="B12" s="1216"/>
      <c r="C12" s="1217"/>
      <c r="D12" s="844" t="e">
        <f t="shared" si="0"/>
        <v>#REF!</v>
      </c>
      <c r="E12" s="12">
        <v>2</v>
      </c>
      <c r="F12" s="58" t="e">
        <f t="shared" si="1"/>
        <v>#REF!</v>
      </c>
      <c r="G12" s="58"/>
      <c r="H12" s="7" t="e">
        <f t="shared" ref="H12:H21" si="2">IF(A12&lt;&gt;0,ROUND(E12*F12,2),$J$1)</f>
        <v>#REF!</v>
      </c>
      <c r="I12" s="69"/>
    </row>
    <row r="13" spans="1:10" x14ac:dyDescent="0.2">
      <c r="A13" s="1080" t="s">
        <v>330</v>
      </c>
      <c r="B13" s="1081"/>
      <c r="C13" s="1081"/>
      <c r="D13" s="844" t="e">
        <f t="shared" si="0"/>
        <v>#REF!</v>
      </c>
      <c r="E13" s="12">
        <v>9.19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335</v>
      </c>
      <c r="B14" s="1081"/>
      <c r="C14" s="1081"/>
      <c r="D14" s="844" t="e">
        <f t="shared" si="0"/>
        <v>#REF!</v>
      </c>
      <c r="E14" s="12">
        <v>7.16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 t="s">
        <v>446</v>
      </c>
      <c r="B15" s="1081"/>
      <c r="C15" s="1081"/>
      <c r="D15" s="844" t="e">
        <f t="shared" si="0"/>
        <v>#REF!</v>
      </c>
      <c r="E15" s="12">
        <v>145.35</v>
      </c>
      <c r="F15" s="58" t="e">
        <f t="shared" si="1"/>
        <v>#REF!</v>
      </c>
      <c r="G15" s="58"/>
      <c r="H15" s="7" t="e">
        <f t="shared" si="2"/>
        <v>#REF!</v>
      </c>
      <c r="I15" s="69"/>
    </row>
    <row r="16" spans="1:10" x14ac:dyDescent="0.2">
      <c r="A16" s="1080" t="s">
        <v>364</v>
      </c>
      <c r="B16" s="1081"/>
      <c r="C16" s="1081"/>
      <c r="D16" s="844" t="e">
        <f t="shared" si="0"/>
        <v>#REF!</v>
      </c>
      <c r="E16" s="12">
        <v>343.75</v>
      </c>
      <c r="F16" s="58" t="e">
        <f t="shared" si="1"/>
        <v>#REF!</v>
      </c>
      <c r="G16" s="58"/>
      <c r="H16" s="7" t="e">
        <f t="shared" si="2"/>
        <v>#REF!</v>
      </c>
      <c r="I16" s="69"/>
    </row>
    <row r="17" spans="1:9" x14ac:dyDescent="0.2">
      <c r="A17" s="1080" t="s">
        <v>386</v>
      </c>
      <c r="B17" s="1081"/>
      <c r="C17" s="1081"/>
      <c r="D17" s="844" t="e">
        <f t="shared" si="0"/>
        <v>#REF!</v>
      </c>
      <c r="E17" s="12">
        <v>37.5</v>
      </c>
      <c r="F17" s="58" t="e">
        <f t="shared" si="1"/>
        <v>#REF!</v>
      </c>
      <c r="G17" s="58"/>
      <c r="H17" s="7" t="e">
        <f t="shared" si="2"/>
        <v>#REF!</v>
      </c>
      <c r="I17" s="69"/>
    </row>
    <row r="18" spans="1:9" x14ac:dyDescent="0.2">
      <c r="A18" s="1122" t="s">
        <v>346</v>
      </c>
      <c r="B18" s="1123"/>
      <c r="C18" s="1124"/>
      <c r="D18" s="844" t="e">
        <f t="shared" si="0"/>
        <v>#REF!</v>
      </c>
      <c r="E18" s="12">
        <v>1</v>
      </c>
      <c r="F18" s="58" t="e">
        <f t="shared" si="1"/>
        <v>#REF!</v>
      </c>
      <c r="G18" s="58"/>
      <c r="H18" s="7" t="e">
        <f t="shared" si="2"/>
        <v>#REF!</v>
      </c>
      <c r="I18" s="297"/>
    </row>
    <row r="19" spans="1:9" ht="39.75" customHeight="1" x14ac:dyDescent="0.2">
      <c r="A19" s="1134" t="s">
        <v>360</v>
      </c>
      <c r="B19" s="1135"/>
      <c r="C19" s="1136"/>
      <c r="D19" s="55" t="e">
        <f t="shared" si="0"/>
        <v>#REF!</v>
      </c>
      <c r="E19" s="510">
        <v>1</v>
      </c>
      <c r="F19" s="531" t="e">
        <f t="shared" si="1"/>
        <v>#REF!</v>
      </c>
      <c r="G19" s="531"/>
      <c r="H19" s="512" t="e">
        <f t="shared" si="2"/>
        <v>#REF!</v>
      </c>
      <c r="I19" s="297"/>
    </row>
    <row r="20" spans="1:9" x14ac:dyDescent="0.2">
      <c r="A20" s="1287" t="s">
        <v>331</v>
      </c>
      <c r="B20" s="1288"/>
      <c r="C20" s="1289"/>
      <c r="D20" s="939" t="e">
        <f t="shared" si="0"/>
        <v>#REF!</v>
      </c>
      <c r="E20" s="940">
        <v>2</v>
      </c>
      <c r="F20" s="941" t="e">
        <f t="shared" si="1"/>
        <v>#REF!</v>
      </c>
      <c r="G20" s="941"/>
      <c r="H20" s="942" t="e">
        <f t="shared" si="2"/>
        <v>#REF!</v>
      </c>
      <c r="I20" s="325"/>
    </row>
    <row r="21" spans="1:9" x14ac:dyDescent="0.2">
      <c r="A21" s="1285" t="s">
        <v>332</v>
      </c>
      <c r="B21" s="1286"/>
      <c r="C21" s="1286"/>
      <c r="D21" s="326" t="e">
        <f>IF(A21&lt;&gt;0,VLOOKUP(A21,Materiales,2,FALSE),$J$1)</f>
        <v>#REF!</v>
      </c>
      <c r="E21" s="327">
        <v>2</v>
      </c>
      <c r="F21" s="328" t="e">
        <f t="shared" si="1"/>
        <v>#REF!</v>
      </c>
      <c r="G21" s="328"/>
      <c r="H21" s="329" t="e">
        <f t="shared" si="2"/>
        <v>#REF!</v>
      </c>
      <c r="I21" s="73"/>
    </row>
    <row r="22" spans="1:9" x14ac:dyDescent="0.2">
      <c r="A22" s="884" t="s">
        <v>2217</v>
      </c>
      <c r="B22" s="895"/>
      <c r="C22" s="895"/>
      <c r="D22" s="330"/>
      <c r="E22" s="897"/>
      <c r="F22" s="897"/>
      <c r="G22" s="897"/>
      <c r="H22" s="898"/>
      <c r="I22" s="241" t="e">
        <f>SUM(H8:H20)</f>
        <v>#REF!</v>
      </c>
    </row>
    <row r="23" spans="1:9" x14ac:dyDescent="0.2">
      <c r="A23" s="76"/>
      <c r="B23" s="27"/>
      <c r="C23" s="27"/>
      <c r="D23" s="27"/>
      <c r="E23" s="27"/>
      <c r="F23" s="27"/>
      <c r="G23" s="27"/>
      <c r="H23" s="27"/>
      <c r="I23" s="64"/>
    </row>
    <row r="24" spans="1:9" x14ac:dyDescent="0.2">
      <c r="A24" s="875" t="s">
        <v>454</v>
      </c>
      <c r="B24" s="902"/>
      <c r="C24" s="902"/>
      <c r="D24" s="902"/>
      <c r="E24" s="902"/>
      <c r="F24" s="902"/>
      <c r="G24" s="902"/>
      <c r="H24" s="902"/>
      <c r="I24" s="226"/>
    </row>
    <row r="25" spans="1:9" s="9" customFormat="1" ht="25.5" x14ac:dyDescent="0.2">
      <c r="A25" s="227" t="s">
        <v>26</v>
      </c>
      <c r="B25" s="225"/>
      <c r="C25" s="225"/>
      <c r="D25" s="225" t="s">
        <v>2218</v>
      </c>
      <c r="E25" s="225"/>
      <c r="F25" s="225" t="s">
        <v>2219</v>
      </c>
      <c r="G25" s="858" t="s">
        <v>2220</v>
      </c>
      <c r="H25" s="858" t="s">
        <v>2216</v>
      </c>
      <c r="I25" s="72"/>
    </row>
    <row r="26" spans="1:9" x14ac:dyDescent="0.2">
      <c r="A26" s="1080" t="s">
        <v>477</v>
      </c>
      <c r="B26" s="1081"/>
      <c r="C26" s="1081"/>
      <c r="D26" s="33">
        <v>0.23</v>
      </c>
      <c r="E26" s="33"/>
      <c r="F26" s="12">
        <f>IF(A26&lt;&gt;0,VLOOKUP(A26,Equipos,6,FALSE),$J$1)</f>
        <v>3710</v>
      </c>
      <c r="G26" s="14">
        <v>1</v>
      </c>
      <c r="H26" s="7">
        <f t="shared" ref="H26:H32" si="3">IF(A26&lt;&gt;0,ROUND((F26/D26)*G26,2),$J$1)</f>
        <v>16130.43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>
        <f t="shared" si="3"/>
        <v>0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>
        <f t="shared" si="3"/>
        <v>0</v>
      </c>
      <c r="I28" s="69"/>
    </row>
    <row r="29" spans="1:9" x14ac:dyDescent="0.2">
      <c r="A29" s="1256"/>
      <c r="B29" s="1081"/>
      <c r="C29" s="1081"/>
      <c r="D29" s="33"/>
      <c r="E29" s="33"/>
      <c r="F29" s="12"/>
      <c r="G29" s="14"/>
      <c r="H29" s="7">
        <f t="shared" si="3"/>
        <v>0</v>
      </c>
      <c r="I29" s="297"/>
    </row>
    <row r="30" spans="1:9" x14ac:dyDescent="0.2">
      <c r="A30" s="1080"/>
      <c r="B30" s="1081"/>
      <c r="C30" s="1081"/>
      <c r="D30" s="33"/>
      <c r="E30" s="33"/>
      <c r="F30" s="12"/>
      <c r="G30" s="14"/>
      <c r="H30" s="7">
        <f t="shared" si="3"/>
        <v>0</v>
      </c>
      <c r="I30" s="69"/>
    </row>
    <row r="31" spans="1:9" x14ac:dyDescent="0.2">
      <c r="A31" s="1293"/>
      <c r="B31" s="1294"/>
      <c r="C31" s="1294"/>
      <c r="D31" s="331"/>
      <c r="E31" s="331"/>
      <c r="F31" s="332"/>
      <c r="G31" s="333"/>
      <c r="H31" s="334">
        <f t="shared" si="3"/>
        <v>0</v>
      </c>
      <c r="I31" s="325"/>
    </row>
    <row r="32" spans="1:9" x14ac:dyDescent="0.2">
      <c r="A32" s="1285"/>
      <c r="B32" s="1286"/>
      <c r="C32" s="1286"/>
      <c r="D32" s="335"/>
      <c r="E32" s="335"/>
      <c r="F32" s="327"/>
      <c r="G32" s="336"/>
      <c r="H32" s="329">
        <f t="shared" si="3"/>
        <v>0</v>
      </c>
      <c r="I32" s="69"/>
    </row>
    <row r="33" spans="1:9" x14ac:dyDescent="0.2">
      <c r="A33" s="339" t="s">
        <v>2221</v>
      </c>
      <c r="D33" s="3"/>
      <c r="E33" s="872"/>
      <c r="F33" s="872"/>
      <c r="G33" s="872"/>
      <c r="H33" s="873"/>
      <c r="I33" s="291">
        <f>SUM(H26:H32)</f>
        <v>16130.43</v>
      </c>
    </row>
    <row r="34" spans="1:9" x14ac:dyDescent="0.2">
      <c r="A34" s="76"/>
      <c r="B34" s="27"/>
      <c r="C34" s="27"/>
      <c r="D34" s="27"/>
      <c r="E34" s="27"/>
      <c r="F34" s="27"/>
      <c r="G34" s="27"/>
      <c r="H34" s="27"/>
      <c r="I34" s="299"/>
    </row>
    <row r="35" spans="1:9" x14ac:dyDescent="0.2">
      <c r="A35" s="855" t="s">
        <v>2222</v>
      </c>
      <c r="B35" s="206"/>
      <c r="C35" s="207"/>
      <c r="D35" s="902"/>
      <c r="E35" s="902"/>
      <c r="F35" s="902"/>
      <c r="G35" s="902"/>
      <c r="H35" s="902"/>
      <c r="I35" s="903"/>
    </row>
    <row r="36" spans="1:9" s="9" customFormat="1" ht="25.5" x14ac:dyDescent="0.2">
      <c r="A36" s="229" t="s">
        <v>26</v>
      </c>
      <c r="B36" s="230"/>
      <c r="C36" s="230"/>
      <c r="D36" s="231" t="s">
        <v>2223</v>
      </c>
      <c r="E36" s="231"/>
      <c r="F36" s="232" t="s">
        <v>2224</v>
      </c>
      <c r="G36" s="232" t="s">
        <v>2225</v>
      </c>
      <c r="H36" s="874" t="s">
        <v>2216</v>
      </c>
      <c r="I36" s="298"/>
    </row>
    <row r="37" spans="1:9" x14ac:dyDescent="0.2">
      <c r="A37" s="871"/>
      <c r="B37" s="1105" t="s">
        <v>2226</v>
      </c>
      <c r="C37" s="1104"/>
      <c r="D37" s="46"/>
      <c r="E37" s="47"/>
      <c r="F37" s="15"/>
      <c r="G37" s="12"/>
      <c r="H37" s="7">
        <f t="shared" ref="H37:H43" si="4">IF(A37&lt;&gt;0,D37/F37*G37,$J$1)</f>
        <v>0</v>
      </c>
      <c r="I37" s="312">
        <f>SUM(H38:H40)</f>
        <v>0</v>
      </c>
    </row>
    <row r="38" spans="1:9" x14ac:dyDescent="0.2">
      <c r="A38" s="1086"/>
      <c r="B38" s="1087"/>
      <c r="C38" s="1119"/>
      <c r="D38" s="61">
        <f>IF(A38&lt;&gt;0,VLOOKUP(A38,Transporte,8,FALSE),$J$1)</f>
        <v>0</v>
      </c>
      <c r="E38" s="61"/>
      <c r="F38" s="15">
        <f t="shared" ref="F38:F43" si="5">IF(A38&lt;&gt;0,VLOOKUP(A38,Transporte,2,FALSE),$J$1)</f>
        <v>0</v>
      </c>
      <c r="G38" s="12"/>
      <c r="H38" s="7">
        <f t="shared" si="4"/>
        <v>0</v>
      </c>
      <c r="I38" s="297"/>
    </row>
    <row r="39" spans="1:9" x14ac:dyDescent="0.2">
      <c r="A39" s="1086"/>
      <c r="B39" s="1087"/>
      <c r="C39" s="1119"/>
      <c r="D39" s="61">
        <f>IF(A39&lt;&gt;0,VLOOKUP(A39,Transporte,8,FALSE),$J$1)</f>
        <v>0</v>
      </c>
      <c r="E39" s="61"/>
      <c r="F39" s="15">
        <f t="shared" si="5"/>
        <v>0</v>
      </c>
      <c r="G39" s="12"/>
      <c r="H39" s="7">
        <f t="shared" si="4"/>
        <v>0</v>
      </c>
      <c r="I39" s="297"/>
    </row>
    <row r="40" spans="1:9" x14ac:dyDescent="0.2">
      <c r="A40" s="1086"/>
      <c r="B40" s="1087"/>
      <c r="C40" s="1119"/>
      <c r="D40" s="61">
        <f>IF(A40&lt;&gt;0,VLOOKUP(A40,Transporte,8,FALSE),$J$1)</f>
        <v>0</v>
      </c>
      <c r="E40" s="61"/>
      <c r="F40" s="15">
        <f t="shared" si="5"/>
        <v>0</v>
      </c>
      <c r="G40" s="12"/>
      <c r="H40" s="7">
        <f t="shared" si="4"/>
        <v>0</v>
      </c>
      <c r="I40" s="297"/>
    </row>
    <row r="41" spans="1:9" x14ac:dyDescent="0.2">
      <c r="A41" s="871"/>
      <c r="B41" s="1105" t="s">
        <v>2227</v>
      </c>
      <c r="C41" s="1104"/>
      <c r="D41" s="46"/>
      <c r="E41" s="47"/>
      <c r="F41" s="15"/>
      <c r="G41" s="12"/>
      <c r="H41" s="7"/>
      <c r="I41" s="312">
        <f>SUM(H42:H43)</f>
        <v>0</v>
      </c>
    </row>
    <row r="42" spans="1:9" x14ac:dyDescent="0.2">
      <c r="A42" s="1252"/>
      <c r="B42" s="1253"/>
      <c r="C42" s="1292"/>
      <c r="D42" s="61">
        <f>IF(A42&lt;&gt;0,VLOOKUP(A42,Transporte,8,FALSE),$J$1)</f>
        <v>0</v>
      </c>
      <c r="E42" s="337"/>
      <c r="F42" s="15">
        <f t="shared" si="5"/>
        <v>0</v>
      </c>
      <c r="G42" s="332"/>
      <c r="H42" s="7">
        <f t="shared" si="4"/>
        <v>0</v>
      </c>
      <c r="I42" s="325"/>
    </row>
    <row r="43" spans="1:9" x14ac:dyDescent="0.2">
      <c r="A43" s="1252"/>
      <c r="B43" s="1253"/>
      <c r="C43" s="1292"/>
      <c r="D43" s="61">
        <f>IF(A43&lt;&gt;0,VLOOKUP(A43,Transporte,8,FALSE),$J$1)</f>
        <v>0</v>
      </c>
      <c r="E43" s="338"/>
      <c r="F43" s="15">
        <f t="shared" si="5"/>
        <v>0</v>
      </c>
      <c r="G43" s="327"/>
      <c r="H43" s="7">
        <f t="shared" si="4"/>
        <v>0</v>
      </c>
      <c r="I43" s="73"/>
    </row>
    <row r="44" spans="1:9" x14ac:dyDescent="0.2">
      <c r="A44" s="880" t="s">
        <v>2228</v>
      </c>
      <c r="B44" s="854"/>
      <c r="C44" s="854"/>
      <c r="D44" s="854"/>
      <c r="E44" s="854"/>
      <c r="F44" s="854"/>
      <c r="G44" s="854"/>
      <c r="H44" s="854"/>
      <c r="I44" s="241">
        <f>SUM(I37:I43)</f>
        <v>0</v>
      </c>
    </row>
    <row r="45" spans="1:9" x14ac:dyDescent="0.2">
      <c r="A45" s="1086"/>
      <c r="B45" s="1087"/>
      <c r="C45" s="1087"/>
      <c r="D45" s="1087"/>
      <c r="E45" s="1087"/>
      <c r="F45" s="1087"/>
      <c r="G45" s="1087"/>
      <c r="H45" s="1087"/>
      <c r="I45" s="1088"/>
    </row>
    <row r="46" spans="1:9" x14ac:dyDescent="0.2">
      <c r="A46" s="1200" t="s">
        <v>554</v>
      </c>
      <c r="B46" s="1201"/>
      <c r="C46" s="1201"/>
      <c r="D46" s="1201"/>
      <c r="E46" s="1201"/>
      <c r="F46" s="1201"/>
      <c r="G46" s="1201"/>
      <c r="H46" s="1201"/>
      <c r="I46" s="1202"/>
    </row>
    <row r="47" spans="1:9" s="9" customFormat="1" ht="25.5" x14ac:dyDescent="0.2">
      <c r="A47" s="1246" t="s">
        <v>2229</v>
      </c>
      <c r="B47" s="1247"/>
      <c r="C47" s="1247"/>
      <c r="D47" s="1248" t="s">
        <v>2230</v>
      </c>
      <c r="E47" s="1248"/>
      <c r="F47" s="1248" t="s">
        <v>2218</v>
      </c>
      <c r="G47" s="1248"/>
      <c r="H47" s="881" t="s">
        <v>2216</v>
      </c>
      <c r="I47" s="72"/>
    </row>
    <row r="48" spans="1:9" x14ac:dyDescent="0.2">
      <c r="A48" s="1080" t="s">
        <v>52</v>
      </c>
      <c r="B48" s="1081"/>
      <c r="C48" s="1081"/>
      <c r="D48" s="1082">
        <f>IF(A48&lt;&gt;0,VLOOKUP(A48,Cuadrillas,7,FALSE),$J$1)</f>
        <v>413527.73</v>
      </c>
      <c r="E48" s="1082"/>
      <c r="F48" s="1083">
        <v>0.5</v>
      </c>
      <c r="G48" s="1083"/>
      <c r="H48" s="7">
        <f>IF(A48&lt;&gt;0,ROUND(D48/F48,2),$J$1)</f>
        <v>827055.46</v>
      </c>
      <c r="I48" s="69"/>
    </row>
    <row r="49" spans="1:9" x14ac:dyDescent="0.2">
      <c r="A49" s="1256"/>
      <c r="B49" s="1257"/>
      <c r="C49" s="1257"/>
      <c r="D49" s="1255">
        <f>IF(A49&lt;&gt;0,VLOOKUP(A49,Cuadrillas,7,FALSE),$J$1)</f>
        <v>0</v>
      </c>
      <c r="E49" s="1255"/>
      <c r="F49" s="1265"/>
      <c r="G49" s="1265"/>
      <c r="H49" s="293">
        <f>IF(A49&lt;&gt;0,ROUND(D49/F49,2),$J$1)</f>
        <v>0</v>
      </c>
      <c r="I49" s="284"/>
    </row>
    <row r="50" spans="1:9" x14ac:dyDescent="0.2">
      <c r="A50" s="1080"/>
      <c r="B50" s="1081"/>
      <c r="C50" s="1081"/>
      <c r="D50" s="1082">
        <f>IF(A50&lt;&gt;0,VLOOKUP(A50,Cuadrillas,7,FALSE),$J$1)</f>
        <v>0</v>
      </c>
      <c r="E50" s="1082"/>
      <c r="F50" s="1083"/>
      <c r="G50" s="1083"/>
      <c r="H50" s="7">
        <f>IF(A50&lt;&gt;0,ROUND(D50/F50,2),$J$1)</f>
        <v>0</v>
      </c>
      <c r="I50" s="69"/>
    </row>
    <row r="51" spans="1:9" x14ac:dyDescent="0.2">
      <c r="A51" s="1256"/>
      <c r="B51" s="1257"/>
      <c r="C51" s="1257"/>
      <c r="D51" s="1255">
        <f>IF(A51&lt;&gt;0,VLOOKUP(A51,Cuadrillas,7,FALSE),$J$1)</f>
        <v>0</v>
      </c>
      <c r="E51" s="1255"/>
      <c r="F51" s="1265"/>
      <c r="G51" s="1265"/>
      <c r="H51" s="293">
        <f>IF(A51&lt;&gt;0,ROUND(D51/F51,2),$J$1)</f>
        <v>0</v>
      </c>
      <c r="I51" s="301"/>
    </row>
    <row r="52" spans="1:9" x14ac:dyDescent="0.2">
      <c r="A52" s="1256"/>
      <c r="B52" s="1257"/>
      <c r="C52" s="1257"/>
      <c r="D52" s="1255">
        <f>IF(A52&lt;&gt;0,VLOOKUP(A52,Cuadrillas,7,FALSE),$J$1)</f>
        <v>0</v>
      </c>
      <c r="E52" s="1255"/>
      <c r="F52" s="1265"/>
      <c r="G52" s="1265"/>
      <c r="H52" s="293">
        <f>IF(A52&lt;&gt;0,ROUND(D52/F52,2),$J$1)</f>
        <v>0</v>
      </c>
      <c r="I52" s="301"/>
    </row>
    <row r="53" spans="1:9" x14ac:dyDescent="0.2">
      <c r="A53" s="1290" t="s">
        <v>2231</v>
      </c>
      <c r="B53" s="1291"/>
      <c r="C53" s="1291"/>
      <c r="D53" s="1291"/>
      <c r="E53" s="1291"/>
      <c r="F53" s="1291"/>
      <c r="G53" s="1291"/>
      <c r="H53" s="1291"/>
      <c r="I53" s="943">
        <f>SUM(H48:H52)</f>
        <v>827055.46</v>
      </c>
    </row>
    <row r="54" spans="1:9" x14ac:dyDescent="0.2">
      <c r="A54" s="1086"/>
      <c r="B54" s="1087"/>
      <c r="C54" s="1087"/>
      <c r="D54" s="1087"/>
      <c r="E54" s="1087"/>
      <c r="F54" s="1087"/>
      <c r="G54" s="1087"/>
      <c r="H54" s="1087"/>
      <c r="I54" s="1088"/>
    </row>
    <row r="55" spans="1:9" x14ac:dyDescent="0.2">
      <c r="A55" s="1089" t="s">
        <v>2232</v>
      </c>
      <c r="B55" s="1090"/>
      <c r="C55" s="1090"/>
      <c r="D55" s="1090"/>
      <c r="E55" s="1090"/>
      <c r="F55" s="1090"/>
      <c r="G55" s="1090"/>
      <c r="H55" s="1090"/>
      <c r="I55" s="237" t="e">
        <f>I22+I33+I44</f>
        <v>#REF!</v>
      </c>
    </row>
    <row r="56" spans="1:9" ht="13.5" thickBot="1" x14ac:dyDescent="0.25">
      <c r="A56" s="1193" t="s">
        <v>2233</v>
      </c>
      <c r="B56" s="1194"/>
      <c r="C56" s="1194"/>
      <c r="D56" s="1194"/>
      <c r="E56" s="1194"/>
      <c r="F56" s="1194"/>
      <c r="G56" s="1194"/>
      <c r="H56" s="1194"/>
      <c r="I56" s="238">
        <f>I53</f>
        <v>827055.46</v>
      </c>
    </row>
    <row r="57" spans="1:9" s="9" customFormat="1" ht="25.5" customHeight="1" thickTop="1" thickBot="1" x14ac:dyDescent="0.25">
      <c r="A57" s="1195" t="s">
        <v>2234</v>
      </c>
      <c r="B57" s="1196"/>
      <c r="C57" s="1196"/>
      <c r="D57" s="1196"/>
      <c r="E57" s="1196"/>
      <c r="F57" s="1196"/>
      <c r="G57" s="1196"/>
      <c r="H57" s="258"/>
      <c r="I57" s="239" t="e">
        <f>I55+I56</f>
        <v>#REF!</v>
      </c>
    </row>
    <row r="58" spans="1:9" s="9" customFormat="1" ht="25.5" customHeight="1" thickTop="1" thickBot="1" x14ac:dyDescent="0.25">
      <c r="A58" s="1095" t="s">
        <v>10</v>
      </c>
      <c r="B58" s="1096"/>
      <c r="C58" s="1096"/>
      <c r="D58" s="1097">
        <f>+'Datos entrada'!B7</f>
        <v>0.3</v>
      </c>
      <c r="E58" s="1098"/>
      <c r="F58" s="1099" t="e">
        <f>I57*D58</f>
        <v>#REF!</v>
      </c>
      <c r="G58" s="1099"/>
      <c r="H58" s="1099"/>
      <c r="I58" s="1100"/>
    </row>
    <row r="59" spans="1:9" s="9" customFormat="1" ht="25.5" customHeight="1" thickTop="1" thickBot="1" x14ac:dyDescent="0.25">
      <c r="A59" s="1095" t="s">
        <v>2236</v>
      </c>
      <c r="B59" s="1096"/>
      <c r="C59" s="1096"/>
      <c r="D59" s="1096"/>
      <c r="E59" s="1096"/>
      <c r="F59" s="1096"/>
      <c r="G59" s="1096"/>
      <c r="H59" s="1191" t="e">
        <f>I57+F58</f>
        <v>#REF!</v>
      </c>
      <c r="I59" s="1192"/>
    </row>
    <row r="60" spans="1:9" ht="13.5" thickTop="1" x14ac:dyDescent="0.2">
      <c r="I60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62">
    <mergeCell ref="D48:E48"/>
    <mergeCell ref="A47:C47"/>
    <mergeCell ref="A48:C48"/>
    <mergeCell ref="D47:E47"/>
    <mergeCell ref="A30:C30"/>
    <mergeCell ref="A31:C31"/>
    <mergeCell ref="A32:C32"/>
    <mergeCell ref="A45:I45"/>
    <mergeCell ref="F47:G47"/>
    <mergeCell ref="F48:G48"/>
    <mergeCell ref="A46:I46"/>
    <mergeCell ref="B37:C37"/>
    <mergeCell ref="A59:G59"/>
    <mergeCell ref="H59:I59"/>
    <mergeCell ref="A50:C50"/>
    <mergeCell ref="A51:C51"/>
    <mergeCell ref="D50:E50"/>
    <mergeCell ref="F50:G50"/>
    <mergeCell ref="A52:C52"/>
    <mergeCell ref="D51:E51"/>
    <mergeCell ref="A56:H56"/>
    <mergeCell ref="F52:G52"/>
    <mergeCell ref="F51:G51"/>
    <mergeCell ref="D52:E52"/>
    <mergeCell ref="A57:G57"/>
    <mergeCell ref="A55:H55"/>
    <mergeCell ref="A58:C58"/>
    <mergeCell ref="D58:E58"/>
    <mergeCell ref="F58:I58"/>
    <mergeCell ref="A26:C26"/>
    <mergeCell ref="A27:C27"/>
    <mergeCell ref="F49:G49"/>
    <mergeCell ref="A49:C49"/>
    <mergeCell ref="D49:E49"/>
    <mergeCell ref="A54:I54"/>
    <mergeCell ref="A53:H53"/>
    <mergeCell ref="A28:C28"/>
    <mergeCell ref="B41:C41"/>
    <mergeCell ref="A38:C38"/>
    <mergeCell ref="A39:C39"/>
    <mergeCell ref="A40:C40"/>
    <mergeCell ref="A42:C42"/>
    <mergeCell ref="A43:C43"/>
    <mergeCell ref="A29:C29"/>
    <mergeCell ref="A16:C16"/>
    <mergeCell ref="A17:C17"/>
    <mergeCell ref="A19:C19"/>
    <mergeCell ref="A21:C21"/>
    <mergeCell ref="A18:C18"/>
    <mergeCell ref="A20:C20"/>
    <mergeCell ref="A2:I2"/>
    <mergeCell ref="A3:I3"/>
    <mergeCell ref="H1:I1"/>
    <mergeCell ref="A12:C12"/>
    <mergeCell ref="A15:C15"/>
    <mergeCell ref="A8:C8"/>
    <mergeCell ref="A9:C9"/>
    <mergeCell ref="A10:C10"/>
    <mergeCell ref="A11:C11"/>
    <mergeCell ref="A13:C13"/>
    <mergeCell ref="A14:C14"/>
    <mergeCell ref="A1:C1"/>
  </mergeCells>
  <phoneticPr fontId="0" type="noConversion"/>
  <dataValidations count="5">
    <dataValidation type="list" allowBlank="1" showInputMessage="1" showErrorMessage="1" sqref="A26:A32">
      <formula1>Descrip_equipos</formula1>
    </dataValidation>
    <dataValidation type="list" allowBlank="1" showInputMessage="1" showErrorMessage="1" sqref="A48:C52">
      <formula1>Descrip_cuadrillas</formula1>
    </dataValidation>
    <dataValidation type="list" allowBlank="1" showInputMessage="1" showErrorMessage="1" sqref="A37:A44">
      <formula1>Descrip_transporte</formula1>
    </dataValidation>
    <dataValidation type="list" allowBlank="1" showInputMessage="1" showErrorMessage="1" sqref="A9:A21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BBF4F5"/>
    <pageSetUpPr fitToPage="1"/>
  </sheetPr>
  <dimension ref="A1:K57"/>
  <sheetViews>
    <sheetView workbookViewId="0">
      <selection activeCell="A2" sqref="A2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78" t="s">
        <v>2213</v>
      </c>
      <c r="B5" s="279" t="s">
        <v>571</v>
      </c>
      <c r="C5" s="1295" t="s">
        <v>2324</v>
      </c>
      <c r="D5" s="1296"/>
      <c r="E5" s="1296"/>
      <c r="F5" s="1296"/>
      <c r="G5" s="1296"/>
      <c r="H5" s="1296"/>
      <c r="I5" s="1297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09" t="s">
        <v>2214</v>
      </c>
      <c r="I6" s="282" t="s">
        <v>130</v>
      </c>
    </row>
    <row r="7" spans="1:10" s="11" customFormat="1" ht="25.5" x14ac:dyDescent="0.2">
      <c r="A7" s="250" t="s">
        <v>26</v>
      </c>
      <c r="B7" s="251"/>
      <c r="C7" s="252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 t="s">
        <v>240</v>
      </c>
      <c r="B8" s="1081"/>
      <c r="C8" s="1081"/>
      <c r="D8" s="844" t="e">
        <f>IF(A8&lt;&gt;0,VLOOKUP(A8,Materiales,2,FALSE),$J$1)</f>
        <v>#REF!</v>
      </c>
      <c r="E8" s="12">
        <v>0.5</v>
      </c>
      <c r="F8" s="58" t="e">
        <f t="shared" ref="F8:F14" si="0">IF(A8&lt;&gt;0,VLOOKUP(A8,Materiales,6,FALSE),$J$1)</f>
        <v>#REF!</v>
      </c>
      <c r="G8" s="58"/>
      <c r="H8" s="7" t="e">
        <f t="shared" ref="H8:H18" si="1">IF(A8&lt;&gt;0,ROUND(E8*F8,2),$J$1)</f>
        <v>#REF!</v>
      </c>
      <c r="I8" s="69"/>
    </row>
    <row r="9" spans="1:10" ht="12.75" customHeight="1" x14ac:dyDescent="0.2">
      <c r="A9" s="1080" t="s">
        <v>330</v>
      </c>
      <c r="B9" s="1081"/>
      <c r="C9" s="1081"/>
      <c r="D9" s="844" t="e">
        <f>IF(A9&lt;&gt;0,VLOOKUP(A9,Materiales,2,FALSE),$J$1)</f>
        <v>#REF!</v>
      </c>
      <c r="E9" s="12">
        <v>0.01</v>
      </c>
      <c r="F9" s="58" t="e">
        <f t="shared" si="0"/>
        <v>#REF!</v>
      </c>
      <c r="G9" s="58"/>
      <c r="H9" s="7" t="e">
        <f t="shared" si="1"/>
        <v>#REF!</v>
      </c>
      <c r="I9" s="69"/>
    </row>
    <row r="10" spans="1:10" x14ac:dyDescent="0.2">
      <c r="A10" s="1080" t="s">
        <v>245</v>
      </c>
      <c r="B10" s="1081"/>
      <c r="C10" s="1081"/>
      <c r="D10" s="844" t="e">
        <f>IF(A10&lt;&gt;0,VLOOKUP(A10,Materiales,2,FALSE),$J$1)</f>
        <v>#REF!</v>
      </c>
      <c r="E10" s="13">
        <v>3.0000000000000001E-3</v>
      </c>
      <c r="F10" s="58" t="e">
        <f t="shared" si="0"/>
        <v>#REF!</v>
      </c>
      <c r="G10" s="58"/>
      <c r="H10" s="7" t="e">
        <f t="shared" si="1"/>
        <v>#REF!</v>
      </c>
      <c r="I10" s="69"/>
    </row>
    <row r="11" spans="1:10" x14ac:dyDescent="0.2">
      <c r="A11" s="1080" t="s">
        <v>145</v>
      </c>
      <c r="B11" s="1081"/>
      <c r="C11" s="1081"/>
      <c r="D11" s="844" t="e">
        <f>IF(A11&lt;&gt;0,VLOOKUP(A11,Materiales,2,FALSE),$J$1)</f>
        <v>#REF!</v>
      </c>
      <c r="E11" s="13">
        <v>0.03</v>
      </c>
      <c r="F11" s="58" t="e">
        <f t="shared" si="0"/>
        <v>#REF!</v>
      </c>
      <c r="G11" s="58"/>
      <c r="H11" s="7" t="e">
        <f t="shared" si="1"/>
        <v>#REF!</v>
      </c>
      <c r="I11" s="69"/>
    </row>
    <row r="12" spans="1:10" x14ac:dyDescent="0.2">
      <c r="A12" s="1080"/>
      <c r="B12" s="1081"/>
      <c r="C12" s="1081"/>
      <c r="D12" s="844" t="str">
        <f t="shared" ref="D12:D18" si="2">IF(A12&lt;&gt;0,VLOOKUP(A12,Materiales,2,FALSE),$J$1)</f>
        <v>-</v>
      </c>
      <c r="E12" s="12"/>
      <c r="F12" s="58" t="str">
        <f t="shared" si="0"/>
        <v>-</v>
      </c>
      <c r="G12" s="58"/>
      <c r="H12" s="7" t="str">
        <f t="shared" si="1"/>
        <v>-</v>
      </c>
      <c r="I12" s="69"/>
    </row>
    <row r="13" spans="1:10" x14ac:dyDescent="0.2">
      <c r="A13" s="1080"/>
      <c r="B13" s="1081"/>
      <c r="C13" s="1081"/>
      <c r="D13" s="844" t="str">
        <f t="shared" si="2"/>
        <v>-</v>
      </c>
      <c r="E13" s="12"/>
      <c r="F13" s="58" t="str">
        <f t="shared" si="0"/>
        <v>-</v>
      </c>
      <c r="G13" s="58"/>
      <c r="H13" s="7" t="str">
        <f t="shared" si="1"/>
        <v>-</v>
      </c>
      <c r="I13" s="69"/>
    </row>
    <row r="14" spans="1:10" x14ac:dyDescent="0.2">
      <c r="A14" s="1080"/>
      <c r="B14" s="1081"/>
      <c r="C14" s="1081"/>
      <c r="D14" s="844" t="str">
        <f t="shared" si="2"/>
        <v>-</v>
      </c>
      <c r="E14" s="12"/>
      <c r="F14" s="58" t="str">
        <f t="shared" si="0"/>
        <v>-</v>
      </c>
      <c r="G14" s="58"/>
      <c r="H14" s="7" t="str">
        <f t="shared" si="1"/>
        <v>-</v>
      </c>
      <c r="I14" s="69"/>
    </row>
    <row r="15" spans="1:10" x14ac:dyDescent="0.2">
      <c r="A15" s="1080"/>
      <c r="B15" s="1081"/>
      <c r="C15" s="1081"/>
      <c r="D15" s="844" t="str">
        <f t="shared" si="2"/>
        <v>-</v>
      </c>
      <c r="E15" s="12"/>
      <c r="F15" s="58" t="str">
        <f>IF(A15&lt;&gt;0,VLOOKUP(A15,Materiales,5,FALSE),$J$1)</f>
        <v>-</v>
      </c>
      <c r="G15" s="58"/>
      <c r="H15" s="7" t="str">
        <f t="shared" si="1"/>
        <v>-</v>
      </c>
      <c r="I15" s="69"/>
    </row>
    <row r="16" spans="1:10" x14ac:dyDescent="0.2">
      <c r="A16" s="1080"/>
      <c r="B16" s="1081"/>
      <c r="C16" s="1081"/>
      <c r="D16" s="844" t="str">
        <f t="shared" si="2"/>
        <v>-</v>
      </c>
      <c r="E16" s="12"/>
      <c r="F16" s="58" t="str">
        <f>IF(A16&lt;&gt;0,VLOOKUP(A16,Materiales,5,FALSE),$J$1)</f>
        <v>-</v>
      </c>
      <c r="G16" s="58"/>
      <c r="H16" s="7" t="str">
        <f t="shared" si="1"/>
        <v>-</v>
      </c>
      <c r="I16" s="69"/>
    </row>
    <row r="17" spans="1:9" x14ac:dyDescent="0.2">
      <c r="A17" s="1080"/>
      <c r="B17" s="1081"/>
      <c r="C17" s="1081"/>
      <c r="D17" s="844" t="str">
        <f t="shared" si="2"/>
        <v>-</v>
      </c>
      <c r="E17" s="12"/>
      <c r="F17" s="58" t="str">
        <f>IF(A17&lt;&gt;0,VLOOKUP(A17,Materiales,5,FALSE),$J$1)</f>
        <v>-</v>
      </c>
      <c r="G17" s="58"/>
      <c r="H17" s="7" t="str">
        <f t="shared" si="1"/>
        <v>-</v>
      </c>
      <c r="I17" s="69"/>
    </row>
    <row r="18" spans="1:9" x14ac:dyDescent="0.2">
      <c r="A18" s="1080"/>
      <c r="B18" s="1081"/>
      <c r="C18" s="1081"/>
      <c r="D18" s="844" t="str">
        <f t="shared" si="2"/>
        <v>-</v>
      </c>
      <c r="E18" s="12"/>
      <c r="F18" s="58" t="str">
        <f>IF(A18&lt;&gt;0,VLOOKUP(A18,Materiales,5,FALSE),$J$1)</f>
        <v>-</v>
      </c>
      <c r="G18" s="58"/>
      <c r="H18" s="7" t="str">
        <f t="shared" si="1"/>
        <v>-</v>
      </c>
      <c r="I18" s="69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9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288" t="s">
        <v>454</v>
      </c>
      <c r="B21" s="289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7"/>
    </row>
    <row r="23" spans="1:9" x14ac:dyDescent="0.2">
      <c r="A23" s="1080"/>
      <c r="B23" s="1081"/>
      <c r="C23" s="1081"/>
      <c r="D23" s="33"/>
      <c r="E23" s="33"/>
      <c r="F23" s="12" t="str">
        <f t="shared" ref="F23:F29" si="3">IF(A23&lt;&gt;0,VLOOKUP(A23,Equipos,6,FALSE),$J$1)</f>
        <v>-</v>
      </c>
      <c r="G23" s="14"/>
      <c r="H23" s="7" t="str">
        <f t="shared" ref="H23:H29" si="4">IF(A23&lt;&gt;0,ROUND((F23/D23)*G23,2),$J$1)</f>
        <v>-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69"/>
    </row>
    <row r="30" spans="1:9" x14ac:dyDescent="0.2">
      <c r="A30" s="880" t="s">
        <v>2221</v>
      </c>
      <c r="B30" s="849"/>
      <c r="C30" s="849"/>
      <c r="D30" s="3"/>
      <c r="E30" s="872"/>
      <c r="F30" s="872"/>
      <c r="G30" s="872"/>
      <c r="H30" s="873"/>
      <c r="I30" s="291">
        <f>SUM(H23:H29)</f>
        <v>0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288" t="s">
        <v>2222</v>
      </c>
      <c r="B32" s="290"/>
      <c r="C32" s="289"/>
      <c r="D32" s="876"/>
      <c r="E32" s="876"/>
      <c r="F32" s="876"/>
      <c r="G32" s="876"/>
      <c r="H32" s="876"/>
      <c r="I32" s="877"/>
    </row>
    <row r="33" spans="1:11" s="9" customFormat="1" ht="25.5" x14ac:dyDescent="0.2">
      <c r="A33" s="223" t="s">
        <v>26</v>
      </c>
      <c r="B33" s="224"/>
      <c r="C33" s="224"/>
      <c r="D33" s="225" t="s">
        <v>2223</v>
      </c>
      <c r="E33" s="225"/>
      <c r="F33" s="858" t="s">
        <v>2224</v>
      </c>
      <c r="G33" s="858" t="s">
        <v>2225</v>
      </c>
      <c r="H33" s="858" t="s">
        <v>2216</v>
      </c>
      <c r="I33" s="77"/>
    </row>
    <row r="34" spans="1:11" x14ac:dyDescent="0.2">
      <c r="A34" s="890"/>
      <c r="B34" s="1105" t="s">
        <v>2226</v>
      </c>
      <c r="C34" s="1104"/>
      <c r="D34" s="46"/>
      <c r="E34" s="47"/>
      <c r="F34" s="340"/>
      <c r="G34" s="12"/>
      <c r="H34" s="7"/>
      <c r="I34" s="312">
        <f>SUM(H35:H37)</f>
        <v>0</v>
      </c>
    </row>
    <row r="35" spans="1:11" x14ac:dyDescent="0.2">
      <c r="A35" s="1086"/>
      <c r="B35" s="1087"/>
      <c r="C35" s="1119"/>
      <c r="D35" s="46" t="str">
        <f>IF(A35&lt;&gt;0,VLOOKUP(A35,Transporte,8,FALSE),$J$1)</f>
        <v>-</v>
      </c>
      <c r="E35" s="47"/>
      <c r="F35" s="340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69"/>
    </row>
    <row r="36" spans="1:11" x14ac:dyDescent="0.2">
      <c r="A36" s="1086"/>
      <c r="B36" s="1087"/>
      <c r="C36" s="1119"/>
      <c r="D36" s="46" t="str">
        <f>IF(A25&lt;&gt;0,VLOOKUP(A36,Transporte,8,FALSE),$J$1)</f>
        <v>-</v>
      </c>
      <c r="E36" s="47"/>
      <c r="F36" s="340" t="str">
        <f t="shared" si="5"/>
        <v>-</v>
      </c>
      <c r="G36" s="12"/>
      <c r="H36" s="7" t="str">
        <f t="shared" si="6"/>
        <v>-</v>
      </c>
      <c r="I36" s="69"/>
    </row>
    <row r="37" spans="1:11" x14ac:dyDescent="0.2">
      <c r="A37" s="1086"/>
      <c r="B37" s="1087"/>
      <c r="C37" s="1119"/>
      <c r="D37" s="46" t="str">
        <f>IF(A26&lt;&gt;0,VLOOKUP(A37,Transporte,8,FALSE),$J$1)</f>
        <v>-</v>
      </c>
      <c r="E37" s="47"/>
      <c r="F37" s="340" t="str">
        <f t="shared" si="5"/>
        <v>-</v>
      </c>
      <c r="G37" s="12"/>
      <c r="H37" s="7" t="str">
        <f t="shared" si="6"/>
        <v>-</v>
      </c>
      <c r="I37" s="297"/>
    </row>
    <row r="38" spans="1:11" x14ac:dyDescent="0.2">
      <c r="A38" s="871"/>
      <c r="B38" s="1105" t="s">
        <v>2227</v>
      </c>
      <c r="C38" s="1104"/>
      <c r="D38" s="46"/>
      <c r="E38" s="47"/>
      <c r="F38" s="340"/>
      <c r="G38" s="12"/>
      <c r="H38" s="7"/>
      <c r="I38" s="312">
        <f>SUM(H39:H40)</f>
        <v>0</v>
      </c>
    </row>
    <row r="39" spans="1:11" x14ac:dyDescent="0.2">
      <c r="A39" s="1086"/>
      <c r="B39" s="1087"/>
      <c r="C39" s="111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11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69"/>
    </row>
    <row r="41" spans="1:11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91">
        <f>SUM(I34:I40)</f>
        <v>0</v>
      </c>
    </row>
    <row r="42" spans="1:11" x14ac:dyDescent="0.2">
      <c r="A42" s="1108"/>
      <c r="B42" s="1034"/>
      <c r="C42" s="1034"/>
      <c r="D42" s="1034"/>
      <c r="E42" s="1034"/>
      <c r="F42" s="1034"/>
      <c r="G42" s="1034"/>
      <c r="H42" s="1034"/>
      <c r="I42" s="1109"/>
    </row>
    <row r="43" spans="1:11" x14ac:dyDescent="0.2">
      <c r="A43" s="1110" t="s">
        <v>554</v>
      </c>
      <c r="B43" s="1111"/>
      <c r="C43" s="1111"/>
      <c r="D43" s="1111"/>
      <c r="E43" s="1111"/>
      <c r="F43" s="1111"/>
      <c r="G43" s="1111"/>
      <c r="H43" s="1111"/>
      <c r="I43" s="1112"/>
    </row>
    <row r="44" spans="1:11" s="9" customFormat="1" ht="25.5" x14ac:dyDescent="0.2">
      <c r="A44" s="1113" t="s">
        <v>2229</v>
      </c>
      <c r="B44" s="1114"/>
      <c r="C44" s="1114"/>
      <c r="D44" s="1115" t="s">
        <v>2230</v>
      </c>
      <c r="E44" s="1115"/>
      <c r="F44" s="1115" t="s">
        <v>2218</v>
      </c>
      <c r="G44" s="1115"/>
      <c r="H44" s="858" t="s">
        <v>2216</v>
      </c>
      <c r="I44" s="67"/>
    </row>
    <row r="45" spans="1:11" x14ac:dyDescent="0.2">
      <c r="A45" s="1080" t="s">
        <v>60</v>
      </c>
      <c r="B45" s="1081"/>
      <c r="C45" s="1081"/>
      <c r="D45" s="1082">
        <f>IF(A45&lt;&gt;0,VLOOKUP(A45,Cuadrillas,7,FALSE),$J$1)</f>
        <v>290111.55</v>
      </c>
      <c r="E45" s="1082"/>
      <c r="F45" s="1083">
        <v>250</v>
      </c>
      <c r="G45" s="1083"/>
      <c r="H45" s="7">
        <f>IF(A45&lt;&gt;0,ROUND(D45/F45,2),$J$1)</f>
        <v>1160.45</v>
      </c>
      <c r="I45" s="68"/>
      <c r="K45" s="48"/>
    </row>
    <row r="46" spans="1:11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11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11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085"/>
      <c r="I50" s="242">
        <f>SUM(H45:H49)</f>
        <v>1160.45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091" t="s">
        <v>2233</v>
      </c>
      <c r="B53" s="1092"/>
      <c r="C53" s="1092"/>
      <c r="D53" s="1092"/>
      <c r="E53" s="1092"/>
      <c r="F53" s="1092"/>
      <c r="G53" s="1092"/>
      <c r="H53" s="1092"/>
      <c r="I53" s="302">
        <f>I50</f>
        <v>1160.45</v>
      </c>
    </row>
    <row r="54" spans="1:9" s="9" customFormat="1" ht="25.5" customHeight="1" thickTop="1" thickBot="1" x14ac:dyDescent="0.25">
      <c r="A54" s="1093" t="s">
        <v>2234</v>
      </c>
      <c r="B54" s="1094"/>
      <c r="C54" s="1094"/>
      <c r="D54" s="1094"/>
      <c r="E54" s="1094"/>
      <c r="F54" s="1094"/>
      <c r="G54" s="1094"/>
      <c r="H54" s="294"/>
      <c r="I54" s="303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101" t="s">
        <v>2236</v>
      </c>
      <c r="B56" s="1102"/>
      <c r="C56" s="1102"/>
      <c r="D56" s="1102"/>
      <c r="E56" s="1102"/>
      <c r="F56" s="1102"/>
      <c r="G56" s="1102"/>
      <c r="H56" s="107" t="e">
        <f>INT(I54+F55)</f>
        <v>#REF!</v>
      </c>
      <c r="I56" s="108"/>
    </row>
    <row r="57" spans="1:9" ht="13.5" thickTop="1" x14ac:dyDescent="0.2">
      <c r="I57" s="48"/>
    </row>
  </sheetData>
  <customSheetViews>
    <customSheetView guid="{93F324B6-F965-4669-93FF-DBB148734A46}" fitToPage="1" state="hidden">
      <selection activeCell="A2" sqref="A2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40:C40"/>
    <mergeCell ref="B38:C38"/>
    <mergeCell ref="A35:C35"/>
    <mergeCell ref="A36:C36"/>
    <mergeCell ref="A37:C37"/>
    <mergeCell ref="A25:C25"/>
    <mergeCell ref="A26:C26"/>
    <mergeCell ref="D45:E45"/>
    <mergeCell ref="A44:C44"/>
    <mergeCell ref="A45:C45"/>
    <mergeCell ref="D44:E44"/>
    <mergeCell ref="A27:C27"/>
    <mergeCell ref="A28:C28"/>
    <mergeCell ref="A29:C29"/>
    <mergeCell ref="A41:H41"/>
    <mergeCell ref="A42:I42"/>
    <mergeCell ref="F44:G44"/>
    <mergeCell ref="F45:G45"/>
    <mergeCell ref="A43:I43"/>
    <mergeCell ref="B34:C34"/>
    <mergeCell ref="A39:C39"/>
    <mergeCell ref="A56:G56"/>
    <mergeCell ref="A47:C47"/>
    <mergeCell ref="A48:C48"/>
    <mergeCell ref="D47:E47"/>
    <mergeCell ref="F47:G47"/>
    <mergeCell ref="A49:C49"/>
    <mergeCell ref="D48:E48"/>
    <mergeCell ref="A53:H53"/>
    <mergeCell ref="A50:H50"/>
    <mergeCell ref="F49:G49"/>
    <mergeCell ref="F48:G48"/>
    <mergeCell ref="D49:E49"/>
    <mergeCell ref="A55:C55"/>
    <mergeCell ref="D55:E55"/>
    <mergeCell ref="F55:I55"/>
    <mergeCell ref="F46:G46"/>
    <mergeCell ref="A46:C46"/>
    <mergeCell ref="D46:E46"/>
    <mergeCell ref="A54:G54"/>
    <mergeCell ref="A52:H52"/>
    <mergeCell ref="A51:I51"/>
    <mergeCell ref="A12:C12"/>
    <mergeCell ref="A13:C13"/>
    <mergeCell ref="A14:C14"/>
    <mergeCell ref="H1:I1"/>
    <mergeCell ref="C5:I5"/>
    <mergeCell ref="A8:C8"/>
    <mergeCell ref="A9:C9"/>
    <mergeCell ref="A10:C10"/>
    <mergeCell ref="A11:C11"/>
    <mergeCell ref="A1:C1"/>
    <mergeCell ref="A23:C23"/>
    <mergeCell ref="A24:C24"/>
    <mergeCell ref="A15:C15"/>
    <mergeCell ref="A16:C16"/>
    <mergeCell ref="A17:C17"/>
    <mergeCell ref="A18:C18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s">
        <v>2325</v>
      </c>
      <c r="C5" s="267" t="s">
        <v>602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/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4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>IF(A15&lt;&gt;0,VLOOKUP(A15,Materiales,6,FALSE),$J$1)</f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/>
      <c r="B23" s="1081"/>
      <c r="C23" s="1081"/>
      <c r="D23" s="33"/>
      <c r="E23" s="33"/>
      <c r="F23" s="12" t="str">
        <f t="shared" ref="F23:F29" si="3">IF(A23&lt;&gt;0,VLOOKUP(A23,Equipos,6,FALSE),$J$1)</f>
        <v>-</v>
      </c>
      <c r="G23" s="14"/>
      <c r="H23" s="7" t="str">
        <f t="shared" ref="H23:H29" si="4">IF(A23&lt;&gt;0,ROUND((F23/D23)*G23,2),$J$1)</f>
        <v>-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0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12">
        <f>SUM(H35:H37)</f>
        <v>0</v>
      </c>
    </row>
    <row r="35" spans="1:9" x14ac:dyDescent="0.2">
      <c r="A35" s="1086"/>
      <c r="B35" s="1087"/>
      <c r="C35" s="111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69"/>
    </row>
    <row r="36" spans="1:9" x14ac:dyDescent="0.2">
      <c r="A36" s="1086"/>
      <c r="B36" s="1087"/>
      <c r="C36" s="1119"/>
      <c r="D36" s="61" t="str">
        <f>IF(A25&lt;&gt;0,VLOOKUP(A36,Transporte,8,FALSE),$J$1)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69"/>
    </row>
    <row r="37" spans="1:9" x14ac:dyDescent="0.2">
      <c r="A37" s="1086"/>
      <c r="B37" s="1087"/>
      <c r="C37" s="1119"/>
      <c r="D37" s="61" t="str">
        <f>IF(A26&lt;&gt;0,VLOOKUP(A37,Transporte,8,FALSE),$J$1)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12">
        <f>SUM(H39:H40)</f>
        <v>0</v>
      </c>
    </row>
    <row r="39" spans="1:9" x14ac:dyDescent="0.2">
      <c r="A39" s="1086"/>
      <c r="B39" s="1087"/>
      <c r="C39" s="111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51</v>
      </c>
      <c r="B45" s="1081"/>
      <c r="C45" s="1081"/>
      <c r="D45" s="1082">
        <f>IF(A45&lt;&gt;0,VLOOKUP(A45,Cuadrillas,7,FALSE),$J$1)</f>
        <v>418739.68</v>
      </c>
      <c r="E45" s="1082"/>
      <c r="F45" s="1083">
        <v>0.16</v>
      </c>
      <c r="G45" s="1083"/>
      <c r="H45" s="7">
        <f>IF(A45&lt;&gt;0,ROUND(D45/F45,2),$J$1)</f>
        <v>2617123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2617123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0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2617123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2617123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785136.9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3402259.9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6:C36"/>
    <mergeCell ref="A37:C37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A39:C39"/>
    <mergeCell ref="A40:C40"/>
    <mergeCell ref="B34:C34"/>
    <mergeCell ref="B38:C38"/>
    <mergeCell ref="A35:C35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s">
        <v>2326</v>
      </c>
      <c r="C5" s="267" t="s">
        <v>2327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2310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185.5</v>
      </c>
      <c r="I23" s="69"/>
    </row>
    <row r="24" spans="1:9" x14ac:dyDescent="0.2">
      <c r="A24" s="1080" t="s">
        <v>480</v>
      </c>
      <c r="B24" s="1081"/>
      <c r="C24" s="1081"/>
      <c r="D24" s="33">
        <v>25</v>
      </c>
      <c r="E24" s="33"/>
      <c r="F24" s="12">
        <f t="shared" si="3"/>
        <v>31800</v>
      </c>
      <c r="G24" s="14">
        <v>1</v>
      </c>
      <c r="H24" s="7">
        <f t="shared" si="4"/>
        <v>1272</v>
      </c>
      <c r="I24" s="69"/>
    </row>
    <row r="25" spans="1:9" x14ac:dyDescent="0.2">
      <c r="A25" s="1080" t="s">
        <v>487</v>
      </c>
      <c r="B25" s="1081"/>
      <c r="C25" s="1081"/>
      <c r="D25" s="33">
        <v>150</v>
      </c>
      <c r="E25" s="33"/>
      <c r="F25" s="12">
        <f t="shared" si="3"/>
        <v>38160</v>
      </c>
      <c r="G25" s="14">
        <v>1</v>
      </c>
      <c r="H25" s="7">
        <f t="shared" si="4"/>
        <v>254.4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1711.9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46"/>
      <c r="E34" s="47"/>
      <c r="F34" s="15"/>
      <c r="G34" s="12"/>
      <c r="H34" s="7"/>
      <c r="I34" s="341">
        <f>SUM(H35:H37)</f>
        <v>21333.333333333332</v>
      </c>
    </row>
    <row r="35" spans="1:9" x14ac:dyDescent="0.2">
      <c r="A35" s="1210" t="s">
        <v>2072</v>
      </c>
      <c r="B35" s="1211"/>
      <c r="C35" s="1212"/>
      <c r="D35" s="46">
        <f>IF(A35&lt;&gt;0,VLOOKUP(A35,Transporte,8,FALSE),$J$1)</f>
        <v>256000</v>
      </c>
      <c r="E35" s="47"/>
      <c r="F35" s="15">
        <f t="shared" ref="F35:F40" si="5">IF(A35&lt;&gt;0,VLOOKUP(A35,Transporte,2,FALSE),$J$1)</f>
        <v>6</v>
      </c>
      <c r="G35" s="12">
        <v>0.5</v>
      </c>
      <c r="H35" s="7">
        <f t="shared" ref="H35:H40" si="6">IF(A35&lt;&gt;0,D35/F35*G35,$J$1)</f>
        <v>21333.333333333332</v>
      </c>
      <c r="I35" s="69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69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12">
        <f>SUM(H39:H40)</f>
        <v>0</v>
      </c>
    </row>
    <row r="39" spans="1:9" x14ac:dyDescent="0.2">
      <c r="A39" s="1086"/>
      <c r="B39" s="1087"/>
      <c r="C39" s="111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21333.333333333332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54</v>
      </c>
      <c r="B45" s="1081"/>
      <c r="C45" s="1081"/>
      <c r="D45" s="1082">
        <f>IF(A45&lt;&gt;0,VLOOKUP(A45,Cuadrillas,7,FALSE),$J$1)</f>
        <v>293183.03000000003</v>
      </c>
      <c r="E45" s="1082"/>
      <c r="F45" s="1083">
        <v>13</v>
      </c>
      <c r="G45" s="1083"/>
      <c r="H45" s="7">
        <f>IF(A45&lt;&gt;0,ROUND(D45/F45,2),$J$1)</f>
        <v>22552.54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22552.54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23045.233333333334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22552.54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45597.773333333331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13679.331999999999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59277.105333333326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2:H52"/>
    <mergeCell ref="A51:I51"/>
    <mergeCell ref="A50:H50"/>
    <mergeCell ref="F46:G46"/>
    <mergeCell ref="A1:C1"/>
    <mergeCell ref="B34:C34"/>
    <mergeCell ref="B38:C38"/>
    <mergeCell ref="A35:C35"/>
    <mergeCell ref="A36:C36"/>
    <mergeCell ref="A37:C37"/>
    <mergeCell ref="A39:C39"/>
    <mergeCell ref="A40:C40"/>
    <mergeCell ref="A46:C46"/>
    <mergeCell ref="D46:E46"/>
    <mergeCell ref="F44:G44"/>
    <mergeCell ref="F45:G45"/>
    <mergeCell ref="A43:I43"/>
    <mergeCell ref="A25:C25"/>
    <mergeCell ref="A26:C26"/>
    <mergeCell ref="D45:E45"/>
    <mergeCell ref="A44:C44"/>
    <mergeCell ref="A45:C45"/>
    <mergeCell ref="D44:E44"/>
    <mergeCell ref="A27:C27"/>
    <mergeCell ref="A28:C28"/>
    <mergeCell ref="A29:C29"/>
    <mergeCell ref="A41:H41"/>
    <mergeCell ref="A42:I42"/>
    <mergeCell ref="A56:G56"/>
    <mergeCell ref="H56:I56"/>
    <mergeCell ref="A47:C47"/>
    <mergeCell ref="A48:C48"/>
    <mergeCell ref="D47:E47"/>
    <mergeCell ref="F47:G47"/>
    <mergeCell ref="A49:C49"/>
    <mergeCell ref="D48:E48"/>
    <mergeCell ref="A53:H53"/>
    <mergeCell ref="F49:G49"/>
    <mergeCell ref="F48:G48"/>
    <mergeCell ref="D49:E49"/>
    <mergeCell ref="F55:I55"/>
    <mergeCell ref="A55:C55"/>
    <mergeCell ref="D55:E55"/>
    <mergeCell ref="A54:G54"/>
    <mergeCell ref="A14:C14"/>
    <mergeCell ref="H1:I1"/>
    <mergeCell ref="A23:C23"/>
    <mergeCell ref="A24:C24"/>
    <mergeCell ref="A15:C15"/>
    <mergeCell ref="A16:C16"/>
    <mergeCell ref="A17:C17"/>
    <mergeCell ref="A18:C18"/>
    <mergeCell ref="A8:C8"/>
    <mergeCell ref="A9:C9"/>
    <mergeCell ref="A10:C10"/>
    <mergeCell ref="A11:C11"/>
    <mergeCell ref="A12:C12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rgb="FFC00000"/>
    <pageSetUpPr fitToPage="1"/>
  </sheetPr>
  <dimension ref="A1:L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2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2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2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2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2" x14ac:dyDescent="0.2">
      <c r="A5" s="265" t="s">
        <v>2213</v>
      </c>
      <c r="B5" s="271" t="s">
        <v>2328</v>
      </c>
      <c r="C5" s="267" t="s">
        <v>2329</v>
      </c>
      <c r="D5" s="268"/>
      <c r="E5" s="268"/>
      <c r="F5" s="268"/>
      <c r="G5" s="268"/>
      <c r="H5" s="268"/>
      <c r="I5" s="269"/>
    </row>
    <row r="6" spans="1:12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2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  <c r="L7" s="165"/>
    </row>
    <row r="8" spans="1:12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2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2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2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2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2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2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2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2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10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</v>
      </c>
      <c r="I23" s="69"/>
    </row>
    <row r="24" spans="1:9" x14ac:dyDescent="0.2">
      <c r="A24" s="1080" t="s">
        <v>480</v>
      </c>
      <c r="B24" s="1081"/>
      <c r="C24" s="1081"/>
      <c r="D24" s="33">
        <v>23</v>
      </c>
      <c r="E24" s="33"/>
      <c r="F24" s="12">
        <f t="shared" si="3"/>
        <v>31800</v>
      </c>
      <c r="G24" s="14">
        <v>1</v>
      </c>
      <c r="H24" s="7">
        <f t="shared" si="4"/>
        <v>1382.61</v>
      </c>
      <c r="I24" s="69"/>
    </row>
    <row r="25" spans="1:9" x14ac:dyDescent="0.2">
      <c r="A25" s="1080" t="s">
        <v>487</v>
      </c>
      <c r="B25" s="1081"/>
      <c r="C25" s="1081"/>
      <c r="D25" s="33">
        <v>100</v>
      </c>
      <c r="E25" s="33"/>
      <c r="F25" s="12">
        <f t="shared" si="3"/>
        <v>38160</v>
      </c>
      <c r="G25" s="14">
        <v>1</v>
      </c>
      <c r="H25" s="7">
        <f t="shared" si="4"/>
        <v>381.6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2135.21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5"/>
      <c r="B34" s="1103" t="s">
        <v>2226</v>
      </c>
      <c r="C34" s="1298"/>
      <c r="D34" s="46"/>
      <c r="E34" s="47"/>
      <c r="F34" s="15"/>
      <c r="G34" s="12"/>
      <c r="H34" s="7"/>
      <c r="I34" s="342">
        <f>SUM(H35:H37)</f>
        <v>42666.666666666664</v>
      </c>
    </row>
    <row r="35" spans="1:9" x14ac:dyDescent="0.2">
      <c r="A35" s="1210" t="s">
        <v>2072</v>
      </c>
      <c r="B35" s="1211"/>
      <c r="C35" s="1212"/>
      <c r="D35" s="46">
        <f>IF(A35&lt;&gt;0,VLOOKUP(A35,Transporte,8,FALSE),$J$1)</f>
        <v>256000</v>
      </c>
      <c r="E35" s="47"/>
      <c r="F35" s="15">
        <f t="shared" ref="F35:F40" si="5">IF(A35&lt;&gt;0,VLOOKUP(A35,Transporte,2,FALSE),$J$1)</f>
        <v>6</v>
      </c>
      <c r="G35" s="12">
        <v>1</v>
      </c>
      <c r="H35" s="7">
        <f t="shared" ref="H35:H40" si="6">IF(A35&lt;&gt;0,D35/F35*G35,$J$1)</f>
        <v>42666.666666666664</v>
      </c>
      <c r="I35" s="69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69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297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12">
        <f>SUM(H39:H40)</f>
        <v>0</v>
      </c>
    </row>
    <row r="39" spans="1:9" x14ac:dyDescent="0.2">
      <c r="A39" s="1086"/>
      <c r="B39" s="1087"/>
      <c r="C39" s="111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42666.666666666664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54</v>
      </c>
      <c r="B45" s="1081"/>
      <c r="C45" s="1081"/>
      <c r="D45" s="1082">
        <f>IF(A45&lt;&gt;0,VLOOKUP(A45,Cuadrillas,7,FALSE),$J$1)</f>
        <v>293183.03000000003</v>
      </c>
      <c r="E45" s="1082"/>
      <c r="F45" s="1083">
        <v>9</v>
      </c>
      <c r="G45" s="1083"/>
      <c r="H45" s="7">
        <f>IF(A45&lt;&gt;0,ROUND(D45/F45,2),$J$1)</f>
        <v>32575.89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32575.89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44801.876666666663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32575.89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77377.766666666663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23213.329999999998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100591.09666666666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6:C36"/>
    <mergeCell ref="A37:C37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A39:C39"/>
    <mergeCell ref="A40:C40"/>
    <mergeCell ref="B34:C34"/>
    <mergeCell ref="B38:C38"/>
    <mergeCell ref="A35:C35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s">
        <v>2330</v>
      </c>
      <c r="C5" s="267" t="s">
        <v>2331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5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742</v>
      </c>
      <c r="I23" s="69"/>
    </row>
    <row r="24" spans="1:9" x14ac:dyDescent="0.2">
      <c r="A24" s="1080" t="s">
        <v>480</v>
      </c>
      <c r="B24" s="1081"/>
      <c r="C24" s="1081"/>
      <c r="D24" s="109">
        <v>10</v>
      </c>
      <c r="E24" s="33"/>
      <c r="F24" s="12">
        <f t="shared" si="3"/>
        <v>31800</v>
      </c>
      <c r="G24" s="14">
        <v>1</v>
      </c>
      <c r="H24" s="7">
        <f t="shared" si="4"/>
        <v>3180</v>
      </c>
      <c r="I24" s="69"/>
    </row>
    <row r="25" spans="1:9" x14ac:dyDescent="0.2">
      <c r="A25" s="1080" t="s">
        <v>487</v>
      </c>
      <c r="B25" s="1081"/>
      <c r="C25" s="1081"/>
      <c r="D25" s="33">
        <v>50</v>
      </c>
      <c r="E25" s="33"/>
      <c r="F25" s="12">
        <f t="shared" si="3"/>
        <v>38160</v>
      </c>
      <c r="G25" s="14">
        <v>1</v>
      </c>
      <c r="H25" s="7">
        <f t="shared" si="4"/>
        <v>763.2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4685.2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61" t="str">
        <f>IF(A34&lt;&gt;0,VLOOKUP(A34,Transporte,8,FALSE),$J$1)</f>
        <v>-</v>
      </c>
      <c r="E34" s="61"/>
      <c r="F34" s="15"/>
      <c r="G34" s="12"/>
      <c r="H34" s="7" t="str">
        <f t="shared" ref="H34:H40" si="5">IF(A34&lt;&gt;0,D34/F34*G34,$J$1)</f>
        <v>-</v>
      </c>
      <c r="I34" s="343">
        <f>SUM(H35:H37)</f>
        <v>85333.333333333328</v>
      </c>
    </row>
    <row r="35" spans="1:9" x14ac:dyDescent="0.2">
      <c r="A35" s="1210" t="s">
        <v>2072</v>
      </c>
      <c r="B35" s="1211"/>
      <c r="C35" s="1212"/>
      <c r="D35" s="61">
        <f>IF(A35&lt;&gt;0,VLOOKUP(A35,Transporte,8,FALSE),$J$1)</f>
        <v>256000</v>
      </c>
      <c r="E35" s="61"/>
      <c r="F35" s="15">
        <f t="shared" ref="F35:F40" si="6">IF(A35&lt;&gt;0,VLOOKUP(A35,Transporte,2,FALSE),$J$1)</f>
        <v>6</v>
      </c>
      <c r="G35" s="12">
        <v>2</v>
      </c>
      <c r="H35" s="7">
        <f t="shared" si="5"/>
        <v>85333.333333333328</v>
      </c>
      <c r="I35" s="344"/>
    </row>
    <row r="36" spans="1:9" x14ac:dyDescent="0.2">
      <c r="A36" s="1215"/>
      <c r="B36" s="1216"/>
      <c r="C36" s="1217"/>
      <c r="D36" s="61" t="str">
        <f>IF(A36&lt;&gt;0,VLOOKUP(A36,Transporte,8,FALSE),$J$1)</f>
        <v>-</v>
      </c>
      <c r="E36" s="61"/>
      <c r="F36" s="15" t="str">
        <f t="shared" si="6"/>
        <v>-</v>
      </c>
      <c r="G36" s="12"/>
      <c r="H36" s="7" t="str">
        <f t="shared" si="5"/>
        <v>-</v>
      </c>
      <c r="I36" s="344"/>
    </row>
    <row r="37" spans="1:9" x14ac:dyDescent="0.2">
      <c r="A37" s="1215"/>
      <c r="B37" s="1216"/>
      <c r="C37" s="1217"/>
      <c r="D37" s="61" t="str">
        <f>IF(A26&lt;&gt;0,VLOOKUP(A37,Transporte,8,FALSE),$J$1)</f>
        <v>-</v>
      </c>
      <c r="E37" s="61"/>
      <c r="F37" s="15" t="str">
        <f t="shared" si="6"/>
        <v>-</v>
      </c>
      <c r="G37" s="12"/>
      <c r="H37" s="7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61" t="str">
        <f>IF(A27&lt;&gt;0,VLOOKUP(A38,Transporte,8,FALSE),$J$1)</f>
        <v>-</v>
      </c>
      <c r="E38" s="61"/>
      <c r="F38" s="15" t="str">
        <f t="shared" si="6"/>
        <v>-</v>
      </c>
      <c r="G38" s="12"/>
      <c r="H38" s="7" t="str">
        <f t="shared" si="5"/>
        <v>-</v>
      </c>
      <c r="I38" s="343">
        <f>SUM(H39:H40)</f>
        <v>0</v>
      </c>
    </row>
    <row r="39" spans="1:9" x14ac:dyDescent="0.2">
      <c r="A39" s="1086"/>
      <c r="B39" s="1087"/>
      <c r="C39" s="1119"/>
      <c r="D39" s="61" t="str">
        <f>IF(A28&lt;&gt;0,VLOOKUP(A39,Transporte,8,FALSE),$J$1)</f>
        <v>-</v>
      </c>
      <c r="E39" s="61"/>
      <c r="F39" s="15" t="str">
        <f t="shared" si="6"/>
        <v>-</v>
      </c>
      <c r="G39" s="12"/>
      <c r="H39" s="7" t="str">
        <f t="shared" si="5"/>
        <v>-</v>
      </c>
      <c r="I39" s="69"/>
    </row>
    <row r="40" spans="1:9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6"/>
        <v>-</v>
      </c>
      <c r="G40" s="12"/>
      <c r="H40" s="7" t="str">
        <f t="shared" si="5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85333.333333333328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54</v>
      </c>
      <c r="B45" s="1081"/>
      <c r="C45" s="1081"/>
      <c r="D45" s="1082">
        <f>IF(A45&lt;&gt;0,VLOOKUP(A45,Cuadrillas,7,FALSE),$J$1)</f>
        <v>293183.03000000003</v>
      </c>
      <c r="E45" s="1082"/>
      <c r="F45" s="1083">
        <v>5</v>
      </c>
      <c r="G45" s="1083"/>
      <c r="H45" s="7">
        <f>IF(A45&lt;&gt;0,ROUND(D45/F45,2),$J$1)</f>
        <v>58636.61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58636.61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90018.533333333326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58636.61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148655.14333333331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44596.542999999991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193251.68633333332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2:H52"/>
    <mergeCell ref="A51:I51"/>
    <mergeCell ref="A50:H50"/>
    <mergeCell ref="F46:G46"/>
    <mergeCell ref="A1:C1"/>
    <mergeCell ref="B34:C34"/>
    <mergeCell ref="B38:C38"/>
    <mergeCell ref="A35:C35"/>
    <mergeCell ref="A36:C36"/>
    <mergeCell ref="A37:C37"/>
    <mergeCell ref="A39:C39"/>
    <mergeCell ref="A40:C40"/>
    <mergeCell ref="A46:C46"/>
    <mergeCell ref="D46:E46"/>
    <mergeCell ref="F44:G44"/>
    <mergeCell ref="F45:G45"/>
    <mergeCell ref="A43:I43"/>
    <mergeCell ref="A25:C25"/>
    <mergeCell ref="A26:C26"/>
    <mergeCell ref="D45:E45"/>
    <mergeCell ref="A44:C44"/>
    <mergeCell ref="A45:C45"/>
    <mergeCell ref="D44:E44"/>
    <mergeCell ref="A27:C27"/>
    <mergeCell ref="A28:C28"/>
    <mergeCell ref="A29:C29"/>
    <mergeCell ref="A41:H41"/>
    <mergeCell ref="A42:I42"/>
    <mergeCell ref="A56:G56"/>
    <mergeCell ref="H56:I56"/>
    <mergeCell ref="A47:C47"/>
    <mergeCell ref="A48:C48"/>
    <mergeCell ref="D47:E47"/>
    <mergeCell ref="F47:G47"/>
    <mergeCell ref="A49:C49"/>
    <mergeCell ref="D48:E48"/>
    <mergeCell ref="A53:H53"/>
    <mergeCell ref="F49:G49"/>
    <mergeCell ref="F48:G48"/>
    <mergeCell ref="D49:E49"/>
    <mergeCell ref="F55:I55"/>
    <mergeCell ref="A55:C55"/>
    <mergeCell ref="D55:E55"/>
    <mergeCell ref="A54:G54"/>
    <mergeCell ref="A14:C14"/>
    <mergeCell ref="H1:I1"/>
    <mergeCell ref="A23:C23"/>
    <mergeCell ref="A24:C24"/>
    <mergeCell ref="A15:C15"/>
    <mergeCell ref="A16:C16"/>
    <mergeCell ref="A17:C17"/>
    <mergeCell ref="A18:C18"/>
    <mergeCell ref="A8:C8"/>
    <mergeCell ref="A9:C9"/>
    <mergeCell ref="A10:C10"/>
    <mergeCell ref="A11:C11"/>
    <mergeCell ref="A12:C12"/>
    <mergeCell ref="A13:C13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s">
        <v>2332</v>
      </c>
      <c r="C5" s="267" t="s">
        <v>2333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2310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3710</v>
      </c>
      <c r="I23" s="69"/>
    </row>
    <row r="24" spans="1:9" x14ac:dyDescent="0.2">
      <c r="A24" s="1080" t="s">
        <v>480</v>
      </c>
      <c r="B24" s="1081"/>
      <c r="C24" s="1081"/>
      <c r="D24" s="109">
        <v>5</v>
      </c>
      <c r="E24" s="33"/>
      <c r="F24" s="12">
        <f t="shared" si="3"/>
        <v>31800</v>
      </c>
      <c r="G24" s="14">
        <v>1</v>
      </c>
      <c r="H24" s="7">
        <f t="shared" si="4"/>
        <v>6360</v>
      </c>
      <c r="I24" s="69"/>
    </row>
    <row r="25" spans="1:9" x14ac:dyDescent="0.2">
      <c r="A25" s="1080" t="s">
        <v>487</v>
      </c>
      <c r="B25" s="1081"/>
      <c r="C25" s="1081"/>
      <c r="D25" s="33">
        <v>10</v>
      </c>
      <c r="E25" s="33"/>
      <c r="F25" s="12">
        <f t="shared" si="3"/>
        <v>38160</v>
      </c>
      <c r="G25" s="14">
        <v>1</v>
      </c>
      <c r="H25" s="7">
        <f t="shared" si="4"/>
        <v>3816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13886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61" t="str">
        <f>IF(A34&lt;&gt;0,VLOOKUP(A34,Transporte,8,FALSE),$J$1)</f>
        <v>-</v>
      </c>
      <c r="E34" s="61"/>
      <c r="F34" s="15"/>
      <c r="G34" s="12"/>
      <c r="H34" s="7" t="str">
        <f t="shared" ref="H34:H40" si="5">IF(A34&lt;&gt;0,D34/F34*G34,$J$1)</f>
        <v>-</v>
      </c>
      <c r="I34" s="343">
        <f>SUM(H35:H37)</f>
        <v>106666.66666666666</v>
      </c>
    </row>
    <row r="35" spans="1:9" x14ac:dyDescent="0.2">
      <c r="A35" s="1210" t="s">
        <v>2072</v>
      </c>
      <c r="B35" s="1211"/>
      <c r="C35" s="1212"/>
      <c r="D35" s="61">
        <f>IF(A35&lt;&gt;0,VLOOKUP(A35,Transporte,8,FALSE),$J$1)</f>
        <v>256000</v>
      </c>
      <c r="E35" s="61"/>
      <c r="F35" s="15">
        <f t="shared" ref="F35:F40" si="6">IF(A35&lt;&gt;0,VLOOKUP(A35,Transporte,2,FALSE),$J$1)</f>
        <v>6</v>
      </c>
      <c r="G35" s="12">
        <v>2.5</v>
      </c>
      <c r="H35" s="7">
        <f>IF(A35&lt;&gt;0,D35/F35*G35,$J$1)</f>
        <v>106666.66666666666</v>
      </c>
      <c r="I35" s="344"/>
    </row>
    <row r="36" spans="1:9" x14ac:dyDescent="0.2">
      <c r="A36" s="1215"/>
      <c r="B36" s="1216"/>
      <c r="C36" s="1217"/>
      <c r="D36" s="61" t="str">
        <f>IF(A36&lt;&gt;0,VLOOKUP(A36,Transporte,8,FALSE),$J$1)</f>
        <v>-</v>
      </c>
      <c r="E36" s="61"/>
      <c r="F36" s="15" t="str">
        <f t="shared" si="6"/>
        <v>-</v>
      </c>
      <c r="G36" s="12"/>
      <c r="H36" s="7" t="str">
        <f t="shared" si="5"/>
        <v>-</v>
      </c>
      <c r="I36" s="344"/>
    </row>
    <row r="37" spans="1:9" x14ac:dyDescent="0.2">
      <c r="A37" s="1215"/>
      <c r="B37" s="1216"/>
      <c r="C37" s="1217"/>
      <c r="D37" s="61" t="str">
        <f>IF(A26&lt;&gt;0,VLOOKUP(A37,Transporte,8,FALSE),$J$1)</f>
        <v>-</v>
      </c>
      <c r="E37" s="61"/>
      <c r="F37" s="15" t="str">
        <f t="shared" si="6"/>
        <v>-</v>
      </c>
      <c r="G37" s="12"/>
      <c r="H37" s="7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61" t="str">
        <f>IF(A27&lt;&gt;0,VLOOKUP(A38,Transporte,8,FALSE),$J$1)</f>
        <v>-</v>
      </c>
      <c r="E38" s="61"/>
      <c r="F38" s="15" t="str">
        <f t="shared" si="6"/>
        <v>-</v>
      </c>
      <c r="G38" s="12"/>
      <c r="H38" s="7" t="str">
        <f t="shared" si="5"/>
        <v>-</v>
      </c>
      <c r="I38" s="343">
        <f>SUM(H39:H40)</f>
        <v>0</v>
      </c>
    </row>
    <row r="39" spans="1:9" x14ac:dyDescent="0.2">
      <c r="A39" s="1086"/>
      <c r="B39" s="1087"/>
      <c r="C39" s="1119"/>
      <c r="D39" s="61" t="str">
        <f>IF(A28&lt;&gt;0,VLOOKUP(A39,Transporte,8,FALSE),$J$1)</f>
        <v>-</v>
      </c>
      <c r="E39" s="61"/>
      <c r="F39" s="15" t="str">
        <f t="shared" si="6"/>
        <v>-</v>
      </c>
      <c r="G39" s="12"/>
      <c r="H39" s="7" t="str">
        <f t="shared" si="5"/>
        <v>-</v>
      </c>
      <c r="I39" s="69"/>
    </row>
    <row r="40" spans="1:9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6"/>
        <v>-</v>
      </c>
      <c r="G40" s="12"/>
      <c r="H40" s="7" t="str">
        <f t="shared" si="5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106666.66666666666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54</v>
      </c>
      <c r="B45" s="1081"/>
      <c r="C45" s="1081"/>
      <c r="D45" s="1082">
        <f>IF(A45&lt;&gt;0,VLOOKUP(A45,Cuadrillas,7,FALSE),$J$1)</f>
        <v>293183.03000000003</v>
      </c>
      <c r="E45" s="1082"/>
      <c r="F45" s="1083">
        <v>1.8</v>
      </c>
      <c r="G45" s="1083"/>
      <c r="H45" s="7">
        <f>IF(A45&lt;&gt;0,ROUND(D45/F45,2),$J$1)</f>
        <v>162879.46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162879.46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120552.66666666666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162879.46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283432.12666666665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85029.637999999992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368461.76466666663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36:C36"/>
    <mergeCell ref="A37:C37"/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A39:C39"/>
    <mergeCell ref="A40:C40"/>
    <mergeCell ref="B34:C34"/>
    <mergeCell ref="B38:C38"/>
    <mergeCell ref="A35:C35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3EDA00"/>
  </sheetPr>
  <dimension ref="A1:P68"/>
  <sheetViews>
    <sheetView view="pageBreakPreview" topLeftCell="A19" zoomScaleNormal="100" zoomScaleSheetLayoutView="100" workbookViewId="0">
      <selection activeCell="D22" sqref="D22:G22"/>
    </sheetView>
  </sheetViews>
  <sheetFormatPr baseColWidth="10" defaultColWidth="9.140625" defaultRowHeight="12.75" x14ac:dyDescent="0.2"/>
  <cols>
    <col min="1" max="1" width="54.7109375" style="1" bestFit="1" customWidth="1"/>
    <col min="2" max="2" width="3.28515625" style="1" customWidth="1"/>
    <col min="3" max="3" width="10.28515625" style="1" customWidth="1"/>
    <col min="4" max="4" width="13.7109375" style="122" customWidth="1"/>
    <col min="5" max="5" width="14.42578125" style="1" customWidth="1"/>
    <col min="6" max="6" width="12.28515625" style="122" customWidth="1"/>
    <col min="7" max="7" width="14.28515625" style="1" customWidth="1"/>
    <col min="8" max="16384" width="9.140625" style="1"/>
  </cols>
  <sheetData>
    <row r="1" spans="1:15" customFormat="1" x14ac:dyDescent="0.2">
      <c r="A1" s="166"/>
      <c r="B1" s="167"/>
      <c r="C1" s="167"/>
      <c r="D1" s="448"/>
      <c r="E1" s="182"/>
      <c r="F1" s="182"/>
      <c r="G1" s="168"/>
      <c r="H1" s="182"/>
      <c r="I1" s="182"/>
      <c r="J1" s="168"/>
      <c r="K1" s="168"/>
      <c r="L1" s="168"/>
      <c r="M1" s="1"/>
      <c r="N1" s="1"/>
    </row>
    <row r="2" spans="1:15" customFormat="1" x14ac:dyDescent="0.2">
      <c r="A2" s="166"/>
      <c r="B2" s="167"/>
      <c r="C2" s="167"/>
      <c r="D2" s="448"/>
      <c r="E2" s="168"/>
      <c r="F2" s="168"/>
      <c r="G2" s="168"/>
      <c r="H2" s="168"/>
      <c r="I2" s="135"/>
      <c r="J2" s="168"/>
      <c r="K2" s="168"/>
      <c r="L2" s="168"/>
      <c r="M2" s="169"/>
    </row>
    <row r="3" spans="1:15" customFormat="1" x14ac:dyDescent="0.2">
      <c r="A3" s="986" t="str">
        <f>+'Datos entrada'!B8</f>
        <v>CORREGIMIENTO DE LAS MESAS-MUNICIPIO DETABLON DE GOMES (N)</v>
      </c>
      <c r="B3" s="986"/>
      <c r="C3" s="986"/>
      <c r="D3" s="986"/>
      <c r="E3" s="986"/>
      <c r="F3" s="986"/>
      <c r="G3" s="1"/>
      <c r="H3" s="1"/>
      <c r="I3" s="1"/>
      <c r="J3" s="1"/>
      <c r="K3" s="168"/>
      <c r="L3" s="168"/>
      <c r="M3" s="169"/>
    </row>
    <row r="4" spans="1:15" customFormat="1" x14ac:dyDescent="0.2">
      <c r="A4" s="187"/>
      <c r="B4" s="188"/>
      <c r="C4" s="188"/>
      <c r="D4" s="449"/>
      <c r="E4" s="839"/>
      <c r="F4" s="185"/>
      <c r="G4" s="179"/>
      <c r="H4" s="183"/>
      <c r="I4" s="183"/>
      <c r="J4" s="1"/>
      <c r="K4" s="168"/>
      <c r="L4" s="168"/>
      <c r="M4" s="169"/>
    </row>
    <row r="5" spans="1:15" customFormat="1" ht="37.5" customHeight="1" x14ac:dyDescent="0.2">
      <c r="A5" s="1021" t="str">
        <f>+'Datos entrada'!B3</f>
        <v>OPTIMIZACIÓN Y AMPLIACIÓN DE LA RED ALCANTARILLADO DEL CORREGIMIENTO DE LAS MESAS, MUNICIPIO DE EL TABLON DE GOMEZ – DEPARTAMENTO DE NARIÑO.</v>
      </c>
      <c r="B5" s="1021"/>
      <c r="C5" s="1021"/>
      <c r="D5" s="1021"/>
      <c r="E5" s="1021"/>
      <c r="F5" s="1021"/>
      <c r="G5" s="115"/>
      <c r="H5" s="115"/>
      <c r="I5" s="115"/>
      <c r="J5" s="168"/>
      <c r="K5" s="168"/>
      <c r="L5" s="168"/>
      <c r="M5" s="169"/>
    </row>
    <row r="6" spans="1:15" customFormat="1" x14ac:dyDescent="0.2">
      <c r="A6" s="191"/>
      <c r="B6" s="1028"/>
      <c r="C6" s="1028"/>
      <c r="D6" s="1028"/>
      <c r="E6" s="1028"/>
      <c r="F6" s="1028"/>
      <c r="G6" s="184"/>
      <c r="H6" s="184"/>
      <c r="I6" s="184"/>
      <c r="J6" s="184"/>
      <c r="K6" s="184"/>
      <c r="L6" s="184"/>
      <c r="M6" s="184"/>
      <c r="N6" s="184"/>
      <c r="O6" s="184"/>
    </row>
    <row r="7" spans="1:15" x14ac:dyDescent="0.2">
      <c r="A7" s="994" t="s">
        <v>454</v>
      </c>
      <c r="B7" s="994"/>
      <c r="C7" s="994"/>
      <c r="D7" s="994"/>
      <c r="E7" s="994"/>
      <c r="F7" s="994"/>
      <c r="G7" s="132"/>
    </row>
    <row r="8" spans="1:15" x14ac:dyDescent="0.2">
      <c r="A8" s="1029" t="s">
        <v>455</v>
      </c>
      <c r="B8" s="1030"/>
      <c r="C8" s="1030"/>
      <c r="D8" s="1030"/>
      <c r="E8" s="1030"/>
      <c r="F8" s="1031"/>
      <c r="G8" s="155"/>
    </row>
    <row r="9" spans="1:15" x14ac:dyDescent="0.2">
      <c r="A9" s="156"/>
      <c r="B9" s="157"/>
      <c r="C9" s="157"/>
      <c r="D9" s="450"/>
      <c r="E9" s="157"/>
      <c r="F9" s="157"/>
      <c r="G9" s="155"/>
    </row>
    <row r="10" spans="1:15" x14ac:dyDescent="0.2">
      <c r="A10" s="162" t="s">
        <v>456</v>
      </c>
      <c r="B10" s="1032">
        <v>8</v>
      </c>
      <c r="C10" s="1033"/>
      <c r="D10" s="1034"/>
      <c r="E10" s="1034"/>
      <c r="F10" s="1034"/>
    </row>
    <row r="11" spans="1:15" s="10" customFormat="1" ht="22.5" customHeight="1" x14ac:dyDescent="0.2">
      <c r="A11" s="150" t="s">
        <v>26</v>
      </c>
      <c r="B11" s="1024" t="s">
        <v>457</v>
      </c>
      <c r="C11" s="1025"/>
      <c r="D11" s="154" t="s">
        <v>458</v>
      </c>
      <c r="E11" s="153" t="s">
        <v>35</v>
      </c>
      <c r="F11" s="154" t="s">
        <v>459</v>
      </c>
      <c r="G11" s="151"/>
    </row>
    <row r="12" spans="1:15" x14ac:dyDescent="0.2">
      <c r="A12" s="152" t="s">
        <v>460</v>
      </c>
      <c r="B12" s="1026">
        <f>+D12/$B$10</f>
        <v>43750</v>
      </c>
      <c r="C12" s="1027"/>
      <c r="D12" s="12">
        <v>350000</v>
      </c>
      <c r="E12" s="158">
        <f>+'Datos entrada'!$D$15</f>
        <v>0.06</v>
      </c>
      <c r="F12" s="159">
        <f t="shared" ref="F12:F63" si="0">+ROUND((D12*E12)+D12,2)</f>
        <v>371000</v>
      </c>
    </row>
    <row r="13" spans="1:15" x14ac:dyDescent="0.2">
      <c r="A13" s="803" t="s">
        <v>461</v>
      </c>
      <c r="B13" s="1022">
        <f>+D13/$B$10</f>
        <v>15000</v>
      </c>
      <c r="C13" s="1023"/>
      <c r="D13" s="407">
        <v>120000</v>
      </c>
      <c r="E13" s="158">
        <f>+'Datos entrada'!$D$15</f>
        <v>0.06</v>
      </c>
      <c r="F13" s="159">
        <f t="shared" si="0"/>
        <v>127200</v>
      </c>
    </row>
    <row r="14" spans="1:15" x14ac:dyDescent="0.2">
      <c r="A14" s="804" t="s">
        <v>462</v>
      </c>
      <c r="B14" s="1022">
        <f>+D14/$B$10</f>
        <v>65000</v>
      </c>
      <c r="C14" s="1023"/>
      <c r="D14" s="407">
        <v>520000</v>
      </c>
      <c r="E14" s="158">
        <f>+'Datos entrada'!$D$15</f>
        <v>0.06</v>
      </c>
      <c r="F14" s="159">
        <f t="shared" si="0"/>
        <v>551200</v>
      </c>
      <c r="G14" s="1" t="s">
        <v>120</v>
      </c>
      <c r="H14" s="1" t="s">
        <v>463</v>
      </c>
    </row>
    <row r="15" spans="1:15" x14ac:dyDescent="0.2">
      <c r="A15" s="804" t="s">
        <v>464</v>
      </c>
      <c r="B15" s="1022">
        <f t="shared" ref="B15:B33" si="1">+D15/$B$10</f>
        <v>4000</v>
      </c>
      <c r="C15" s="1023"/>
      <c r="D15" s="407">
        <v>32000</v>
      </c>
      <c r="E15" s="158">
        <f>+'Datos entrada'!$D$15</f>
        <v>0.06</v>
      </c>
      <c r="F15" s="159">
        <f t="shared" si="0"/>
        <v>33920</v>
      </c>
    </row>
    <row r="16" spans="1:15" x14ac:dyDescent="0.2">
      <c r="A16" s="804" t="s">
        <v>465</v>
      </c>
      <c r="B16" s="843"/>
      <c r="C16" s="805">
        <v>20000</v>
      </c>
      <c r="D16" s="407">
        <v>160000</v>
      </c>
      <c r="E16" s="158">
        <f>+'Datos entrada'!$D$15</f>
        <v>0.06</v>
      </c>
      <c r="F16" s="159">
        <f t="shared" si="0"/>
        <v>169600</v>
      </c>
    </row>
    <row r="17" spans="1:8" x14ac:dyDescent="0.2">
      <c r="A17" s="803" t="s">
        <v>466</v>
      </c>
      <c r="B17" s="1022">
        <f t="shared" si="1"/>
        <v>18750</v>
      </c>
      <c r="C17" s="1023"/>
      <c r="D17" s="407">
        <v>150000</v>
      </c>
      <c r="E17" s="158">
        <f>+'Datos entrada'!$D$15</f>
        <v>0.06</v>
      </c>
      <c r="F17" s="159">
        <f t="shared" si="0"/>
        <v>159000</v>
      </c>
    </row>
    <row r="18" spans="1:8" x14ac:dyDescent="0.2">
      <c r="A18" s="804" t="s">
        <v>467</v>
      </c>
      <c r="B18" s="1022">
        <f t="shared" si="1"/>
        <v>2900</v>
      </c>
      <c r="C18" s="1023"/>
      <c r="D18" s="407">
        <v>23200</v>
      </c>
      <c r="E18" s="158">
        <f>+'Datos entrada'!$D$15</f>
        <v>0.06</v>
      </c>
      <c r="F18" s="159">
        <f t="shared" si="0"/>
        <v>24592</v>
      </c>
      <c r="G18" s="1" t="s">
        <v>136</v>
      </c>
      <c r="H18" s="1" t="s">
        <v>468</v>
      </c>
    </row>
    <row r="19" spans="1:8" x14ac:dyDescent="0.2">
      <c r="A19" s="804" t="s">
        <v>469</v>
      </c>
      <c r="B19" s="1022">
        <f t="shared" si="1"/>
        <v>2500</v>
      </c>
      <c r="C19" s="1023"/>
      <c r="D19" s="407">
        <v>20000</v>
      </c>
      <c r="E19" s="158">
        <f>+'Datos entrada'!$D$15</f>
        <v>0.06</v>
      </c>
      <c r="F19" s="159">
        <f t="shared" si="0"/>
        <v>21200</v>
      </c>
    </row>
    <row r="20" spans="1:8" x14ac:dyDescent="0.2">
      <c r="A20" s="804" t="s">
        <v>470</v>
      </c>
      <c r="B20" s="1022">
        <f t="shared" si="1"/>
        <v>3775</v>
      </c>
      <c r="C20" s="1023"/>
      <c r="D20" s="407">
        <v>30200</v>
      </c>
      <c r="E20" s="158">
        <f>+'Datos entrada'!$D$15</f>
        <v>0.06</v>
      </c>
      <c r="F20" s="159">
        <f t="shared" si="0"/>
        <v>32012</v>
      </c>
      <c r="G20" s="1" t="s">
        <v>120</v>
      </c>
      <c r="H20" s="1" t="s">
        <v>471</v>
      </c>
    </row>
    <row r="21" spans="1:8" x14ac:dyDescent="0.2">
      <c r="A21" s="804" t="s">
        <v>472</v>
      </c>
      <c r="B21" s="1022">
        <f t="shared" si="1"/>
        <v>8500</v>
      </c>
      <c r="C21" s="1023"/>
      <c r="D21" s="407">
        <v>68000</v>
      </c>
      <c r="E21" s="158">
        <f>+'Datos entrada'!$D$15</f>
        <v>0.06</v>
      </c>
      <c r="F21" s="159">
        <f t="shared" si="0"/>
        <v>72080</v>
      </c>
    </row>
    <row r="22" spans="1:8" x14ac:dyDescent="0.2">
      <c r="A22" s="803" t="s">
        <v>473</v>
      </c>
      <c r="B22" s="1022">
        <f t="shared" si="1"/>
        <v>287.5</v>
      </c>
      <c r="C22" s="1023"/>
      <c r="D22" s="407">
        <v>2300</v>
      </c>
      <c r="E22" s="158">
        <f>+'Datos entrada'!$D$15</f>
        <v>0.06</v>
      </c>
      <c r="F22" s="159">
        <f t="shared" si="0"/>
        <v>2438</v>
      </c>
    </row>
    <row r="23" spans="1:8" x14ac:dyDescent="0.2">
      <c r="A23" s="804" t="s">
        <v>474</v>
      </c>
      <c r="B23" s="1022">
        <f t="shared" si="1"/>
        <v>62.5</v>
      </c>
      <c r="C23" s="1023"/>
      <c r="D23" s="407">
        <v>500</v>
      </c>
      <c r="E23" s="158">
        <f>+'Datos entrada'!$D$15</f>
        <v>0.06</v>
      </c>
      <c r="F23" s="159">
        <f t="shared" si="0"/>
        <v>530</v>
      </c>
    </row>
    <row r="24" spans="1:8" x14ac:dyDescent="0.2">
      <c r="A24" s="804" t="s">
        <v>475</v>
      </c>
      <c r="B24" s="1022">
        <f t="shared" si="1"/>
        <v>31.25</v>
      </c>
      <c r="C24" s="1023"/>
      <c r="D24" s="407">
        <v>250</v>
      </c>
      <c r="E24" s="158">
        <f>+'Datos entrada'!$D$15</f>
        <v>0.06</v>
      </c>
      <c r="F24" s="159">
        <f t="shared" si="0"/>
        <v>265</v>
      </c>
    </row>
    <row r="25" spans="1:8" x14ac:dyDescent="0.2">
      <c r="A25" s="804" t="s">
        <v>476</v>
      </c>
      <c r="B25" s="1022">
        <f t="shared" si="1"/>
        <v>684.875</v>
      </c>
      <c r="C25" s="1023"/>
      <c r="D25" s="407">
        <v>5479</v>
      </c>
      <c r="E25" s="158">
        <f>+'Datos entrada'!$D$15</f>
        <v>0.06</v>
      </c>
      <c r="F25" s="159">
        <f t="shared" si="0"/>
        <v>5807.74</v>
      </c>
    </row>
    <row r="26" spans="1:8" x14ac:dyDescent="0.2">
      <c r="A26" s="803" t="s">
        <v>477</v>
      </c>
      <c r="B26" s="1022">
        <f t="shared" si="1"/>
        <v>437.5</v>
      </c>
      <c r="C26" s="1023"/>
      <c r="D26" s="407">
        <v>3500</v>
      </c>
      <c r="E26" s="158">
        <f>+'Datos entrada'!$D$15</f>
        <v>0.06</v>
      </c>
      <c r="F26" s="159">
        <f t="shared" si="0"/>
        <v>3710</v>
      </c>
    </row>
    <row r="27" spans="1:8" x14ac:dyDescent="0.2">
      <c r="A27" s="804" t="s">
        <v>478</v>
      </c>
      <c r="B27" s="1022">
        <f t="shared" si="1"/>
        <v>7500</v>
      </c>
      <c r="C27" s="1023"/>
      <c r="D27" s="407">
        <v>60000</v>
      </c>
      <c r="E27" s="158">
        <f>+'Datos entrada'!$D$15</f>
        <v>0.06</v>
      </c>
      <c r="F27" s="159">
        <f t="shared" si="0"/>
        <v>63600</v>
      </c>
      <c r="G27" s="1" t="s">
        <v>120</v>
      </c>
      <c r="H27" s="1" t="s">
        <v>479</v>
      </c>
    </row>
    <row r="28" spans="1:8" x14ac:dyDescent="0.2">
      <c r="A28" s="804" t="s">
        <v>480</v>
      </c>
      <c r="B28" s="1022">
        <f t="shared" si="1"/>
        <v>3750</v>
      </c>
      <c r="C28" s="1023"/>
      <c r="D28" s="407">
        <v>30000</v>
      </c>
      <c r="E28" s="158">
        <f>+'Datos entrada'!$D$15</f>
        <v>0.06</v>
      </c>
      <c r="F28" s="159">
        <f t="shared" si="0"/>
        <v>31800</v>
      </c>
      <c r="G28" s="1" t="s">
        <v>128</v>
      </c>
      <c r="H28" s="1" t="s">
        <v>481</v>
      </c>
    </row>
    <row r="29" spans="1:8" x14ac:dyDescent="0.2">
      <c r="A29" s="804" t="s">
        <v>482</v>
      </c>
      <c r="B29" s="1022">
        <f t="shared" si="1"/>
        <v>187.5</v>
      </c>
      <c r="C29" s="1023"/>
      <c r="D29" s="407">
        <v>1500</v>
      </c>
      <c r="E29" s="158">
        <f>+'Datos entrada'!$D$15</f>
        <v>0.06</v>
      </c>
      <c r="F29" s="159">
        <f t="shared" si="0"/>
        <v>1590</v>
      </c>
      <c r="G29" s="1" t="s">
        <v>120</v>
      </c>
      <c r="H29" s="1" t="s">
        <v>483</v>
      </c>
    </row>
    <row r="30" spans="1:8" x14ac:dyDescent="0.2">
      <c r="A30" s="804" t="s">
        <v>484</v>
      </c>
      <c r="B30" s="1022">
        <f t="shared" si="1"/>
        <v>213.75</v>
      </c>
      <c r="C30" s="1023"/>
      <c r="D30" s="407">
        <v>1710</v>
      </c>
      <c r="E30" s="158">
        <f>+'Datos entrada'!$D$15</f>
        <v>0.06</v>
      </c>
      <c r="F30" s="159">
        <f t="shared" si="0"/>
        <v>1812.6</v>
      </c>
      <c r="G30" s="1" t="s">
        <v>120</v>
      </c>
      <c r="H30" s="1" t="s">
        <v>485</v>
      </c>
    </row>
    <row r="31" spans="1:8" x14ac:dyDescent="0.2">
      <c r="A31" s="804" t="s">
        <v>486</v>
      </c>
      <c r="B31" s="1022">
        <f t="shared" si="1"/>
        <v>213.75</v>
      </c>
      <c r="C31" s="1023"/>
      <c r="D31" s="407">
        <v>1710</v>
      </c>
      <c r="E31" s="158">
        <f>+'Datos entrada'!$D$15</f>
        <v>0.06</v>
      </c>
      <c r="F31" s="159">
        <f t="shared" si="0"/>
        <v>1812.6</v>
      </c>
      <c r="G31" s="1" t="s">
        <v>120</v>
      </c>
      <c r="H31" s="1" t="s">
        <v>485</v>
      </c>
    </row>
    <row r="32" spans="1:8" x14ac:dyDescent="0.2">
      <c r="A32" s="804" t="s">
        <v>487</v>
      </c>
      <c r="B32" s="1022">
        <f t="shared" si="1"/>
        <v>4500</v>
      </c>
      <c r="C32" s="1023"/>
      <c r="D32" s="407">
        <v>36000</v>
      </c>
      <c r="E32" s="158">
        <f>+'Datos entrada'!$D$15</f>
        <v>0.06</v>
      </c>
      <c r="F32" s="159">
        <f t="shared" si="0"/>
        <v>38160</v>
      </c>
    </row>
    <row r="33" spans="1:8" x14ac:dyDescent="0.2">
      <c r="A33" s="803" t="s">
        <v>488</v>
      </c>
      <c r="B33" s="1022">
        <f t="shared" si="1"/>
        <v>7500</v>
      </c>
      <c r="C33" s="1023"/>
      <c r="D33" s="407">
        <v>60000</v>
      </c>
      <c r="E33" s="158">
        <f>+'Datos entrada'!$D$15</f>
        <v>0.06</v>
      </c>
      <c r="F33" s="159">
        <f t="shared" si="0"/>
        <v>63600</v>
      </c>
      <c r="G33" s="1" t="s">
        <v>120</v>
      </c>
      <c r="H33" s="1" t="s">
        <v>489</v>
      </c>
    </row>
    <row r="34" spans="1:8" x14ac:dyDescent="0.2">
      <c r="A34" s="803" t="s">
        <v>490</v>
      </c>
      <c r="B34" s="1022">
        <v>102937</v>
      </c>
      <c r="C34" s="1023"/>
      <c r="D34" s="407">
        <f>B34*$B$10</f>
        <v>823496</v>
      </c>
      <c r="E34" s="158">
        <f>+'Datos entrada'!$D$15</f>
        <v>0.06</v>
      </c>
      <c r="F34" s="159">
        <f t="shared" si="0"/>
        <v>872905.76</v>
      </c>
      <c r="G34" s="1" t="s">
        <v>257</v>
      </c>
      <c r="H34" s="1" t="s">
        <v>491</v>
      </c>
    </row>
    <row r="35" spans="1:8" x14ac:dyDescent="0.2">
      <c r="A35" s="804" t="s">
        <v>492</v>
      </c>
      <c r="B35" s="1022">
        <v>80000</v>
      </c>
      <c r="C35" s="1023"/>
      <c r="D35" s="407">
        <f>B35*$B$10</f>
        <v>640000</v>
      </c>
      <c r="E35" s="158">
        <f>+'Datos entrada'!$D$15</f>
        <v>0.06</v>
      </c>
      <c r="F35" s="159">
        <f t="shared" si="0"/>
        <v>678400</v>
      </c>
      <c r="G35" s="1" t="s">
        <v>120</v>
      </c>
      <c r="H35" s="1" t="s">
        <v>493</v>
      </c>
    </row>
    <row r="36" spans="1:8" x14ac:dyDescent="0.2">
      <c r="A36" s="803" t="s">
        <v>494</v>
      </c>
      <c r="B36" s="1022">
        <f t="shared" ref="B36:B46" si="2">+D36/$B$10</f>
        <v>4081.25</v>
      </c>
      <c r="C36" s="1023"/>
      <c r="D36" s="407">
        <v>32650</v>
      </c>
      <c r="E36" s="158">
        <f>+'Datos entrada'!$D$15</f>
        <v>0.06</v>
      </c>
      <c r="F36" s="159">
        <f t="shared" si="0"/>
        <v>34609</v>
      </c>
    </row>
    <row r="37" spans="1:8" x14ac:dyDescent="0.2">
      <c r="A37" s="804" t="s">
        <v>495</v>
      </c>
      <c r="B37" s="1022">
        <f t="shared" si="2"/>
        <v>4375</v>
      </c>
      <c r="C37" s="1023"/>
      <c r="D37" s="407">
        <v>35000</v>
      </c>
      <c r="E37" s="158">
        <f>+'Datos entrada'!$D$15</f>
        <v>0.06</v>
      </c>
      <c r="F37" s="159">
        <f t="shared" si="0"/>
        <v>37100</v>
      </c>
    </row>
    <row r="38" spans="1:8" x14ac:dyDescent="0.2">
      <c r="A38" s="804" t="s">
        <v>496</v>
      </c>
      <c r="B38" s="1022">
        <f t="shared" si="2"/>
        <v>7500</v>
      </c>
      <c r="C38" s="1023"/>
      <c r="D38" s="407">
        <v>60000</v>
      </c>
      <c r="E38" s="158">
        <f>+'Datos entrada'!$D$15</f>
        <v>0.06</v>
      </c>
      <c r="F38" s="159">
        <f t="shared" si="0"/>
        <v>63600</v>
      </c>
    </row>
    <row r="39" spans="1:8" x14ac:dyDescent="0.2">
      <c r="A39" s="804" t="s">
        <v>497</v>
      </c>
      <c r="B39" s="1022">
        <f t="shared" si="2"/>
        <v>5000</v>
      </c>
      <c r="C39" s="1023"/>
      <c r="D39" s="407">
        <v>40000</v>
      </c>
      <c r="E39" s="158">
        <f>+'Datos entrada'!$D$15</f>
        <v>0.06</v>
      </c>
      <c r="F39" s="159">
        <f t="shared" si="0"/>
        <v>42400</v>
      </c>
    </row>
    <row r="40" spans="1:8" x14ac:dyDescent="0.2">
      <c r="A40" s="804" t="s">
        <v>498</v>
      </c>
      <c r="B40" s="1022">
        <f t="shared" si="2"/>
        <v>4615</v>
      </c>
      <c r="C40" s="1023"/>
      <c r="D40" s="407">
        <v>36920</v>
      </c>
      <c r="E40" s="158">
        <f>+'Datos entrada'!$D$15</f>
        <v>0.06</v>
      </c>
      <c r="F40" s="159">
        <f t="shared" si="0"/>
        <v>39135.199999999997</v>
      </c>
      <c r="G40" s="1" t="s">
        <v>136</v>
      </c>
      <c r="H40" s="1" t="s">
        <v>499</v>
      </c>
    </row>
    <row r="41" spans="1:8" x14ac:dyDescent="0.2">
      <c r="A41" s="804" t="s">
        <v>500</v>
      </c>
      <c r="B41" s="1022">
        <f t="shared" si="2"/>
        <v>31250</v>
      </c>
      <c r="C41" s="1023"/>
      <c r="D41" s="407">
        <v>250000</v>
      </c>
      <c r="E41" s="158">
        <f>+'Datos entrada'!$D$15</f>
        <v>0.06</v>
      </c>
      <c r="F41" s="159">
        <f t="shared" si="0"/>
        <v>265000</v>
      </c>
    </row>
    <row r="42" spans="1:8" x14ac:dyDescent="0.2">
      <c r="A42" s="804" t="s">
        <v>501</v>
      </c>
      <c r="B42" s="1022">
        <f t="shared" si="2"/>
        <v>8449.7612499999996</v>
      </c>
      <c r="C42" s="1023"/>
      <c r="D42" s="407">
        <f>37500+Salarios!E64</f>
        <v>67598.09</v>
      </c>
      <c r="E42" s="158">
        <f>+'Datos entrada'!$D$15</f>
        <v>0.06</v>
      </c>
      <c r="F42" s="159">
        <f t="shared" si="0"/>
        <v>71653.98</v>
      </c>
      <c r="G42" s="1" t="s">
        <v>136</v>
      </c>
      <c r="H42" s="1" t="s">
        <v>502</v>
      </c>
    </row>
    <row r="43" spans="1:8" x14ac:dyDescent="0.2">
      <c r="A43" s="804" t="s">
        <v>503</v>
      </c>
      <c r="B43" s="1022">
        <f t="shared" si="2"/>
        <v>375</v>
      </c>
      <c r="C43" s="1023"/>
      <c r="D43" s="806">
        <v>3000</v>
      </c>
      <c r="E43" s="158">
        <f>+'Datos entrada'!$D$15</f>
        <v>0.06</v>
      </c>
      <c r="F43" s="159">
        <f t="shared" si="0"/>
        <v>3180</v>
      </c>
      <c r="G43" s="1" t="s">
        <v>128</v>
      </c>
      <c r="H43" s="1" t="s">
        <v>504</v>
      </c>
    </row>
    <row r="44" spans="1:8" x14ac:dyDescent="0.2">
      <c r="A44" s="804" t="s">
        <v>505</v>
      </c>
      <c r="B44" s="1022">
        <f t="shared" si="2"/>
        <v>125</v>
      </c>
      <c r="C44" s="1023"/>
      <c r="D44" s="806">
        <v>1000</v>
      </c>
      <c r="E44" s="158">
        <f>+'Datos entrada'!$D$15</f>
        <v>0.06</v>
      </c>
      <c r="F44" s="159">
        <f t="shared" si="0"/>
        <v>1060</v>
      </c>
    </row>
    <row r="45" spans="1:8" x14ac:dyDescent="0.2">
      <c r="A45" s="807" t="s">
        <v>506</v>
      </c>
      <c r="B45" s="1022">
        <f t="shared" si="2"/>
        <v>3375</v>
      </c>
      <c r="C45" s="1023"/>
      <c r="D45" s="806">
        <v>27000</v>
      </c>
      <c r="E45" s="158">
        <f>+'Datos entrada'!$D$15</f>
        <v>0.06</v>
      </c>
      <c r="F45" s="159">
        <f t="shared" si="0"/>
        <v>28620</v>
      </c>
      <c r="G45" s="1" t="s">
        <v>136</v>
      </c>
      <c r="H45" s="1" t="s">
        <v>507</v>
      </c>
    </row>
    <row r="46" spans="1:8" x14ac:dyDescent="0.2">
      <c r="A46" s="803" t="s">
        <v>508</v>
      </c>
      <c r="B46" s="1022">
        <f t="shared" si="2"/>
        <v>1875</v>
      </c>
      <c r="C46" s="1023"/>
      <c r="D46" s="806">
        <v>15000</v>
      </c>
      <c r="E46" s="158">
        <f>+'Datos entrada'!$D$15</f>
        <v>0.06</v>
      </c>
      <c r="F46" s="159">
        <f t="shared" si="0"/>
        <v>15900</v>
      </c>
    </row>
    <row r="47" spans="1:8" x14ac:dyDescent="0.2">
      <c r="A47" s="807" t="s">
        <v>509</v>
      </c>
      <c r="B47" s="1022">
        <v>38000</v>
      </c>
      <c r="C47" s="1023"/>
      <c r="D47" s="806">
        <v>38000</v>
      </c>
      <c r="E47" s="158">
        <f>+'Datos entrada'!$D$15</f>
        <v>0.06</v>
      </c>
      <c r="F47" s="159">
        <f t="shared" si="0"/>
        <v>40280</v>
      </c>
    </row>
    <row r="48" spans="1:8" x14ac:dyDescent="0.2">
      <c r="A48" s="807" t="s">
        <v>510</v>
      </c>
      <c r="B48" s="1022">
        <v>42000</v>
      </c>
      <c r="C48" s="1023"/>
      <c r="D48" s="806">
        <v>42000</v>
      </c>
      <c r="E48" s="158">
        <f>+'Datos entrada'!$D$15</f>
        <v>0.06</v>
      </c>
      <c r="F48" s="159">
        <f t="shared" si="0"/>
        <v>44520</v>
      </c>
    </row>
    <row r="49" spans="1:8" x14ac:dyDescent="0.2">
      <c r="A49" s="807" t="s">
        <v>511</v>
      </c>
      <c r="B49" s="1022">
        <v>65000</v>
      </c>
      <c r="C49" s="1023"/>
      <c r="D49" s="806">
        <v>65000</v>
      </c>
      <c r="E49" s="158">
        <f>+'Datos entrada'!$D$15</f>
        <v>0.06</v>
      </c>
      <c r="F49" s="159">
        <f t="shared" si="0"/>
        <v>68900</v>
      </c>
    </row>
    <row r="50" spans="1:8" x14ac:dyDescent="0.2">
      <c r="A50" s="807" t="s">
        <v>512</v>
      </c>
      <c r="B50" s="1022">
        <v>114000</v>
      </c>
      <c r="C50" s="1023"/>
      <c r="D50" s="806">
        <v>114000</v>
      </c>
      <c r="E50" s="158">
        <f>+'Datos entrada'!$D$15</f>
        <v>0.06</v>
      </c>
      <c r="F50" s="159">
        <f t="shared" si="0"/>
        <v>120840</v>
      </c>
    </row>
    <row r="51" spans="1:8" x14ac:dyDescent="0.2">
      <c r="A51" s="807" t="s">
        <v>513</v>
      </c>
      <c r="B51" s="1022">
        <v>152000</v>
      </c>
      <c r="C51" s="1023"/>
      <c r="D51" s="806">
        <v>152000</v>
      </c>
      <c r="E51" s="158">
        <f>+'Datos entrada'!$D$15</f>
        <v>0.06</v>
      </c>
      <c r="F51" s="159">
        <f t="shared" si="0"/>
        <v>161120</v>
      </c>
    </row>
    <row r="52" spans="1:8" x14ac:dyDescent="0.2">
      <c r="A52" s="807" t="s">
        <v>514</v>
      </c>
      <c r="B52" s="1022">
        <f>+D52/8</f>
        <v>8125</v>
      </c>
      <c r="C52" s="1023"/>
      <c r="D52" s="806">
        <v>65000</v>
      </c>
      <c r="E52" s="158">
        <f>+'Datos entrada'!$D$15</f>
        <v>0.06</v>
      </c>
      <c r="F52" s="159">
        <f t="shared" si="0"/>
        <v>68900</v>
      </c>
    </row>
    <row r="53" spans="1:8" x14ac:dyDescent="0.2">
      <c r="A53" s="803" t="s">
        <v>515</v>
      </c>
      <c r="B53" s="1022">
        <f>+D53/$B$10</f>
        <v>3750</v>
      </c>
      <c r="C53" s="1023"/>
      <c r="D53" s="806">
        <v>30000</v>
      </c>
      <c r="E53" s="158">
        <f>+'Datos entrada'!$D$15</f>
        <v>0.06</v>
      </c>
      <c r="F53" s="159">
        <f t="shared" si="0"/>
        <v>31800</v>
      </c>
      <c r="G53" s="1" t="s">
        <v>120</v>
      </c>
      <c r="H53" s="1" t="s">
        <v>516</v>
      </c>
    </row>
    <row r="54" spans="1:8" x14ac:dyDescent="0.2">
      <c r="A54" s="803" t="s">
        <v>517</v>
      </c>
      <c r="B54" s="1022">
        <f>+D54/$B$10</f>
        <v>6875</v>
      </c>
      <c r="C54" s="1023"/>
      <c r="D54" s="806">
        <v>55000</v>
      </c>
      <c r="E54" s="158">
        <f>+'Datos entrada'!$D$15</f>
        <v>0.06</v>
      </c>
      <c r="F54" s="159">
        <f t="shared" si="0"/>
        <v>58300</v>
      </c>
      <c r="G54" s="1" t="s">
        <v>128</v>
      </c>
      <c r="H54" s="1" t="s">
        <v>518</v>
      </c>
    </row>
    <row r="55" spans="1:8" x14ac:dyDescent="0.2">
      <c r="A55" s="803" t="s">
        <v>519</v>
      </c>
      <c r="B55" s="1022">
        <f>+D55/$B$10</f>
        <v>3775</v>
      </c>
      <c r="C55" s="1023"/>
      <c r="D55" s="806">
        <v>30200</v>
      </c>
      <c r="E55" s="158">
        <f>+'Datos entrada'!$D$15</f>
        <v>0.06</v>
      </c>
      <c r="F55" s="159">
        <f t="shared" si="0"/>
        <v>32012</v>
      </c>
      <c r="G55" s="1" t="s">
        <v>120</v>
      </c>
      <c r="H55" s="1" t="s">
        <v>520</v>
      </c>
    </row>
    <row r="56" spans="1:8" x14ac:dyDescent="0.2">
      <c r="A56" s="803" t="s">
        <v>521</v>
      </c>
      <c r="B56" s="1022">
        <f>+D56/$B$10</f>
        <v>4750</v>
      </c>
      <c r="C56" s="1023"/>
      <c r="D56" s="806">
        <v>38000</v>
      </c>
      <c r="E56" s="158">
        <f>+'Datos entrada'!$D$15</f>
        <v>0.06</v>
      </c>
      <c r="F56" s="159">
        <f t="shared" si="0"/>
        <v>40280</v>
      </c>
    </row>
    <row r="57" spans="1:8" x14ac:dyDescent="0.2">
      <c r="A57" s="803" t="s">
        <v>522</v>
      </c>
      <c r="B57" s="1022">
        <f t="shared" ref="B57:B63" si="3">+D57/$B$10</f>
        <v>0</v>
      </c>
      <c r="C57" s="1023"/>
      <c r="D57" s="806"/>
      <c r="E57" s="158">
        <f>+'Datos entrada'!$D$15</f>
        <v>0.06</v>
      </c>
      <c r="F57" s="159">
        <f t="shared" si="0"/>
        <v>0</v>
      </c>
    </row>
    <row r="58" spans="1:8" x14ac:dyDescent="0.2">
      <c r="A58" s="803" t="s">
        <v>523</v>
      </c>
      <c r="B58" s="1022">
        <f t="shared" si="3"/>
        <v>0</v>
      </c>
      <c r="C58" s="1023"/>
      <c r="D58" s="806"/>
      <c r="E58" s="158">
        <f>+'Datos entrada'!$D$15</f>
        <v>0.06</v>
      </c>
      <c r="F58" s="159">
        <f t="shared" si="0"/>
        <v>0</v>
      </c>
    </row>
    <row r="59" spans="1:8" x14ac:dyDescent="0.2">
      <c r="A59" s="803" t="s">
        <v>524</v>
      </c>
      <c r="B59" s="1022">
        <f t="shared" si="3"/>
        <v>0</v>
      </c>
      <c r="C59" s="1023"/>
      <c r="D59" s="806"/>
      <c r="E59" s="158">
        <f>+'Datos entrada'!$D$15</f>
        <v>0.06</v>
      </c>
      <c r="F59" s="159">
        <f t="shared" si="0"/>
        <v>0</v>
      </c>
    </row>
    <row r="60" spans="1:8" x14ac:dyDescent="0.2">
      <c r="A60" s="803" t="s">
        <v>525</v>
      </c>
      <c r="B60" s="1022">
        <f t="shared" si="3"/>
        <v>0</v>
      </c>
      <c r="C60" s="1023"/>
      <c r="D60" s="806"/>
      <c r="E60" s="158">
        <f>+'Datos entrada'!$D$15</f>
        <v>0.06</v>
      </c>
      <c r="F60" s="159">
        <f t="shared" si="0"/>
        <v>0</v>
      </c>
    </row>
    <row r="61" spans="1:8" x14ac:dyDescent="0.2">
      <c r="A61" s="803" t="s">
        <v>526</v>
      </c>
      <c r="B61" s="1022">
        <f t="shared" si="3"/>
        <v>50000</v>
      </c>
      <c r="C61" s="1023"/>
      <c r="D61" s="806">
        <v>400000</v>
      </c>
      <c r="E61" s="158">
        <f>+'Datos entrada'!$D$15</f>
        <v>0.06</v>
      </c>
      <c r="F61" s="159">
        <f t="shared" si="0"/>
        <v>424000</v>
      </c>
      <c r="G61" s="1" t="s">
        <v>120</v>
      </c>
      <c r="H61" s="1" t="s">
        <v>527</v>
      </c>
    </row>
    <row r="62" spans="1:8" x14ac:dyDescent="0.2">
      <c r="A62" s="1" t="s">
        <v>528</v>
      </c>
      <c r="B62" s="1026">
        <f t="shared" si="3"/>
        <v>93750</v>
      </c>
      <c r="C62" s="1027"/>
      <c r="D62" s="122">
        <v>750000</v>
      </c>
      <c r="E62" s="158">
        <f>+'Datos entrada'!$D$15</f>
        <v>0.06</v>
      </c>
      <c r="F62" s="159">
        <f t="shared" si="0"/>
        <v>795000</v>
      </c>
    </row>
    <row r="63" spans="1:8" x14ac:dyDescent="0.2">
      <c r="A63" s="1" t="s">
        <v>529</v>
      </c>
      <c r="B63" s="1026">
        <f t="shared" si="3"/>
        <v>93750</v>
      </c>
      <c r="C63" s="1027"/>
      <c r="D63" s="122">
        <v>750000</v>
      </c>
      <c r="E63" s="158">
        <f>+'Datos entrada'!$D$15</f>
        <v>0.06</v>
      </c>
      <c r="F63" s="159">
        <f t="shared" si="0"/>
        <v>795000</v>
      </c>
    </row>
    <row r="64" spans="1:8" x14ac:dyDescent="0.2">
      <c r="B64" s="1026"/>
      <c r="C64" s="1027"/>
      <c r="E64" s="158"/>
      <c r="F64" s="159"/>
    </row>
    <row r="65" spans="1:16" x14ac:dyDescent="0.2">
      <c r="A65" s="997" t="str">
        <f>+'Datos entrada'!$B$5</f>
        <v>INGENIERO CIVIL HEBER EDUARDO YEPES VILLOTA</v>
      </c>
      <c r="B65" s="997"/>
      <c r="C65" s="997"/>
      <c r="D65" s="997"/>
      <c r="E65" s="997"/>
      <c r="F65" s="997"/>
      <c r="G65" s="808"/>
      <c r="H65" s="808"/>
      <c r="I65" s="808"/>
      <c r="J65" s="808"/>
      <c r="K65" s="808"/>
      <c r="L65" s="808"/>
      <c r="M65" s="808"/>
      <c r="N65" s="808"/>
      <c r="O65" s="808"/>
      <c r="P65" s="808"/>
    </row>
    <row r="66" spans="1:16" ht="10.5" customHeight="1" x14ac:dyDescent="0.2">
      <c r="A66" s="997"/>
      <c r="B66" s="997"/>
      <c r="C66" s="997"/>
      <c r="D66" s="997"/>
      <c r="E66" s="997"/>
      <c r="F66" s="997"/>
      <c r="G66" s="808"/>
      <c r="H66" s="808"/>
      <c r="I66" s="808"/>
      <c r="J66" s="808"/>
      <c r="K66" s="808"/>
      <c r="L66" s="808"/>
      <c r="M66" s="808"/>
      <c r="N66" s="808"/>
      <c r="O66" s="808"/>
      <c r="P66" s="808"/>
    </row>
    <row r="67" spans="1:16" x14ac:dyDescent="0.2">
      <c r="A67" s="997"/>
      <c r="B67" s="997"/>
      <c r="C67" s="997"/>
      <c r="D67" s="997"/>
      <c r="E67" s="997"/>
      <c r="F67" s="997"/>
      <c r="G67" s="808"/>
      <c r="H67" s="808"/>
      <c r="I67" s="808"/>
      <c r="J67" s="808"/>
      <c r="K67" s="808"/>
      <c r="L67" s="808"/>
      <c r="M67" s="808"/>
      <c r="N67" s="808"/>
      <c r="O67" s="808"/>
      <c r="P67" s="808"/>
    </row>
    <row r="68" spans="1:16" x14ac:dyDescent="0.2">
      <c r="A68" s="997"/>
      <c r="B68" s="997"/>
      <c r="C68" s="997"/>
      <c r="D68" s="997"/>
      <c r="E68" s="997"/>
      <c r="F68" s="997"/>
      <c r="G68" s="808"/>
      <c r="H68" s="808"/>
      <c r="I68" s="808"/>
      <c r="J68" s="808"/>
      <c r="K68" s="808"/>
      <c r="L68" s="808"/>
      <c r="M68" s="808"/>
      <c r="N68" s="808"/>
      <c r="O68" s="808"/>
      <c r="P68" s="808"/>
    </row>
  </sheetData>
  <customSheetViews>
    <customSheetView guid="{93F324B6-F965-4669-93FF-DBB148734A46}">
      <selection activeCell="L19" sqref="L19"/>
      <pageMargins left="0" right="0" top="0" bottom="0" header="0" footer="0"/>
      <printOptions horizontalCentered="1"/>
      <pageSetup scale="80" orientation="portrait" blackAndWhite="1" errors="blank" horizontalDpi="300" verticalDpi="300" r:id="rId1"/>
      <headerFooter alignWithMargins="0"/>
    </customSheetView>
  </customSheetViews>
  <mergeCells count="61">
    <mergeCell ref="B62:C62"/>
    <mergeCell ref="B63:C63"/>
    <mergeCell ref="B64:C64"/>
    <mergeCell ref="A65:F68"/>
    <mergeCell ref="B61:C61"/>
    <mergeCell ref="B57:C57"/>
    <mergeCell ref="B58:C58"/>
    <mergeCell ref="B59:C59"/>
    <mergeCell ref="B60:C60"/>
    <mergeCell ref="B55:C55"/>
    <mergeCell ref="B26:C26"/>
    <mergeCell ref="B24:C24"/>
    <mergeCell ref="B54:C54"/>
    <mergeCell ref="B56:C56"/>
    <mergeCell ref="B47:C47"/>
    <mergeCell ref="B48:C48"/>
    <mergeCell ref="B49:C49"/>
    <mergeCell ref="B50:C50"/>
    <mergeCell ref="B51:C51"/>
    <mergeCell ref="B53:C53"/>
    <mergeCell ref="B52:C52"/>
    <mergeCell ref="B32:C32"/>
    <mergeCell ref="B36:C36"/>
    <mergeCell ref="B27:C27"/>
    <mergeCell ref="B28:C28"/>
    <mergeCell ref="B34:C34"/>
    <mergeCell ref="B35:C35"/>
    <mergeCell ref="B33:C33"/>
    <mergeCell ref="B31:C31"/>
    <mergeCell ref="B29:C29"/>
    <mergeCell ref="B30:C30"/>
    <mergeCell ref="B39:C39"/>
    <mergeCell ref="B37:C37"/>
    <mergeCell ref="B46:C46"/>
    <mergeCell ref="B42:C42"/>
    <mergeCell ref="B43:C43"/>
    <mergeCell ref="B44:C44"/>
    <mergeCell ref="B45:C45"/>
    <mergeCell ref="B41:C41"/>
    <mergeCell ref="B38:C38"/>
    <mergeCell ref="B40:C40"/>
    <mergeCell ref="B25:C25"/>
    <mergeCell ref="B23:C23"/>
    <mergeCell ref="A8:F8"/>
    <mergeCell ref="B10:C10"/>
    <mergeCell ref="D10:F10"/>
    <mergeCell ref="B19:C19"/>
    <mergeCell ref="B20:C20"/>
    <mergeCell ref="B13:C13"/>
    <mergeCell ref="B15:C15"/>
    <mergeCell ref="B22:C22"/>
    <mergeCell ref="B21:C21"/>
    <mergeCell ref="A3:F3"/>
    <mergeCell ref="A5:F5"/>
    <mergeCell ref="B18:C18"/>
    <mergeCell ref="B14:C14"/>
    <mergeCell ref="B11:C11"/>
    <mergeCell ref="A7:F7"/>
    <mergeCell ref="B17:C17"/>
    <mergeCell ref="B12:C12"/>
    <mergeCell ref="B6:F6"/>
  </mergeCells>
  <phoneticPr fontId="0" type="noConversion"/>
  <printOptions horizontalCentered="1"/>
  <pageMargins left="0.78740157480314965" right="0.78740157480314965" top="0.84" bottom="0.86" header="0" footer="0"/>
  <pageSetup scale="74" orientation="portrait" blackAndWhite="1" errors="blank" horizontalDpi="300" verticalDpi="300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"/>
  <sheetViews>
    <sheetView workbookViewId="0"/>
  </sheetViews>
  <sheetFormatPr baseColWidth="10" defaultColWidth="11.42578125" defaultRowHeight="12.75" x14ac:dyDescent="0.2"/>
  <sheetData/>
  <customSheetViews>
    <customSheetView guid="{93F324B6-F965-4669-93FF-DBB148734A46}" state="hidden">
      <pageMargins left="0" right="0" top="0" bottom="0" header="0" footer="0"/>
    </customSheetView>
  </customSheetView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111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2310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3710</v>
      </c>
      <c r="I23" s="69"/>
    </row>
    <row r="24" spans="1:9" x14ac:dyDescent="0.2">
      <c r="A24" s="1080" t="s">
        <v>480</v>
      </c>
      <c r="B24" s="1081"/>
      <c r="C24" s="1081"/>
      <c r="D24" s="109">
        <v>4</v>
      </c>
      <c r="E24" s="33"/>
      <c r="F24" s="12">
        <f t="shared" si="3"/>
        <v>31800</v>
      </c>
      <c r="G24" s="14">
        <v>1</v>
      </c>
      <c r="H24" s="7">
        <f t="shared" si="4"/>
        <v>7950</v>
      </c>
      <c r="I24" s="69"/>
    </row>
    <row r="25" spans="1:9" x14ac:dyDescent="0.2">
      <c r="A25" s="1080" t="s">
        <v>487</v>
      </c>
      <c r="B25" s="1081"/>
      <c r="C25" s="1081"/>
      <c r="D25" s="33">
        <v>5</v>
      </c>
      <c r="E25" s="33"/>
      <c r="F25" s="12">
        <f t="shared" si="3"/>
        <v>38160</v>
      </c>
      <c r="G25" s="14">
        <v>1</v>
      </c>
      <c r="H25" s="7">
        <f t="shared" si="4"/>
        <v>7632</v>
      </c>
      <c r="I25" s="69"/>
    </row>
    <row r="26" spans="1:9" x14ac:dyDescent="0.2">
      <c r="A26" s="1080" t="s">
        <v>492</v>
      </c>
      <c r="B26" s="1081"/>
      <c r="C26" s="1081"/>
      <c r="D26" s="33">
        <v>0.78</v>
      </c>
      <c r="E26" s="33"/>
      <c r="F26" s="12">
        <f t="shared" si="3"/>
        <v>678400</v>
      </c>
      <c r="G26" s="14">
        <v>1</v>
      </c>
      <c r="H26" s="7">
        <f t="shared" si="4"/>
        <v>869743.59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889035.59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46"/>
      <c r="E34" s="47"/>
      <c r="F34" s="15"/>
      <c r="G34" s="12"/>
      <c r="H34" s="7"/>
      <c r="I34" s="343">
        <f>SUM(H35:H37)</f>
        <v>128000</v>
      </c>
    </row>
    <row r="35" spans="1:9" x14ac:dyDescent="0.2">
      <c r="A35" s="1210" t="s">
        <v>2072</v>
      </c>
      <c r="B35" s="1211"/>
      <c r="C35" s="1212"/>
      <c r="D35" s="61">
        <f>IF(A35&lt;&gt;0,VLOOKUP(A35,Transporte,8,FALSE),$J$1)</f>
        <v>256000</v>
      </c>
      <c r="E35" s="61"/>
      <c r="F35" s="15">
        <f t="shared" ref="F35:F40" si="5">IF(A35&lt;&gt;0,VLOOKUP(A35,Transporte,2,FALSE),$J$1)</f>
        <v>6</v>
      </c>
      <c r="G35" s="12">
        <v>3</v>
      </c>
      <c r="H35" s="7">
        <f t="shared" ref="H35:H40" si="6">IF(A35&lt;&gt;0,D35/F35*G35,$J$1)</f>
        <v>128000</v>
      </c>
      <c r="I35" s="344"/>
    </row>
    <row r="36" spans="1:9" x14ac:dyDescent="0.2">
      <c r="A36" s="1086"/>
      <c r="B36" s="1087"/>
      <c r="C36" s="111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086"/>
      <c r="B37" s="1087"/>
      <c r="C37" s="111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61" t="str">
        <f>IF(A27&lt;&gt;0,VLOOKUP(A38,Transporte,8,FALSE),$J$1)</f>
        <v>-</v>
      </c>
      <c r="E38" s="61"/>
      <c r="F38" s="15" t="str">
        <f t="shared" si="5"/>
        <v>-</v>
      </c>
      <c r="G38" s="12"/>
      <c r="H38" s="7" t="str">
        <f t="shared" si="6"/>
        <v>-</v>
      </c>
      <c r="I38" s="343">
        <f>SUM(H39:H40)</f>
        <v>0</v>
      </c>
    </row>
    <row r="39" spans="1:9" x14ac:dyDescent="0.2">
      <c r="A39" s="1086"/>
      <c r="B39" s="1087"/>
      <c r="C39" s="111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128000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54</v>
      </c>
      <c r="B45" s="1081"/>
      <c r="C45" s="1081"/>
      <c r="D45" s="1082">
        <f>IF(A45&lt;&gt;0,VLOOKUP(A45,Cuadrillas,7,FALSE),$J$1)</f>
        <v>293183.03000000003</v>
      </c>
      <c r="E45" s="1082"/>
      <c r="F45" s="1083">
        <v>1.4</v>
      </c>
      <c r="G45" s="1083"/>
      <c r="H45" s="7">
        <f>IF(A45&lt;&gt;0,ROUND(D45/F45,2),$J$1)</f>
        <v>209416.45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209416.45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1017035.59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209416.45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1226452.04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367935.61200000002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1594387.652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3:C13"/>
    <mergeCell ref="A14:C14"/>
    <mergeCell ref="H1:I1"/>
    <mergeCell ref="A23:C23"/>
    <mergeCell ref="A24:C24"/>
    <mergeCell ref="A15:C15"/>
    <mergeCell ref="A16:C16"/>
    <mergeCell ref="A17:C17"/>
    <mergeCell ref="A18:C18"/>
    <mergeCell ref="A8:C8"/>
    <mergeCell ref="A9:C9"/>
    <mergeCell ref="A10:C10"/>
    <mergeCell ref="A11:C11"/>
    <mergeCell ref="A12:C12"/>
    <mergeCell ref="A1:C1"/>
    <mergeCell ref="A56:G56"/>
    <mergeCell ref="H56:I56"/>
    <mergeCell ref="A47:C47"/>
    <mergeCell ref="A48:C48"/>
    <mergeCell ref="D47:E47"/>
    <mergeCell ref="A51:I51"/>
    <mergeCell ref="A50:H50"/>
    <mergeCell ref="A54:G54"/>
    <mergeCell ref="A52:H52"/>
    <mergeCell ref="F49:G49"/>
    <mergeCell ref="F48:G48"/>
    <mergeCell ref="A55:C55"/>
    <mergeCell ref="D55:E55"/>
    <mergeCell ref="F55:I55"/>
    <mergeCell ref="A49:C49"/>
    <mergeCell ref="D48:E48"/>
    <mergeCell ref="A53:H53"/>
    <mergeCell ref="A25:C25"/>
    <mergeCell ref="A26:C26"/>
    <mergeCell ref="D45:E45"/>
    <mergeCell ref="A44:C44"/>
    <mergeCell ref="A45:C45"/>
    <mergeCell ref="D44:E44"/>
    <mergeCell ref="A43:I43"/>
    <mergeCell ref="D49:E49"/>
    <mergeCell ref="F46:G46"/>
    <mergeCell ref="A46:C46"/>
    <mergeCell ref="D46:E46"/>
    <mergeCell ref="A41:H41"/>
    <mergeCell ref="A42:I42"/>
    <mergeCell ref="A27:C27"/>
    <mergeCell ref="A28:C28"/>
    <mergeCell ref="A29:C29"/>
    <mergeCell ref="F47:G47"/>
    <mergeCell ref="F44:G44"/>
    <mergeCell ref="F45:G45"/>
    <mergeCell ref="B34:C34"/>
    <mergeCell ref="B38:C38"/>
    <mergeCell ref="A35:C35"/>
    <mergeCell ref="A36:C36"/>
    <mergeCell ref="A37:C37"/>
    <mergeCell ref="A39:C39"/>
    <mergeCell ref="A40:C40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rgb="FFC00000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ht="12.75" customHeight="1" x14ac:dyDescent="0.2">
      <c r="A5" s="265" t="s">
        <v>2213</v>
      </c>
      <c r="B5" s="271" t="e">
        <f>#REF!</f>
        <v>#REF!</v>
      </c>
      <c r="C5" s="267" t="e">
        <f>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492</v>
      </c>
      <c r="B23" s="1081"/>
      <c r="C23" s="1081"/>
      <c r="D23" s="479">
        <v>5.8799999999999998E-3</v>
      </c>
      <c r="E23" s="33"/>
      <c r="F23" s="12">
        <f>IF(A23&lt;&gt;0,VLOOKUP(A23,Equipos,6,FALSE),$J$1)</f>
        <v>678400</v>
      </c>
      <c r="G23" s="136">
        <v>1</v>
      </c>
      <c r="H23" s="7">
        <f>IF(A23&lt;&gt;0,ROUND((F23*D23)/G23,2),$J$1)</f>
        <v>3988.99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ref="F24:F29" si="3">IF(A24&lt;&gt;0,VLOOKUP(A24,Equipos,6,FALSE),$J$1)</f>
        <v>-</v>
      </c>
      <c r="G24" s="136"/>
      <c r="H24" s="7" t="str">
        <f t="shared" ref="H24:H29" si="4">IF(A24&lt;&gt;0,ROUND((F24/D24)*G24,2),$J$1)</f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3988.99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0" t="s">
        <v>2073</v>
      </c>
      <c r="B35" s="1211"/>
      <c r="C35" s="1212"/>
      <c r="D35" s="61">
        <f>IF(A35&lt;&gt;0,VLOOKUP(A35,Transporte,8,FALSE),$J$1)</f>
        <v>0</v>
      </c>
      <c r="E35" s="61"/>
      <c r="F35" s="15">
        <f t="shared" ref="F35:F40" si="5">IF(A35&lt;&gt;0,VLOOKUP(A35,Transporte,2,FALSE),$J$1)</f>
        <v>5.5</v>
      </c>
      <c r="G35" s="12">
        <v>1.2</v>
      </c>
      <c r="H35" s="7">
        <f t="shared" ref="H35:H40" si="6">IF(A35&lt;&gt;0,D35/F35*G35,$J$1)</f>
        <v>0</v>
      </c>
      <c r="I35" s="344"/>
    </row>
    <row r="36" spans="1:9" x14ac:dyDescent="0.2">
      <c r="A36" s="1215"/>
      <c r="B36" s="1216"/>
      <c r="C36" s="1217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5"/>
      <c r="B37" s="1216"/>
      <c r="C37" s="1217"/>
      <c r="D37" s="61" t="str">
        <f>IF(A26&lt;&gt;0,VLOOKUP(A37,Transporte,8,FALSE),$J$1)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086"/>
      <c r="B39" s="1087"/>
      <c r="C39" s="111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69"/>
    </row>
    <row r="40" spans="1:9" x14ac:dyDescent="0.2">
      <c r="A40" s="1086"/>
      <c r="B40" s="1087"/>
      <c r="C40" s="111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/>
      <c r="B45" s="1081"/>
      <c r="C45" s="1081"/>
      <c r="D45" s="1082" t="str">
        <f>IF(A45&lt;&gt;0,VLOOKUP(A45,Cuadrillas,7,FALSE),$J$1)</f>
        <v>-</v>
      </c>
      <c r="E45" s="1082"/>
      <c r="F45" s="1083"/>
      <c r="G45" s="1083"/>
      <c r="H45" s="7" t="str">
        <f>IF(A45&lt;&gt;0,ROUND(D45/F45,2),$J$1)</f>
        <v>-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11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11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0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3988.99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0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3988.99</v>
      </c>
    </row>
    <row r="55" spans="1:11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1196.6969999999999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5185.6869999999999</v>
      </c>
      <c r="I56" s="1192"/>
    </row>
    <row r="57" spans="1:11" ht="13.5" thickTop="1" x14ac:dyDescent="0.2">
      <c r="I57" s="48"/>
    </row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11:C11"/>
    <mergeCell ref="A1:C1"/>
    <mergeCell ref="H1:I1"/>
    <mergeCell ref="A8:C8"/>
    <mergeCell ref="A9:C9"/>
    <mergeCell ref="A10:C10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s">
        <v>2335</v>
      </c>
      <c r="C5" s="267" t="s">
        <v>2336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s">
        <v>155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0.02</v>
      </c>
      <c r="E23" s="33"/>
      <c r="F23" s="12">
        <f t="shared" ref="F23:F29" si="3">IF(A23&lt;&gt;0,VLOOKUP(A23,Equipos,6,FALSE),$J$1)</f>
        <v>3710</v>
      </c>
      <c r="G23" s="136">
        <v>4.0000000000000001E-3</v>
      </c>
      <c r="H23" s="7">
        <f t="shared" ref="H23:H29" si="4">IF(A23&lt;&gt;0,ROUND((F23/D23)*G23,2),$J$1)</f>
        <v>742</v>
      </c>
      <c r="I23" s="69"/>
    </row>
    <row r="24" spans="1:9" x14ac:dyDescent="0.2">
      <c r="A24" s="1080" t="s">
        <v>488</v>
      </c>
      <c r="B24" s="1081"/>
      <c r="C24" s="1081"/>
      <c r="D24" s="33">
        <v>0.03</v>
      </c>
      <c r="E24" s="33"/>
      <c r="F24" s="12">
        <f>IF(A24&lt;&gt;0,VLOOKUP(A24,Equipos,6,FALSE),$J$1)</f>
        <v>63600</v>
      </c>
      <c r="G24" s="138">
        <v>3.0000000000000001E-3</v>
      </c>
      <c r="H24" s="7">
        <f t="shared" si="4"/>
        <v>6360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7102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61" t="str">
        <f>IF(A34&lt;&gt;0,VLOOKUP(A34,Transporte,8,FALSE),$J$1)</f>
        <v>-</v>
      </c>
      <c r="E34" s="61"/>
      <c r="F34" s="15"/>
      <c r="G34" s="12"/>
      <c r="H34" s="7" t="str">
        <f t="shared" ref="H34:H40" si="5">IF(A34&lt;&gt;0,D34/F34*G34,$J$1)</f>
        <v>-</v>
      </c>
      <c r="I34" s="343">
        <f>SUM(H35:H37)</f>
        <v>0</v>
      </c>
    </row>
    <row r="35" spans="1:9" x14ac:dyDescent="0.2">
      <c r="A35" s="871"/>
      <c r="B35" s="872"/>
      <c r="C35" s="873"/>
      <c r="D35" s="61" t="str">
        <f>IF(A35&lt;&gt;0,VLOOKUP(A35,Transporte,8,FALSE),$J$1)</f>
        <v>-</v>
      </c>
      <c r="E35" s="61"/>
      <c r="F35" s="15" t="str">
        <f t="shared" ref="F35:F40" si="6">IF(A35&lt;&gt;0,VLOOKUP(A35,Transporte,2,FALSE),$J$1)</f>
        <v>-</v>
      </c>
      <c r="G35" s="12"/>
      <c r="H35" s="7" t="str">
        <f t="shared" si="5"/>
        <v>-</v>
      </c>
      <c r="I35" s="344"/>
    </row>
    <row r="36" spans="1:9" x14ac:dyDescent="0.2">
      <c r="A36" s="871"/>
      <c r="B36" s="872"/>
      <c r="C36" s="873"/>
      <c r="D36" s="61" t="str">
        <f>IF(A36&lt;&gt;0,VLOOKUP(A36,Transporte,8,FALSE),$J$1)</f>
        <v>-</v>
      </c>
      <c r="E36" s="61"/>
      <c r="F36" s="15" t="str">
        <f t="shared" si="6"/>
        <v>-</v>
      </c>
      <c r="G36" s="12"/>
      <c r="H36" s="7" t="str">
        <f t="shared" si="5"/>
        <v>-</v>
      </c>
      <c r="I36" s="344"/>
    </row>
    <row r="37" spans="1:9" x14ac:dyDescent="0.2">
      <c r="A37" s="871"/>
      <c r="B37" s="872"/>
      <c r="C37" s="873"/>
      <c r="D37" s="61" t="str">
        <f>IF(A26&lt;&gt;0,VLOOKUP(A37,Transporte,8,FALSE),$J$1)</f>
        <v>-</v>
      </c>
      <c r="E37" s="61"/>
      <c r="F37" s="15" t="str">
        <f t="shared" si="6"/>
        <v>-</v>
      </c>
      <c r="G37" s="12"/>
      <c r="H37" s="7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61" t="str">
        <f>IF(A27&lt;&gt;0,VLOOKUP(A38,Transporte,8,FALSE),$J$1)</f>
        <v>-</v>
      </c>
      <c r="E38" s="61"/>
      <c r="F38" s="15" t="str">
        <f t="shared" si="6"/>
        <v>-</v>
      </c>
      <c r="G38" s="12"/>
      <c r="H38" s="7" t="str">
        <f t="shared" si="5"/>
        <v>-</v>
      </c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6"/>
        <v>-</v>
      </c>
      <c r="G39" s="12"/>
      <c r="H39" s="7" t="str">
        <f t="shared" si="5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6"/>
        <v>-</v>
      </c>
      <c r="G40" s="12"/>
      <c r="H40" s="7" t="str">
        <f t="shared" si="5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10</v>
      </c>
      <c r="G45" s="1083"/>
      <c r="H45" s="7">
        <f>IF(A45&lt;&gt;0,ROUND(D45/F45,2),$J$1)</f>
        <v>15427.02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15427.02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7102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15427.02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22529.02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6758.7060000000001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29287.726000000002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3:C13"/>
    <mergeCell ref="A14:C14"/>
    <mergeCell ref="A23:C23"/>
    <mergeCell ref="A24:C24"/>
    <mergeCell ref="A15:C15"/>
    <mergeCell ref="A16:C16"/>
    <mergeCell ref="A17:C17"/>
    <mergeCell ref="A18:C18"/>
    <mergeCell ref="F46:G46"/>
    <mergeCell ref="A46:C46"/>
    <mergeCell ref="A29:C29"/>
    <mergeCell ref="D46:E46"/>
    <mergeCell ref="A51:I51"/>
    <mergeCell ref="A50:H50"/>
    <mergeCell ref="A41:H41"/>
    <mergeCell ref="F49:G49"/>
    <mergeCell ref="A42:I42"/>
    <mergeCell ref="F44:G44"/>
    <mergeCell ref="F45:G45"/>
    <mergeCell ref="B34:C34"/>
    <mergeCell ref="B38:C38"/>
    <mergeCell ref="A56:G56"/>
    <mergeCell ref="H56:I56"/>
    <mergeCell ref="A47:C47"/>
    <mergeCell ref="A48:C48"/>
    <mergeCell ref="D47:E47"/>
    <mergeCell ref="F47:G47"/>
    <mergeCell ref="A49:C49"/>
    <mergeCell ref="D48:E48"/>
    <mergeCell ref="F48:G48"/>
    <mergeCell ref="D49:E49"/>
    <mergeCell ref="A54:G54"/>
    <mergeCell ref="A52:H52"/>
    <mergeCell ref="A53:H53"/>
    <mergeCell ref="A55:C55"/>
    <mergeCell ref="D55:E55"/>
    <mergeCell ref="F55:I55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3:I43"/>
    <mergeCell ref="A8:C8"/>
    <mergeCell ref="A9:C9"/>
    <mergeCell ref="A10:C10"/>
    <mergeCell ref="A11:C11"/>
    <mergeCell ref="A12:C12"/>
    <mergeCell ref="A1:C1"/>
  </mergeCells>
  <phoneticPr fontId="0" type="noConversion"/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1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3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 t="s">
        <v>334</v>
      </c>
      <c r="B8" s="1081"/>
      <c r="C8" s="1081"/>
      <c r="D8" s="844" t="e">
        <f t="shared" ref="D8:D18" si="0">IF(A8&lt;&gt;0,VLOOKUP(A8,Materiales,2,FALSE),$J$1)</f>
        <v>#REF!</v>
      </c>
      <c r="E8" s="12">
        <v>1.25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454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0.04</v>
      </c>
      <c r="E23" s="33"/>
      <c r="F23" s="12">
        <f t="shared" ref="F23:F29" si="3">IF(A23&lt;&gt;0,VLOOKUP(A23,Equipos,6,FALSE),$J$1)</f>
        <v>3710</v>
      </c>
      <c r="G23" s="136">
        <v>4.0000000000000001E-3</v>
      </c>
      <c r="H23" s="7">
        <f t="shared" ref="H23:H29" si="4">IF(A23&lt;&gt;0,ROUND((F23/D23)*G23,2),$J$1)</f>
        <v>371</v>
      </c>
      <c r="I23" s="69"/>
    </row>
    <row r="24" spans="1:9" x14ac:dyDescent="0.2">
      <c r="A24" s="1080" t="s">
        <v>488</v>
      </c>
      <c r="B24" s="1081"/>
      <c r="C24" s="1081"/>
      <c r="D24" s="33">
        <v>0.03</v>
      </c>
      <c r="E24" s="33"/>
      <c r="F24" s="12">
        <f>IF(A24&lt;&gt;0,VLOOKUP(A24,Equipos,6,FALSE),$J$1)</f>
        <v>63600</v>
      </c>
      <c r="G24" s="138">
        <v>3.0000000000000001E-3</v>
      </c>
      <c r="H24" s="7">
        <f t="shared" si="4"/>
        <v>6360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6731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61" t="str">
        <f>IF(A34&lt;&gt;0,VLOOKUP(A34,Transporte,8,FALSE),$J$1)</f>
        <v>-</v>
      </c>
      <c r="E34" s="61"/>
      <c r="F34" s="15"/>
      <c r="G34" s="12"/>
      <c r="H34" s="171" t="str">
        <f t="shared" ref="H34:H40" si="5">IF(A34&lt;&gt;0,D34/F34*G34,$J$1)</f>
        <v>-</v>
      </c>
      <c r="I34" s="343">
        <f>SUM(H35:H37)</f>
        <v>0</v>
      </c>
    </row>
    <row r="35" spans="1:9" x14ac:dyDescent="0.2">
      <c r="A35" s="871"/>
      <c r="B35" s="872"/>
      <c r="C35" s="873"/>
      <c r="D35" s="61" t="str">
        <f>IF(A35&lt;&gt;0,VLOOKUP(A35,Transporte,8,FALSE),$J$1)</f>
        <v>-</v>
      </c>
      <c r="E35" s="61"/>
      <c r="F35" s="15" t="str">
        <f t="shared" ref="F35:F40" si="6">IF(A35&lt;&gt;0,VLOOKUP(A35,Transporte,2,FALSE),$J$1)</f>
        <v>-</v>
      </c>
      <c r="G35" s="12"/>
      <c r="H35" s="7" t="str">
        <f t="shared" si="5"/>
        <v>-</v>
      </c>
      <c r="I35" s="344"/>
    </row>
    <row r="36" spans="1:9" x14ac:dyDescent="0.2">
      <c r="A36" s="871"/>
      <c r="B36" s="872"/>
      <c r="C36" s="873"/>
      <c r="D36" s="61" t="str">
        <f>IF(A36&lt;&gt;0,VLOOKUP(A36,Transporte,8,FALSE),$J$1)</f>
        <v>-</v>
      </c>
      <c r="E36" s="61"/>
      <c r="F36" s="15" t="str">
        <f t="shared" si="6"/>
        <v>-</v>
      </c>
      <c r="G36" s="12"/>
      <c r="H36" s="7" t="str">
        <f t="shared" si="5"/>
        <v>-</v>
      </c>
      <c r="I36" s="344"/>
    </row>
    <row r="37" spans="1:9" x14ac:dyDescent="0.2">
      <c r="A37" s="871"/>
      <c r="B37" s="872"/>
      <c r="C37" s="873"/>
      <c r="D37" s="61" t="str">
        <f>IF(A26&lt;&gt;0,VLOOKUP(A37,Transporte,8,FALSE),$J$1)</f>
        <v>-</v>
      </c>
      <c r="E37" s="61"/>
      <c r="F37" s="15" t="str">
        <f t="shared" si="6"/>
        <v>-</v>
      </c>
      <c r="G37" s="12"/>
      <c r="H37" s="7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61" t="str">
        <f>IF(A27&lt;&gt;0,VLOOKUP(A38,Transporte,8,FALSE),$J$1)</f>
        <v>-</v>
      </c>
      <c r="E38" s="61"/>
      <c r="F38" s="15" t="str">
        <f t="shared" si="6"/>
        <v>-</v>
      </c>
      <c r="G38" s="12"/>
      <c r="H38" s="7" t="str">
        <f t="shared" si="5"/>
        <v>-</v>
      </c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6"/>
        <v>-</v>
      </c>
      <c r="G39" s="12"/>
      <c r="H39" s="7" t="str">
        <f t="shared" si="5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6"/>
        <v>-</v>
      </c>
      <c r="G40" s="12"/>
      <c r="H40" s="7" t="str">
        <f t="shared" si="5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8.5</v>
      </c>
      <c r="G45" s="1083"/>
      <c r="H45" s="7">
        <f>IF(A45&lt;&gt;0,ROUND(D45/F45,2),$J$1)</f>
        <v>18149.439999999999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18149.439999999999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18149.439999999999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3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 t="s">
        <v>255</v>
      </c>
      <c r="B8" s="1081"/>
      <c r="C8" s="1081"/>
      <c r="D8" s="844" t="e">
        <f t="shared" ref="D8:D18" si="0">IF(A8&lt;&gt;0,VLOOKUP(A8,Materiales,2,FALSE),$J$1)</f>
        <v>#REF!</v>
      </c>
      <c r="E8" s="12">
        <v>1.1000000000000001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248</v>
      </c>
      <c r="B9" s="1284"/>
      <c r="C9" s="1284"/>
      <c r="D9" s="844" t="e">
        <f t="shared" si="0"/>
        <v>#REF!</v>
      </c>
      <c r="E9" s="12">
        <v>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454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36">
        <v>0.01</v>
      </c>
      <c r="H23" s="7">
        <f t="shared" ref="H23:H29" si="4">IF(A23&lt;&gt;0,ROUND((F23/D23)*G23,2),$J$1)</f>
        <v>37.1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>IF(A24&lt;&gt;0,VLOOKUP(A24,Equipos,6,FALSE),$J$1)</f>
        <v>-</v>
      </c>
      <c r="G24" s="138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37.1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61" t="str">
        <f>IF(A34&lt;&gt;0,VLOOKUP(A34,Transporte,8,FALSE),$J$1)</f>
        <v>-</v>
      </c>
      <c r="E34" s="61"/>
      <c r="F34" s="15"/>
      <c r="G34" s="12"/>
      <c r="H34" s="171" t="str">
        <f t="shared" ref="H34:H40" si="5">IF(A34&lt;&gt;0,D34/F34*G34,$J$1)</f>
        <v>-</v>
      </c>
      <c r="I34" s="343">
        <f>SUM(H35:H37)</f>
        <v>0</v>
      </c>
    </row>
    <row r="35" spans="1:9" x14ac:dyDescent="0.2">
      <c r="A35" s="871"/>
      <c r="B35" s="872"/>
      <c r="C35" s="873"/>
      <c r="D35" s="61" t="str">
        <f>IF(A35&lt;&gt;0,VLOOKUP(A35,Transporte,8,FALSE),$J$1)</f>
        <v>-</v>
      </c>
      <c r="E35" s="61"/>
      <c r="F35" s="15" t="str">
        <f t="shared" ref="F35:F40" si="6">IF(A35&lt;&gt;0,VLOOKUP(A35,Transporte,2,FALSE),$J$1)</f>
        <v>-</v>
      </c>
      <c r="G35" s="12"/>
      <c r="H35" s="7" t="str">
        <f t="shared" si="5"/>
        <v>-</v>
      </c>
      <c r="I35" s="344"/>
    </row>
    <row r="36" spans="1:9" x14ac:dyDescent="0.2">
      <c r="A36" s="871"/>
      <c r="B36" s="872"/>
      <c r="C36" s="873"/>
      <c r="D36" s="61" t="str">
        <f>IF(A36&lt;&gt;0,VLOOKUP(A36,Transporte,8,FALSE),$J$1)</f>
        <v>-</v>
      </c>
      <c r="E36" s="61"/>
      <c r="F36" s="15" t="str">
        <f t="shared" si="6"/>
        <v>-</v>
      </c>
      <c r="G36" s="12"/>
      <c r="H36" s="7" t="str">
        <f t="shared" si="5"/>
        <v>-</v>
      </c>
      <c r="I36" s="344"/>
    </row>
    <row r="37" spans="1:9" x14ac:dyDescent="0.2">
      <c r="A37" s="871"/>
      <c r="B37" s="872"/>
      <c r="C37" s="873"/>
      <c r="D37" s="61" t="str">
        <f>IF(A26&lt;&gt;0,VLOOKUP(A37,Transporte,8,FALSE),$J$1)</f>
        <v>-</v>
      </c>
      <c r="E37" s="61"/>
      <c r="F37" s="15" t="str">
        <f t="shared" si="6"/>
        <v>-</v>
      </c>
      <c r="G37" s="12"/>
      <c r="H37" s="7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61" t="str">
        <f>IF(A27&lt;&gt;0,VLOOKUP(A38,Transporte,8,FALSE),$J$1)</f>
        <v>-</v>
      </c>
      <c r="E38" s="61"/>
      <c r="F38" s="15" t="str">
        <f t="shared" si="6"/>
        <v>-</v>
      </c>
      <c r="G38" s="12"/>
      <c r="H38" s="7" t="str">
        <f t="shared" si="5"/>
        <v>-</v>
      </c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6"/>
        <v>-</v>
      </c>
      <c r="G39" s="12"/>
      <c r="H39" s="7" t="str">
        <f t="shared" si="5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6"/>
        <v>-</v>
      </c>
      <c r="G40" s="12"/>
      <c r="H40" s="7" t="str">
        <f t="shared" si="5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51</v>
      </c>
      <c r="B45" s="1081"/>
      <c r="C45" s="1081"/>
      <c r="D45" s="1082">
        <f>IF(A45&lt;&gt;0,VLOOKUP(A45,Cuadrillas,7,FALSE),$J$1)</f>
        <v>418739.68</v>
      </c>
      <c r="E45" s="1082"/>
      <c r="F45" s="1083">
        <v>109</v>
      </c>
      <c r="G45" s="1083"/>
      <c r="H45" s="7">
        <f>IF(A45&lt;&gt;0,ROUND(D45/F45,2),$J$1)</f>
        <v>3841.65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3841.65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3841.65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disablePrompts="1"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6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3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 t="s">
        <v>256</v>
      </c>
      <c r="B8" s="1081"/>
      <c r="C8" s="1081"/>
      <c r="D8" s="844" t="e">
        <f t="shared" ref="D8:D18" si="0">IF(A8&lt;&gt;0,VLOOKUP(A8,Materiales,2,FALSE),$J$1)</f>
        <v>#REF!</v>
      </c>
      <c r="E8" s="12">
        <v>1.1000000000000001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248</v>
      </c>
      <c r="B9" s="1284"/>
      <c r="C9" s="1284"/>
      <c r="D9" s="844" t="e">
        <f t="shared" si="0"/>
        <v>#REF!</v>
      </c>
      <c r="E9" s="12">
        <v>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454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</v>
      </c>
      <c r="E23" s="33"/>
      <c r="F23" s="12">
        <f t="shared" ref="F23:F29" si="3">IF(A23&lt;&gt;0,VLOOKUP(A23,Equipos,6,FALSE),$J$1)</f>
        <v>3710</v>
      </c>
      <c r="G23" s="136">
        <v>0.01</v>
      </c>
      <c r="H23" s="7">
        <f t="shared" ref="H23:H29" si="4">IF(A23&lt;&gt;0,ROUND((F23/D23)*G23,2),$J$1)</f>
        <v>37.1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>IF(A24&lt;&gt;0,VLOOKUP(A24,Equipos,6,FALSE),$J$1)</f>
        <v>-</v>
      </c>
      <c r="G24" s="138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37.1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61" t="str">
        <f>IF(A34&lt;&gt;0,VLOOKUP(A34,Transporte,8,FALSE),$J$1)</f>
        <v>-</v>
      </c>
      <c r="E34" s="61"/>
      <c r="F34" s="15"/>
      <c r="G34" s="12"/>
      <c r="H34" s="171" t="str">
        <f t="shared" ref="H34:H40" si="5">IF(A34&lt;&gt;0,D34/F34*G34,$J$1)</f>
        <v>-</v>
      </c>
      <c r="I34" s="343">
        <f>SUM(H35:H37)</f>
        <v>0</v>
      </c>
    </row>
    <row r="35" spans="1:9" x14ac:dyDescent="0.2">
      <c r="A35" s="871"/>
      <c r="B35" s="872"/>
      <c r="C35" s="873"/>
      <c r="D35" s="61" t="str">
        <f>IF(A35&lt;&gt;0,VLOOKUP(A35,Transporte,8,FALSE),$J$1)</f>
        <v>-</v>
      </c>
      <c r="E35" s="61"/>
      <c r="F35" s="15" t="str">
        <f t="shared" ref="F35:F40" si="6">IF(A35&lt;&gt;0,VLOOKUP(A35,Transporte,2,FALSE),$J$1)</f>
        <v>-</v>
      </c>
      <c r="G35" s="12"/>
      <c r="H35" s="7" t="str">
        <f t="shared" si="5"/>
        <v>-</v>
      </c>
      <c r="I35" s="344"/>
    </row>
    <row r="36" spans="1:9" x14ac:dyDescent="0.2">
      <c r="A36" s="871"/>
      <c r="B36" s="872"/>
      <c r="C36" s="873"/>
      <c r="D36" s="61" t="str">
        <f>IF(A36&lt;&gt;0,VLOOKUP(A36,Transporte,8,FALSE),$J$1)</f>
        <v>-</v>
      </c>
      <c r="E36" s="61"/>
      <c r="F36" s="15" t="str">
        <f t="shared" si="6"/>
        <v>-</v>
      </c>
      <c r="G36" s="12"/>
      <c r="H36" s="7" t="str">
        <f t="shared" si="5"/>
        <v>-</v>
      </c>
      <c r="I36" s="344"/>
    </row>
    <row r="37" spans="1:9" x14ac:dyDescent="0.2">
      <c r="A37" s="871"/>
      <c r="B37" s="872"/>
      <c r="C37" s="873"/>
      <c r="D37" s="61" t="str">
        <f>IF(A26&lt;&gt;0,VLOOKUP(A37,Transporte,8,FALSE),$J$1)</f>
        <v>-</v>
      </c>
      <c r="E37" s="61"/>
      <c r="F37" s="15" t="str">
        <f t="shared" si="6"/>
        <v>-</v>
      </c>
      <c r="G37" s="12"/>
      <c r="H37" s="7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61" t="str">
        <f>IF(A27&lt;&gt;0,VLOOKUP(A38,Transporte,8,FALSE),$J$1)</f>
        <v>-</v>
      </c>
      <c r="E38" s="61"/>
      <c r="F38" s="15" t="str">
        <f t="shared" si="6"/>
        <v>-</v>
      </c>
      <c r="G38" s="12"/>
      <c r="H38" s="7" t="str">
        <f t="shared" si="5"/>
        <v>-</v>
      </c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6"/>
        <v>-</v>
      </c>
      <c r="G39" s="12"/>
      <c r="H39" s="7" t="str">
        <f t="shared" si="5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6"/>
        <v>-</v>
      </c>
      <c r="G40" s="12"/>
      <c r="H40" s="7" t="str">
        <f t="shared" si="5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51</v>
      </c>
      <c r="B45" s="1081"/>
      <c r="C45" s="1081"/>
      <c r="D45" s="1082">
        <f>IF(A45&lt;&gt;0,VLOOKUP(A45,Cuadrillas,7,FALSE),$J$1)</f>
        <v>418739.68</v>
      </c>
      <c r="E45" s="1082"/>
      <c r="F45" s="1083">
        <v>109</v>
      </c>
      <c r="G45" s="1083"/>
      <c r="H45" s="7">
        <f>IF(A45&lt;&gt;0,ROUND(D45/F45,2),$J$1)</f>
        <v>3841.65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3841.65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3841.65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5">
    <tabColor indexed="31"/>
    <pageSetUpPr fitToPage="1"/>
  </sheetPr>
  <dimension ref="A1:K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2302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1.05</v>
      </c>
      <c r="F8" s="21" t="e">
        <f t="shared" ref="F8:F13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330</v>
      </c>
      <c r="B9" s="1216"/>
      <c r="C9" s="1217"/>
      <c r="D9" s="851" t="e">
        <f t="shared" si="0"/>
        <v>#REF!</v>
      </c>
      <c r="E9" s="13">
        <v>0.8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145</v>
      </c>
      <c r="B10" s="1216"/>
      <c r="C10" s="1217"/>
      <c r="D10" s="851" t="e">
        <f t="shared" si="0"/>
        <v>#REF!</v>
      </c>
      <c r="E10" s="13">
        <v>0.5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345</v>
      </c>
      <c r="B11" s="1216"/>
      <c r="C11" s="1217"/>
      <c r="D11" s="851" t="e">
        <f t="shared" si="0"/>
        <v>#REF!</v>
      </c>
      <c r="E11" s="12">
        <v>6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362</v>
      </c>
      <c r="B12" s="1216"/>
      <c r="C12" s="1217"/>
      <c r="D12" s="851" t="e">
        <f t="shared" si="0"/>
        <v>#REF!</v>
      </c>
      <c r="E12" s="12">
        <v>1.8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871" t="s">
        <v>242</v>
      </c>
      <c r="B13" s="872"/>
      <c r="C13" s="873"/>
      <c r="D13" s="851" t="e">
        <f t="shared" si="0"/>
        <v>#REF!</v>
      </c>
      <c r="E13" s="12">
        <v>4.8499999999999996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1086"/>
      <c r="B14" s="1087"/>
      <c r="C14" s="1119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2"/>
        <v>-</v>
      </c>
      <c r="I14" s="69"/>
    </row>
    <row r="15" spans="1:10" x14ac:dyDescent="0.2">
      <c r="A15" s="1086"/>
      <c r="B15" s="1087"/>
      <c r="C15" s="1119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1086"/>
      <c r="B16" s="1087"/>
      <c r="C16" s="1119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1086"/>
      <c r="B17" s="1087"/>
      <c r="C17" s="1119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1086"/>
      <c r="B18" s="1087"/>
      <c r="C18" s="1119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3.5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1060</v>
      </c>
      <c r="I23" s="69"/>
    </row>
    <row r="24" spans="1:9" x14ac:dyDescent="0.2">
      <c r="A24" s="1215" t="s">
        <v>497</v>
      </c>
      <c r="B24" s="1216"/>
      <c r="C24" s="1217"/>
      <c r="D24" s="26">
        <v>2</v>
      </c>
      <c r="E24" s="28"/>
      <c r="F24" s="12">
        <f t="shared" si="3"/>
        <v>42400</v>
      </c>
      <c r="G24" s="14">
        <v>0.25</v>
      </c>
      <c r="H24" s="8">
        <f t="shared" si="4"/>
        <v>5300</v>
      </c>
      <c r="I24" s="69"/>
    </row>
    <row r="25" spans="1:9" x14ac:dyDescent="0.2">
      <c r="A25" s="1215" t="s">
        <v>484</v>
      </c>
      <c r="B25" s="1216"/>
      <c r="C25" s="1217"/>
      <c r="D25" s="26">
        <v>1</v>
      </c>
      <c r="E25" s="28"/>
      <c r="F25" s="12">
        <f t="shared" si="3"/>
        <v>1812.6</v>
      </c>
      <c r="G25" s="14">
        <v>2</v>
      </c>
      <c r="H25" s="8">
        <f t="shared" si="4"/>
        <v>3625.2</v>
      </c>
      <c r="I25" s="69"/>
    </row>
    <row r="26" spans="1:9" x14ac:dyDescent="0.2">
      <c r="A26" s="1215" t="s">
        <v>473</v>
      </c>
      <c r="B26" s="1216"/>
      <c r="C26" s="1217"/>
      <c r="D26" s="26">
        <v>1</v>
      </c>
      <c r="E26" s="28"/>
      <c r="F26" s="12">
        <f t="shared" si="3"/>
        <v>2438</v>
      </c>
      <c r="G26" s="14">
        <v>0.5</v>
      </c>
      <c r="H26" s="8">
        <f t="shared" si="4"/>
        <v>1219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11204.2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/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/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2.2000000000000002</v>
      </c>
      <c r="G45" s="1222"/>
      <c r="H45" s="8">
        <f>IF(A45&lt;&gt;0,ROUND(D45/F45,2),$J$1)</f>
        <v>196407.2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196407.2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196407.2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9">
    <mergeCell ref="A47:C47"/>
    <mergeCell ref="D47:E47"/>
    <mergeCell ref="F47:G47"/>
    <mergeCell ref="A48:C48"/>
    <mergeCell ref="D48:E48"/>
    <mergeCell ref="F48:G48"/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6:C46"/>
    <mergeCell ref="D46:E46"/>
    <mergeCell ref="F46:G46"/>
    <mergeCell ref="A41:H41"/>
    <mergeCell ref="A42:I42"/>
    <mergeCell ref="A43:I43"/>
    <mergeCell ref="A44:C44"/>
    <mergeCell ref="D44:E44"/>
    <mergeCell ref="F44:G44"/>
    <mergeCell ref="A45:C45"/>
    <mergeCell ref="D45:E45"/>
    <mergeCell ref="F45:G45"/>
    <mergeCell ref="A11:C11"/>
    <mergeCell ref="A12:C12"/>
    <mergeCell ref="A24:C24"/>
    <mergeCell ref="A25:C25"/>
    <mergeCell ref="B34:C34"/>
    <mergeCell ref="A18:C18"/>
    <mergeCell ref="A26:C26"/>
    <mergeCell ref="B38:C38"/>
    <mergeCell ref="A14:C14"/>
    <mergeCell ref="A15:C15"/>
    <mergeCell ref="A16:C16"/>
    <mergeCell ref="A17:C17"/>
    <mergeCell ref="A10:C10"/>
    <mergeCell ref="A1:C1"/>
    <mergeCell ref="H1:I1"/>
    <mergeCell ref="C5:I5"/>
    <mergeCell ref="A8:C8"/>
    <mergeCell ref="A9:C9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3:C23 A23:A29 B39:C40 B35:C37 B27:C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13:C13 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4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99" t="s">
        <v>231</v>
      </c>
      <c r="B8" s="1300"/>
      <c r="C8" s="1301"/>
      <c r="D8" s="851" t="e">
        <f t="shared" ref="D8:D18" si="0">IF(A8&lt;&gt;0,VLOOKUP(A8,Materiales,2,FALSE),$J$1)</f>
        <v>#REF!</v>
      </c>
      <c r="E8" s="12">
        <v>0.09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165</v>
      </c>
      <c r="B9" s="1216"/>
      <c r="C9" s="1217"/>
      <c r="D9" s="851" t="e">
        <f t="shared" si="0"/>
        <v>#REF!</v>
      </c>
      <c r="E9" s="12">
        <f>0.07*0.3</f>
        <v>2.1000000000000001E-2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2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>IF(A12&lt;&gt;0,VLOOKUP(A12,Materiales,6,FALSE),$J$1)</f>
        <v>-</v>
      </c>
      <c r="G12" s="22"/>
      <c r="H12" s="8" t="str">
        <f t="shared" si="1"/>
        <v>-</v>
      </c>
      <c r="I12" s="69"/>
    </row>
    <row r="13" spans="1:10" x14ac:dyDescent="0.2">
      <c r="A13" s="1215"/>
      <c r="B13" s="1216"/>
      <c r="C13" s="1217"/>
      <c r="D13" s="851" t="str">
        <f t="shared" si="0"/>
        <v>-</v>
      </c>
      <c r="E13" s="12"/>
      <c r="F13" s="21" t="str">
        <f t="shared" ref="F13:F18" si="2">IF(A13&lt;&gt;0,VLOOKUP(A13,Materiales,5,FALSE),$J$1)</f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3.5</v>
      </c>
      <c r="E23" s="28"/>
      <c r="F23" s="12">
        <f t="shared" ref="F23:F29" si="3">IF(A23&lt;&gt;0,VLOOKUP(A23,Equipos,6,FALSE),$J$1)</f>
        <v>3710</v>
      </c>
      <c r="G23" s="14">
        <v>0.1</v>
      </c>
      <c r="H23" s="8">
        <f t="shared" ref="H23:H29" si="4">IF(A23&lt;&gt;0,ROUND((F23/D23)*G23,2),$J$1)</f>
        <v>106</v>
      </c>
      <c r="I23" s="69"/>
    </row>
    <row r="24" spans="1:9" x14ac:dyDescent="0.2">
      <c r="A24" s="1210" t="s">
        <v>509</v>
      </c>
      <c r="B24" s="1211"/>
      <c r="C24" s="1212"/>
      <c r="D24" s="26">
        <v>1</v>
      </c>
      <c r="E24" s="28"/>
      <c r="F24" s="12">
        <f t="shared" si="3"/>
        <v>40280</v>
      </c>
      <c r="G24" s="14">
        <v>1</v>
      </c>
      <c r="H24" s="8">
        <f t="shared" si="4"/>
        <v>40280</v>
      </c>
      <c r="I24" s="69"/>
    </row>
    <row r="25" spans="1:9" x14ac:dyDescent="0.2">
      <c r="A25" s="1215" t="s">
        <v>515</v>
      </c>
      <c r="B25" s="1216"/>
      <c r="C25" s="1217"/>
      <c r="D25" s="26">
        <v>0.9</v>
      </c>
      <c r="E25" s="28"/>
      <c r="F25" s="12">
        <f t="shared" si="3"/>
        <v>31800</v>
      </c>
      <c r="G25" s="14">
        <v>0.3</v>
      </c>
      <c r="H25" s="8">
        <f t="shared" si="4"/>
        <v>10600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50986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3839.9999999999995</v>
      </c>
    </row>
    <row r="35" spans="1:9" x14ac:dyDescent="0.2">
      <c r="A35" s="1299" t="s">
        <v>2072</v>
      </c>
      <c r="B35" s="1300"/>
      <c r="C35" s="1301"/>
      <c r="D35" s="46">
        <f>IF(A35&lt;&gt;0,VLOOKUP(A35,Transporte,8,FALSE),$J$1)</f>
        <v>256000</v>
      </c>
      <c r="E35" s="47"/>
      <c r="F35" s="15">
        <f t="shared" ref="F35:F40" si="5">IF(A35&lt;&gt;0,VLOOKUP(A35,Transporte,2,FALSE),$J$1)</f>
        <v>6</v>
      </c>
      <c r="G35" s="12">
        <v>0.09</v>
      </c>
      <c r="H35" s="8">
        <f t="shared" ref="H35:H40" si="6">IF(A35&lt;&gt;0,D35/F35*G35,$J$1)</f>
        <v>3839.9999999999995</v>
      </c>
      <c r="I35" s="344"/>
    </row>
    <row r="36" spans="1:9" x14ac:dyDescent="0.2">
      <c r="A36" s="871"/>
      <c r="B36" s="872"/>
      <c r="C36" s="873"/>
      <c r="D36" s="46"/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3839.9999999999995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39</v>
      </c>
      <c r="B45" s="1216"/>
      <c r="C45" s="1217"/>
      <c r="D45" s="1225">
        <f>IF(A45&lt;&gt;0,VLOOKUP(A45,Cuadrillas,7,FALSE),$J$1)</f>
        <v>154270.22</v>
      </c>
      <c r="E45" s="1226"/>
      <c r="F45" s="1302">
        <v>7</v>
      </c>
      <c r="G45" s="1222"/>
      <c r="H45" s="8">
        <f>IF(A45&lt;&gt;0,ROUND(D45/F45,2),$J$1)</f>
        <v>22038.6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22038.6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22038.6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5">
    <mergeCell ref="A35:C35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A56:G56"/>
    <mergeCell ref="H56:I56"/>
    <mergeCell ref="A49:C49"/>
    <mergeCell ref="D49:E49"/>
    <mergeCell ref="F49:G49"/>
    <mergeCell ref="A50:H50"/>
    <mergeCell ref="A51:I51"/>
    <mergeCell ref="A52:H52"/>
    <mergeCell ref="D46:E46"/>
    <mergeCell ref="F46:G46"/>
    <mergeCell ref="B38:C38"/>
    <mergeCell ref="A41:H41"/>
    <mergeCell ref="A42:I42"/>
    <mergeCell ref="A43:I43"/>
    <mergeCell ref="A44:C44"/>
    <mergeCell ref="D44:E44"/>
    <mergeCell ref="F44:G44"/>
    <mergeCell ref="B34:C34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24:C24"/>
    <mergeCell ref="A25:C2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3:C23 A23:A29 B26:C29 B39:C40 B36:C37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14:C18 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5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99" t="s">
        <v>231</v>
      </c>
      <c r="B8" s="1300"/>
      <c r="C8" s="1301"/>
      <c r="D8" s="851" t="e">
        <f t="shared" ref="D8:D18" si="0">IF(A8&lt;&gt;0,VLOOKUP(A8,Materiales,2,FALSE),$J$1)</f>
        <v>#REF!</v>
      </c>
      <c r="E8" s="12">
        <v>0.14000000000000001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165</v>
      </c>
      <c r="B9" s="1216"/>
      <c r="C9" s="1217"/>
      <c r="D9" s="851" t="e">
        <f t="shared" si="0"/>
        <v>#REF!</v>
      </c>
      <c r="E9" s="12">
        <f>0.12*0.3</f>
        <v>3.5999999999999997E-2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2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>IF(A12&lt;&gt;0,VLOOKUP(A12,Materiales,6,FALSE),$J$1)</f>
        <v>-</v>
      </c>
      <c r="G12" s="22"/>
      <c r="H12" s="8" t="str">
        <f t="shared" si="1"/>
        <v>-</v>
      </c>
      <c r="I12" s="69"/>
    </row>
    <row r="13" spans="1:10" x14ac:dyDescent="0.2">
      <c r="A13" s="1215"/>
      <c r="B13" s="1216"/>
      <c r="C13" s="1217"/>
      <c r="D13" s="851" t="str">
        <f t="shared" si="0"/>
        <v>-</v>
      </c>
      <c r="E13" s="12"/>
      <c r="F13" s="21" t="str">
        <f t="shared" ref="F13:F18" si="2">IF(A13&lt;&gt;0,VLOOKUP(A13,Materiales,5,FALSE),$J$1)</f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3.5</v>
      </c>
      <c r="E23" s="28"/>
      <c r="F23" s="12">
        <f t="shared" ref="F23:F29" si="3">IF(A23&lt;&gt;0,VLOOKUP(A23,Equipos,6,FALSE),$J$1)</f>
        <v>3710</v>
      </c>
      <c r="G23" s="14">
        <v>0.1</v>
      </c>
      <c r="H23" s="8">
        <f t="shared" ref="H23:H29" si="4">IF(A23&lt;&gt;0,ROUND((F23/D23)*G23,2),$J$1)</f>
        <v>106</v>
      </c>
      <c r="I23" s="69"/>
    </row>
    <row r="24" spans="1:9" x14ac:dyDescent="0.2">
      <c r="A24" s="1210" t="s">
        <v>510</v>
      </c>
      <c r="B24" s="1211"/>
      <c r="C24" s="1212"/>
      <c r="D24" s="26">
        <v>1</v>
      </c>
      <c r="E24" s="28"/>
      <c r="F24" s="12">
        <f t="shared" si="3"/>
        <v>44520</v>
      </c>
      <c r="G24" s="14">
        <v>1</v>
      </c>
      <c r="H24" s="8">
        <f t="shared" si="4"/>
        <v>44520</v>
      </c>
      <c r="I24" s="69"/>
    </row>
    <row r="25" spans="1:9" x14ac:dyDescent="0.2">
      <c r="A25" s="1215" t="s">
        <v>515</v>
      </c>
      <c r="B25" s="1216"/>
      <c r="C25" s="1217"/>
      <c r="D25" s="26">
        <v>0.8</v>
      </c>
      <c r="E25" s="28"/>
      <c r="F25" s="12">
        <f t="shared" si="3"/>
        <v>31800</v>
      </c>
      <c r="G25" s="14">
        <v>0.3</v>
      </c>
      <c r="H25" s="8">
        <f t="shared" si="4"/>
        <v>11925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56551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7466.666666666667</v>
      </c>
    </row>
    <row r="35" spans="1:9" x14ac:dyDescent="0.2">
      <c r="A35" s="1299" t="s">
        <v>2072</v>
      </c>
      <c r="B35" s="1300"/>
      <c r="C35" s="1301"/>
      <c r="D35" s="46">
        <f>IF(A35&lt;&gt;0,VLOOKUP(A35,Transporte,8,FALSE),$J$1)</f>
        <v>256000</v>
      </c>
      <c r="E35" s="47"/>
      <c r="F35" s="15">
        <f t="shared" ref="F35:F40" si="5">IF(A35&lt;&gt;0,VLOOKUP(A35,Transporte,2,FALSE),$J$1)</f>
        <v>6</v>
      </c>
      <c r="G35" s="12">
        <f>0.14*1.25</f>
        <v>0.17500000000000002</v>
      </c>
      <c r="H35" s="8">
        <f t="shared" ref="H35:H40" si="6">IF(A35&lt;&gt;0,D35/F35*G35,$J$1)</f>
        <v>7466.666666666667</v>
      </c>
      <c r="I35" s="344"/>
    </row>
    <row r="36" spans="1:9" x14ac:dyDescent="0.2">
      <c r="A36" s="871"/>
      <c r="B36" s="872"/>
      <c r="C36" s="873"/>
      <c r="D36" s="46"/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7466.666666666667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39</v>
      </c>
      <c r="B45" s="1216"/>
      <c r="C45" s="1217"/>
      <c r="D45" s="1225">
        <f>IF(A45&lt;&gt;0,VLOOKUP(A45,Cuadrillas,7,FALSE),$J$1)</f>
        <v>154270.22</v>
      </c>
      <c r="E45" s="1226"/>
      <c r="F45" s="1302">
        <v>7</v>
      </c>
      <c r="G45" s="1222"/>
      <c r="H45" s="8">
        <f>IF(A45&lt;&gt;0,ROUND(D45/F45,2),$J$1)</f>
        <v>22038.6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22038.6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22038.6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5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4:C44"/>
    <mergeCell ref="D44:E44"/>
    <mergeCell ref="F44:G44"/>
    <mergeCell ref="A11:C11"/>
    <mergeCell ref="A12:C12"/>
    <mergeCell ref="A13:C13"/>
    <mergeCell ref="A24:C24"/>
    <mergeCell ref="A25:C25"/>
    <mergeCell ref="B34:C34"/>
    <mergeCell ref="A35:C35"/>
    <mergeCell ref="B38:C38"/>
    <mergeCell ref="A41:H41"/>
    <mergeCell ref="A42:I42"/>
    <mergeCell ref="A43:I43"/>
    <mergeCell ref="A10:C10"/>
    <mergeCell ref="A1:C1"/>
    <mergeCell ref="H1:I1"/>
    <mergeCell ref="C5:I5"/>
    <mergeCell ref="A8:C8"/>
    <mergeCell ref="A9:C9"/>
  </mergeCells>
  <dataValidations count="5">
    <dataValidation type="list" allowBlank="1" showInputMessage="1" showErrorMessage="1" sqref="B14:C18 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3:C23 A23:A29 B26:C29 B39:C40 B36:C37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21"/>
    <pageSetUpPr fitToPage="1"/>
  </sheetPr>
  <dimension ref="A1:AF896"/>
  <sheetViews>
    <sheetView view="pageBreakPreview" topLeftCell="A570" zoomScale="60" zoomScaleNormal="50" workbookViewId="0">
      <selection sqref="A1:T1"/>
    </sheetView>
  </sheetViews>
  <sheetFormatPr baseColWidth="10" defaultColWidth="11.42578125" defaultRowHeight="15" x14ac:dyDescent="0.2"/>
  <cols>
    <col min="1" max="1" width="8" style="111" customWidth="1"/>
    <col min="2" max="2" width="52.85546875" style="112" customWidth="1"/>
    <col min="3" max="3" width="10.7109375" style="111" customWidth="1"/>
    <col min="4" max="4" width="22" style="172" customWidth="1"/>
    <col min="5" max="6" width="18.7109375" style="174" customWidth="1"/>
    <col min="7" max="7" width="18.7109375" style="175" customWidth="1"/>
    <col min="8" max="8" width="2.42578125" style="552" customWidth="1"/>
    <col min="9" max="9" width="13.85546875" style="552" hidden="1" customWidth="1"/>
    <col min="10" max="10" width="22.140625" style="552" hidden="1" customWidth="1"/>
    <col min="11" max="11" width="17.85546875" style="553" customWidth="1"/>
    <col min="12" max="12" width="21.28515625" style="552" customWidth="1"/>
    <col min="13" max="13" width="14.5703125" style="554" customWidth="1"/>
    <col min="14" max="14" width="19.5703125" style="552" customWidth="1"/>
    <col min="15" max="15" width="16.140625" style="554" customWidth="1"/>
    <col min="16" max="16" width="20.140625" style="552" customWidth="1"/>
    <col min="17" max="17" width="16.7109375" style="554" customWidth="1"/>
    <col min="18" max="18" width="21.85546875" style="552" customWidth="1"/>
    <col min="19" max="19" width="16.140625" style="554" customWidth="1"/>
    <col min="20" max="20" width="20.7109375" style="552" customWidth="1"/>
    <col min="21" max="21" width="1.7109375" style="552" customWidth="1"/>
    <col min="22" max="22" width="21.85546875" style="555" bestFit="1" customWidth="1"/>
    <col min="23" max="23" width="31" style="555" bestFit="1" customWidth="1"/>
    <col min="24" max="24" width="20.7109375" style="555" bestFit="1" customWidth="1"/>
    <col min="25" max="25" width="31" style="555" bestFit="1" customWidth="1"/>
    <col min="26" max="26" width="20.140625" style="555" bestFit="1" customWidth="1"/>
    <col min="27" max="27" width="29.28515625" style="555" bestFit="1" customWidth="1"/>
    <col min="28" max="28" width="20.140625" style="555" bestFit="1" customWidth="1"/>
    <col min="29" max="29" width="29.28515625" style="555" bestFit="1" customWidth="1"/>
    <col min="30" max="30" width="11.42578125" style="556"/>
    <col min="31" max="31" width="23.140625" style="556" customWidth="1"/>
    <col min="32" max="16384" width="11.42578125" style="556"/>
  </cols>
  <sheetData>
    <row r="1" spans="1:31" s="552" customFormat="1" ht="50.1" customHeight="1" x14ac:dyDescent="0.2">
      <c r="A1" s="1036" t="s">
        <v>530</v>
      </c>
      <c r="B1" s="1036"/>
      <c r="C1" s="1036"/>
      <c r="D1" s="1036"/>
      <c r="E1" s="1036"/>
      <c r="F1" s="1036"/>
      <c r="G1" s="1036"/>
      <c r="H1" s="1036"/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550"/>
      <c r="V1" s="550"/>
      <c r="W1" s="550"/>
      <c r="X1" s="550"/>
      <c r="Y1" s="550"/>
      <c r="Z1" s="550"/>
      <c r="AA1" s="550"/>
      <c r="AB1" s="550"/>
      <c r="AC1" s="550"/>
    </row>
    <row r="2" spans="1:31" s="552" customFormat="1" ht="33.75" customHeight="1" x14ac:dyDescent="0.2">
      <c r="A2" s="1035" t="s">
        <v>531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550"/>
      <c r="V2" s="551"/>
      <c r="W2" s="550"/>
      <c r="X2" s="551"/>
      <c r="Y2" s="550"/>
      <c r="Z2" s="551"/>
      <c r="AA2" s="550"/>
      <c r="AB2" s="551"/>
      <c r="AC2" s="550"/>
    </row>
    <row r="3" spans="1:31" s="552" customFormat="1" ht="23.25" customHeight="1" x14ac:dyDescent="0.2">
      <c r="A3" s="980" t="str">
        <f>+'Datos entrada'!B8</f>
        <v>CORREGIMIENTO DE LAS MESAS-MUNICIPIO DETABLON DE GOMES (N)</v>
      </c>
      <c r="B3" s="980"/>
      <c r="C3" s="980"/>
      <c r="D3" s="980"/>
      <c r="E3" s="980"/>
      <c r="F3" s="980"/>
      <c r="G3" s="980"/>
      <c r="H3" s="980"/>
      <c r="I3" s="980"/>
      <c r="J3" s="980"/>
      <c r="K3" s="980"/>
      <c r="L3" s="980"/>
      <c r="M3" s="980"/>
      <c r="N3" s="980"/>
      <c r="O3" s="980"/>
      <c r="P3" s="980"/>
      <c r="Q3" s="980"/>
      <c r="R3" s="980"/>
      <c r="S3" s="980"/>
      <c r="T3" s="980"/>
      <c r="U3" s="509"/>
      <c r="V3" s="509"/>
      <c r="W3" s="509"/>
      <c r="X3" s="509"/>
      <c r="Y3" s="509"/>
      <c r="Z3" s="509"/>
      <c r="AA3" s="509"/>
      <c r="AB3" s="509"/>
      <c r="AC3" s="509"/>
    </row>
    <row r="4" spans="1:31" s="552" customFormat="1" ht="39.75" customHeight="1" x14ac:dyDescent="0.2">
      <c r="A4" s="980" t="str">
        <f>+'Datos entrada'!B3</f>
        <v>OPTIMIZACIÓN Y AMPLIACIÓN DE LA RED ALCANTARILLADO DEL CORREGIMIENTO DE LAS MESAS, MUNICIPIO DE EL TABLON DE GOMEZ – DEPARTAMENTO DE NARIÑO.</v>
      </c>
      <c r="B4" s="980"/>
      <c r="C4" s="980"/>
      <c r="D4" s="980"/>
      <c r="E4" s="980"/>
      <c r="F4" s="980"/>
      <c r="G4" s="980"/>
      <c r="H4" s="980"/>
      <c r="I4" s="980"/>
      <c r="J4" s="980"/>
      <c r="K4" s="980"/>
      <c r="L4" s="980"/>
      <c r="M4" s="980"/>
      <c r="N4" s="980"/>
      <c r="O4" s="980"/>
      <c r="P4" s="980"/>
      <c r="Q4" s="980"/>
      <c r="R4" s="980"/>
      <c r="S4" s="980"/>
      <c r="T4" s="980"/>
      <c r="U4" s="509"/>
      <c r="V4" s="509"/>
      <c r="W4" s="509"/>
      <c r="X4" s="509"/>
      <c r="Y4" s="509"/>
      <c r="Z4" s="509"/>
      <c r="AA4" s="509"/>
      <c r="AB4" s="509"/>
      <c r="AC4" s="509"/>
    </row>
    <row r="5" spans="1:31" s="552" customFormat="1" ht="20.100000000000001" customHeight="1" x14ac:dyDescent="0.2">
      <c r="A5" s="980" t="s">
        <v>532</v>
      </c>
      <c r="B5" s="980"/>
      <c r="C5" s="980"/>
      <c r="D5" s="980"/>
      <c r="E5" s="980"/>
      <c r="F5" s="980"/>
      <c r="G5" s="980"/>
      <c r="H5" s="980"/>
      <c r="I5" s="980"/>
      <c r="J5" s="980"/>
      <c r="K5" s="980"/>
      <c r="L5" s="980"/>
      <c r="M5" s="980"/>
      <c r="N5" s="980"/>
      <c r="O5" s="980"/>
      <c r="P5" s="980"/>
      <c r="Q5" s="980"/>
      <c r="R5" s="980"/>
      <c r="S5" s="980"/>
      <c r="T5" s="980"/>
      <c r="U5" s="509"/>
      <c r="V5" s="509"/>
      <c r="W5" s="509"/>
      <c r="X5" s="509"/>
      <c r="Y5" s="509"/>
      <c r="Z5" s="509"/>
      <c r="AA5" s="509"/>
      <c r="AB5" s="509"/>
      <c r="AC5" s="509"/>
    </row>
    <row r="6" spans="1:31" ht="6" customHeight="1" thickBot="1" x14ac:dyDescent="0.25">
      <c r="A6" s="910"/>
      <c r="B6" s="911"/>
      <c r="C6" s="910"/>
      <c r="G6" s="787"/>
    </row>
    <row r="7" spans="1:31" ht="24" customHeight="1" thickTop="1" x14ac:dyDescent="0.2">
      <c r="A7" s="1066" t="s">
        <v>533</v>
      </c>
      <c r="B7" s="1066" t="s">
        <v>534</v>
      </c>
      <c r="C7" s="1066" t="s">
        <v>535</v>
      </c>
      <c r="D7" s="1054" t="s">
        <v>536</v>
      </c>
      <c r="E7" s="1054" t="s">
        <v>537</v>
      </c>
      <c r="F7" s="1054" t="s">
        <v>538</v>
      </c>
      <c r="G7" s="1054" t="s">
        <v>539</v>
      </c>
      <c r="H7" s="557"/>
      <c r="I7" s="1056" t="s">
        <v>540</v>
      </c>
      <c r="J7" s="1058" t="s">
        <v>541</v>
      </c>
      <c r="K7" s="1061" t="s">
        <v>542</v>
      </c>
      <c r="L7" s="1062"/>
      <c r="M7" s="1061" t="s">
        <v>543</v>
      </c>
      <c r="N7" s="1062"/>
      <c r="O7" s="1061" t="s">
        <v>544</v>
      </c>
      <c r="P7" s="1062"/>
      <c r="Q7" s="1061" t="s">
        <v>545</v>
      </c>
      <c r="R7" s="1062"/>
      <c r="S7" s="1061" t="s">
        <v>546</v>
      </c>
      <c r="T7" s="1062"/>
      <c r="V7" s="1063" t="s">
        <v>547</v>
      </c>
      <c r="W7" s="1063"/>
      <c r="X7" s="1063"/>
      <c r="Y7" s="1063"/>
      <c r="Z7" s="1063"/>
      <c r="AA7" s="1063"/>
      <c r="AB7" s="1063"/>
      <c r="AC7" s="1063"/>
    </row>
    <row r="8" spans="1:31" ht="21" customHeight="1" x14ac:dyDescent="0.2">
      <c r="A8" s="1067"/>
      <c r="B8" s="1067"/>
      <c r="C8" s="1067"/>
      <c r="D8" s="1055"/>
      <c r="E8" s="1055"/>
      <c r="F8" s="1055"/>
      <c r="G8" s="1055"/>
      <c r="H8" s="557"/>
      <c r="I8" s="1057"/>
      <c r="J8" s="1059"/>
      <c r="K8" s="1050" t="s">
        <v>536</v>
      </c>
      <c r="L8" s="1052" t="s">
        <v>548</v>
      </c>
      <c r="M8" s="1050" t="s">
        <v>536</v>
      </c>
      <c r="N8" s="1052" t="s">
        <v>549</v>
      </c>
      <c r="O8" s="1050" t="s">
        <v>536</v>
      </c>
      <c r="P8" s="1052" t="s">
        <v>550</v>
      </c>
      <c r="Q8" s="1050" t="s">
        <v>536</v>
      </c>
      <c r="R8" s="1052" t="s">
        <v>551</v>
      </c>
      <c r="S8" s="1050" t="s">
        <v>536</v>
      </c>
      <c r="T8" s="1052" t="s">
        <v>552</v>
      </c>
      <c r="V8" s="1065" t="s">
        <v>553</v>
      </c>
      <c r="W8" s="1065"/>
      <c r="X8" s="1064" t="s">
        <v>554</v>
      </c>
      <c r="Y8" s="1064"/>
      <c r="Z8" s="1064" t="s">
        <v>454</v>
      </c>
      <c r="AA8" s="1064"/>
      <c r="AB8" s="1064" t="s">
        <v>555</v>
      </c>
      <c r="AC8" s="1064"/>
    </row>
    <row r="9" spans="1:31" ht="18" customHeight="1" x14ac:dyDescent="0.2">
      <c r="A9" s="1066"/>
      <c r="B9" s="1066"/>
      <c r="C9" s="1066"/>
      <c r="D9" s="1054"/>
      <c r="E9" s="1054"/>
      <c r="F9" s="1054"/>
      <c r="G9" s="1054"/>
      <c r="H9" s="557"/>
      <c r="I9" s="1057"/>
      <c r="J9" s="1060"/>
      <c r="K9" s="1051"/>
      <c r="L9" s="1053"/>
      <c r="M9" s="1051"/>
      <c r="N9" s="1053"/>
      <c r="O9" s="1051"/>
      <c r="P9" s="1053"/>
      <c r="Q9" s="1051"/>
      <c r="R9" s="1053"/>
      <c r="S9" s="1051"/>
      <c r="T9" s="1053"/>
      <c r="V9" s="845" t="s">
        <v>556</v>
      </c>
      <c r="W9" s="845" t="s">
        <v>557</v>
      </c>
      <c r="X9" s="845" t="s">
        <v>556</v>
      </c>
      <c r="Y9" s="845" t="s">
        <v>557</v>
      </c>
      <c r="Z9" s="845" t="s">
        <v>556</v>
      </c>
      <c r="AA9" s="845" t="s">
        <v>557</v>
      </c>
      <c r="AB9" s="845" t="s">
        <v>556</v>
      </c>
      <c r="AC9" s="845" t="s">
        <v>557</v>
      </c>
    </row>
    <row r="10" spans="1:31" s="552" customFormat="1" ht="6" customHeight="1" thickBot="1" x14ac:dyDescent="0.25">
      <c r="A10" s="910"/>
      <c r="B10" s="911"/>
      <c r="C10" s="910"/>
      <c r="D10" s="172"/>
      <c r="E10" s="174"/>
      <c r="F10" s="174"/>
      <c r="G10" s="787"/>
      <c r="I10" s="558"/>
      <c r="J10" s="558"/>
      <c r="K10" s="559"/>
      <c r="L10" s="560"/>
      <c r="M10" s="561"/>
      <c r="N10" s="560"/>
      <c r="O10" s="561"/>
      <c r="P10" s="560"/>
      <c r="Q10" s="561"/>
      <c r="R10" s="560"/>
      <c r="S10" s="562"/>
      <c r="T10" s="563"/>
      <c r="V10" s="554"/>
      <c r="W10" s="554"/>
      <c r="X10" s="554"/>
      <c r="Y10" s="554"/>
      <c r="Z10" s="554"/>
      <c r="AA10" s="554"/>
      <c r="AB10" s="554"/>
      <c r="AC10" s="554"/>
    </row>
    <row r="11" spans="1:31" s="571" customFormat="1" ht="30" customHeight="1" thickTop="1" thickBot="1" x14ac:dyDescent="0.25">
      <c r="A11" s="564">
        <v>1</v>
      </c>
      <c r="B11" s="1045" t="s">
        <v>558</v>
      </c>
      <c r="C11" s="1045"/>
      <c r="D11" s="1045"/>
      <c r="E11" s="1045"/>
      <c r="F11" s="1045"/>
      <c r="G11" s="180" t="e">
        <f>+ROUND(F12+F19+F23+F31,10)</f>
        <v>#REF!</v>
      </c>
      <c r="H11" s="565"/>
      <c r="I11" s="566"/>
      <c r="J11" s="438" t="e">
        <f>+ROUND(J12+J19+J23+J31,10)</f>
        <v>#REF!</v>
      </c>
      <c r="K11" s="567"/>
      <c r="L11" s="180" t="e">
        <f>+ROUND(L12+L19+L23+L31,10)</f>
        <v>#REF!</v>
      </c>
      <c r="M11" s="567"/>
      <c r="N11" s="180" t="e">
        <f>+ROUND(N12+N19+N23+N31,10)</f>
        <v>#REF!</v>
      </c>
      <c r="O11" s="567"/>
      <c r="P11" s="180" t="e">
        <f>+ROUND(P12+P19+P23+P31,10)</f>
        <v>#REF!</v>
      </c>
      <c r="Q11" s="567"/>
      <c r="R11" s="180" t="e">
        <f>+ROUND(R12+R19+R23+R31,10)</f>
        <v>#REF!</v>
      </c>
      <c r="S11" s="567"/>
      <c r="T11" s="180" t="e">
        <f>+ROUND(T12+T19+T23+T31,10)</f>
        <v>#REF!</v>
      </c>
      <c r="U11" s="568"/>
      <c r="V11" s="569" t="e">
        <f>W11/$G$11</f>
        <v>#REF!</v>
      </c>
      <c r="W11" s="570" t="e">
        <f>ROUND(W12+W19+W23+W31,10)</f>
        <v>#REF!</v>
      </c>
      <c r="X11" s="569" t="e">
        <f>Y11/$G$11</f>
        <v>#REF!</v>
      </c>
      <c r="Y11" s="570" t="e">
        <f>ROUND(Y12+Y19+Y23+Y31,10)</f>
        <v>#REF!</v>
      </c>
      <c r="Z11" s="569" t="e">
        <f>AA11/$G$11</f>
        <v>#REF!</v>
      </c>
      <c r="AA11" s="570" t="e">
        <f>ROUND(AA12+AA19+AA23+AA31,10)</f>
        <v>#REF!</v>
      </c>
      <c r="AB11" s="569" t="e">
        <f>AC11/$G$11</f>
        <v>#REF!</v>
      </c>
      <c r="AC11" s="570" t="e">
        <f>ROUND(AC12+AC19+AC23+AC31,10)</f>
        <v>#REF!</v>
      </c>
      <c r="AE11" s="769" t="e">
        <f>SUM(AC11,AA11,Y11,W11)-SUM(T11,R11,P11,N11,L11)</f>
        <v>#REF!</v>
      </c>
    </row>
    <row r="12" spans="1:31" s="571" customFormat="1" ht="16.5" thickTop="1" x14ac:dyDescent="0.2">
      <c r="A12" s="572" t="s">
        <v>559</v>
      </c>
      <c r="B12" s="573" t="s">
        <v>560</v>
      </c>
      <c r="C12" s="846"/>
      <c r="D12" s="444"/>
      <c r="E12" s="180"/>
      <c r="F12" s="180" t="e">
        <f>ROUND(SUM(F13:F18),10)</f>
        <v>#REF!</v>
      </c>
      <c r="G12" s="473"/>
      <c r="H12" s="565"/>
      <c r="I12" s="574"/>
      <c r="J12" s="439" t="e">
        <f>ROUND(SUM(J13:J18),10)</f>
        <v>#REF!</v>
      </c>
      <c r="K12" s="536"/>
      <c r="L12" s="180" t="e">
        <f>ROUND(SUM(L13:L18),10)</f>
        <v>#REF!</v>
      </c>
      <c r="M12" s="541"/>
      <c r="N12" s="180" t="e">
        <f>ROUND(SUM(N13:N18),10)</f>
        <v>#REF!</v>
      </c>
      <c r="O12" s="541"/>
      <c r="P12" s="180" t="e">
        <f>ROUND(SUM(P13:P18),10)</f>
        <v>#REF!</v>
      </c>
      <c r="Q12" s="541"/>
      <c r="R12" s="180" t="e">
        <f>ROUND(SUM(R13:R18),10)</f>
        <v>#REF!</v>
      </c>
      <c r="S12" s="541"/>
      <c r="T12" s="180" t="e">
        <f>ROUND(SUM(T13:T18),10)</f>
        <v>#REF!</v>
      </c>
      <c r="U12" s="568"/>
      <c r="V12" s="575"/>
      <c r="W12" s="570" t="e">
        <f>ROUND(SUM(W13:W18),10)</f>
        <v>#REF!</v>
      </c>
      <c r="X12" s="575"/>
      <c r="Y12" s="570" t="e">
        <f>ROUND(SUM(Y13:Y18),10)</f>
        <v>#REF!</v>
      </c>
      <c r="Z12" s="575"/>
      <c r="AA12" s="570" t="e">
        <f>ROUND(SUM(AA13:AA18),10)</f>
        <v>#REF!</v>
      </c>
      <c r="AB12" s="575"/>
      <c r="AC12" s="570" t="e">
        <f>ROUND(SUM(AC13:AC18),10)</f>
        <v>#REF!</v>
      </c>
      <c r="AE12" s="769" t="e">
        <f t="shared" ref="AE12:AE75" si="0">SUM(AC12,AA12,Y12,W12)-SUM(T12,R12,P12,N12,L12)</f>
        <v>#REF!</v>
      </c>
    </row>
    <row r="13" spans="1:31" ht="15" hidden="1" customHeight="1" x14ac:dyDescent="0.2">
      <c r="A13" s="611" t="s">
        <v>561</v>
      </c>
      <c r="B13" s="601" t="s">
        <v>562</v>
      </c>
      <c r="C13" s="611" t="s">
        <v>111</v>
      </c>
      <c r="D13" s="576">
        <f>+I13+K13+M13+O13+Q13+S13</f>
        <v>0</v>
      </c>
      <c r="E13" s="577" t="e">
        <f>V13+X13+Z13+AB13</f>
        <v>#REF!</v>
      </c>
      <c r="F13" s="577" t="e">
        <f t="shared" ref="F13:F18" si="1">ROUND(D13*E13,10)</f>
        <v>#REF!</v>
      </c>
      <c r="G13" s="578"/>
      <c r="H13" s="565"/>
      <c r="I13" s="579"/>
      <c r="J13" s="580" t="e">
        <f t="shared" ref="J13:J18" si="2">+ROUND(E13*I13,10)</f>
        <v>#REF!</v>
      </c>
      <c r="K13" s="537"/>
      <c r="L13" s="445" t="e">
        <f t="shared" ref="L13:L18" si="3">+ROUND(E13*K13,10)</f>
        <v>#REF!</v>
      </c>
      <c r="M13" s="542"/>
      <c r="N13" s="445" t="e">
        <f t="shared" ref="N13:N18" si="4">+ROUND(E13*M13,10)</f>
        <v>#REF!</v>
      </c>
      <c r="O13" s="542"/>
      <c r="P13" s="445" t="e">
        <f t="shared" ref="P13:P18" si="5">+ROUND(E13*O13,10)</f>
        <v>#REF!</v>
      </c>
      <c r="Q13" s="542"/>
      <c r="R13" s="445" t="e">
        <f t="shared" ref="R13:R18" si="6">+ROUND(E13*Q13,10)</f>
        <v>#REF!</v>
      </c>
      <c r="S13" s="542"/>
      <c r="T13" s="445" t="e">
        <f t="shared" ref="T13:T18" si="7">+ROUND(E13*S13,10)</f>
        <v>#REF!</v>
      </c>
      <c r="V13" s="581" t="e">
        <f>+'1,1,1 Campamt'!I22</f>
        <v>#REF!</v>
      </c>
      <c r="W13" s="582" t="e">
        <f t="shared" ref="W13:W18" si="8">ROUND(V13*$D13,10)</f>
        <v>#REF!</v>
      </c>
      <c r="X13" s="581">
        <f>+'1,1,1 Campamt'!I53</f>
        <v>827055.46</v>
      </c>
      <c r="Y13" s="582">
        <f t="shared" ref="Y13:Y18" si="9">ROUND(X13*$D13,10)</f>
        <v>0</v>
      </c>
      <c r="Z13" s="581">
        <f>+'1,1,1 Campamt'!I33</f>
        <v>16130.43</v>
      </c>
      <c r="AA13" s="582">
        <f t="shared" ref="AA13:AA18" si="10">ROUND(Z13*$D13,10)</f>
        <v>0</v>
      </c>
      <c r="AB13" s="581">
        <f>+'1,1,1 Campamt'!I44</f>
        <v>0</v>
      </c>
      <c r="AC13" s="582">
        <f t="shared" ref="AC13:AC18" si="11">ROUND(AB13*$D13,10)</f>
        <v>0</v>
      </c>
      <c r="AE13" s="769" t="e">
        <f t="shared" si="0"/>
        <v>#REF!</v>
      </c>
    </row>
    <row r="14" spans="1:31" x14ac:dyDescent="0.2">
      <c r="A14" s="611" t="s">
        <v>563</v>
      </c>
      <c r="B14" s="601" t="s">
        <v>564</v>
      </c>
      <c r="C14" s="611" t="s">
        <v>146</v>
      </c>
      <c r="D14" s="576">
        <f>+I14+K14+M14+O14+Q14+S14</f>
        <v>8</v>
      </c>
      <c r="E14" s="577" t="e">
        <f t="shared" ref="E14:E39" si="12">V14+X14+Z14+AB14</f>
        <v>#REF!</v>
      </c>
      <c r="F14" s="577" t="e">
        <f t="shared" si="1"/>
        <v>#REF!</v>
      </c>
      <c r="G14" s="578"/>
      <c r="H14" s="565"/>
      <c r="I14" s="584"/>
      <c r="J14" s="585" t="e">
        <f t="shared" si="2"/>
        <v>#REF!</v>
      </c>
      <c r="K14" s="537">
        <v>4</v>
      </c>
      <c r="L14" s="445" t="e">
        <f t="shared" si="3"/>
        <v>#REF!</v>
      </c>
      <c r="M14" s="542">
        <v>2</v>
      </c>
      <c r="N14" s="445" t="e">
        <f t="shared" si="4"/>
        <v>#REF!</v>
      </c>
      <c r="O14" s="537">
        <v>1</v>
      </c>
      <c r="P14" s="445" t="e">
        <f t="shared" si="5"/>
        <v>#REF!</v>
      </c>
      <c r="Q14" s="537">
        <v>1</v>
      </c>
      <c r="R14" s="445" t="e">
        <f t="shared" si="6"/>
        <v>#REF!</v>
      </c>
      <c r="S14" s="537"/>
      <c r="T14" s="445" t="e">
        <f t="shared" si="7"/>
        <v>#REF!</v>
      </c>
      <c r="V14" s="581" t="e">
        <f>+#REF!</f>
        <v>#REF!</v>
      </c>
      <c r="W14" s="582" t="e">
        <f t="shared" si="8"/>
        <v>#REF!</v>
      </c>
      <c r="X14" s="581"/>
      <c r="Y14" s="582">
        <f t="shared" si="9"/>
        <v>0</v>
      </c>
      <c r="Z14" s="581"/>
      <c r="AA14" s="582">
        <f t="shared" si="10"/>
        <v>0</v>
      </c>
      <c r="AB14" s="581"/>
      <c r="AC14" s="582">
        <f t="shared" si="11"/>
        <v>0</v>
      </c>
      <c r="AE14" s="769" t="e">
        <f t="shared" si="0"/>
        <v>#REF!</v>
      </c>
    </row>
    <row r="15" spans="1:31" x14ac:dyDescent="0.2">
      <c r="A15" s="611" t="s">
        <v>565</v>
      </c>
      <c r="B15" s="601" t="s">
        <v>566</v>
      </c>
      <c r="C15" s="611" t="s">
        <v>130</v>
      </c>
      <c r="D15" s="576">
        <f>+I15+K15+M15+O15+Q15+S15</f>
        <v>923.25</v>
      </c>
      <c r="E15" s="577" t="e">
        <f t="shared" si="12"/>
        <v>#REF!</v>
      </c>
      <c r="F15" s="577" t="e">
        <f t="shared" si="1"/>
        <v>#REF!</v>
      </c>
      <c r="G15" s="578"/>
      <c r="H15" s="565"/>
      <c r="I15" s="586"/>
      <c r="J15" s="585" t="e">
        <f t="shared" si="2"/>
        <v>#REF!</v>
      </c>
      <c r="K15" s="537">
        <v>363.51</v>
      </c>
      <c r="L15" s="445" t="e">
        <f t="shared" si="3"/>
        <v>#REF!</v>
      </c>
      <c r="M15" s="542"/>
      <c r="N15" s="445" t="e">
        <f t="shared" si="4"/>
        <v>#REF!</v>
      </c>
      <c r="O15" s="537">
        <v>59.76</v>
      </c>
      <c r="P15" s="445" t="e">
        <f t="shared" si="5"/>
        <v>#REF!</v>
      </c>
      <c r="Q15" s="537">
        <v>215.86</v>
      </c>
      <c r="R15" s="445" t="e">
        <f t="shared" si="6"/>
        <v>#REF!</v>
      </c>
      <c r="S15" s="537">
        <v>284.12</v>
      </c>
      <c r="T15" s="445" t="e">
        <f t="shared" si="7"/>
        <v>#REF!</v>
      </c>
      <c r="V15" s="581"/>
      <c r="W15" s="582">
        <f t="shared" si="8"/>
        <v>0</v>
      </c>
      <c r="X15" s="581" t="e">
        <f>+#REF!</f>
        <v>#REF!</v>
      </c>
      <c r="Y15" s="582" t="e">
        <f t="shared" si="9"/>
        <v>#REF!</v>
      </c>
      <c r="Z15" s="581" t="e">
        <f>+#REF!</f>
        <v>#REF!</v>
      </c>
      <c r="AA15" s="582" t="e">
        <f t="shared" si="10"/>
        <v>#REF!</v>
      </c>
      <c r="AB15" s="581" t="e">
        <f>+#REF!</f>
        <v>#REF!</v>
      </c>
      <c r="AC15" s="582" t="e">
        <f t="shared" si="11"/>
        <v>#REF!</v>
      </c>
      <c r="AE15" s="769" t="e">
        <f t="shared" si="0"/>
        <v>#REF!</v>
      </c>
    </row>
    <row r="16" spans="1:31" x14ac:dyDescent="0.2">
      <c r="A16" s="611" t="s">
        <v>567</v>
      </c>
      <c r="B16" s="601" t="s">
        <v>568</v>
      </c>
      <c r="C16" s="611" t="s">
        <v>130</v>
      </c>
      <c r="D16" s="576">
        <f>+I16+K16+M16+O16+Q16+S16</f>
        <v>1656.11</v>
      </c>
      <c r="E16" s="577" t="e">
        <f t="shared" si="12"/>
        <v>#REF!</v>
      </c>
      <c r="F16" s="577" t="e">
        <f t="shared" si="1"/>
        <v>#REF!</v>
      </c>
      <c r="G16" s="578"/>
      <c r="H16" s="565"/>
      <c r="I16" s="584"/>
      <c r="J16" s="585" t="e">
        <f t="shared" si="2"/>
        <v>#REF!</v>
      </c>
      <c r="K16" s="537">
        <v>652.29</v>
      </c>
      <c r="L16" s="445" t="e">
        <f t="shared" si="3"/>
        <v>#REF!</v>
      </c>
      <c r="M16" s="542">
        <v>87.29</v>
      </c>
      <c r="N16" s="445" t="e">
        <f t="shared" si="4"/>
        <v>#REF!</v>
      </c>
      <c r="O16" s="537">
        <v>118.77</v>
      </c>
      <c r="P16" s="445" t="e">
        <f t="shared" si="5"/>
        <v>#REF!</v>
      </c>
      <c r="Q16" s="537">
        <v>336.01</v>
      </c>
      <c r="R16" s="445" t="e">
        <f t="shared" si="6"/>
        <v>#REF!</v>
      </c>
      <c r="S16" s="537">
        <f>284.12+177.63</f>
        <v>461.75</v>
      </c>
      <c r="T16" s="445" t="e">
        <f t="shared" si="7"/>
        <v>#REF!</v>
      </c>
      <c r="V16" s="581" t="e">
        <f>+#REF!</f>
        <v>#REF!</v>
      </c>
      <c r="W16" s="582" t="e">
        <f t="shared" si="8"/>
        <v>#REF!</v>
      </c>
      <c r="X16" s="581" t="e">
        <f>+#REF!</f>
        <v>#REF!</v>
      </c>
      <c r="Y16" s="582" t="e">
        <f t="shared" si="9"/>
        <v>#REF!</v>
      </c>
      <c r="Z16" s="581" t="e">
        <f>+#REF!</f>
        <v>#REF!</v>
      </c>
      <c r="AA16" s="582" t="e">
        <f t="shared" si="10"/>
        <v>#REF!</v>
      </c>
      <c r="AB16" s="581" t="e">
        <f>+#REF!</f>
        <v>#REF!</v>
      </c>
      <c r="AC16" s="582" t="e">
        <f t="shared" si="11"/>
        <v>#REF!</v>
      </c>
      <c r="AE16" s="769" t="e">
        <f t="shared" si="0"/>
        <v>#REF!</v>
      </c>
    </row>
    <row r="17" spans="1:31" ht="25.5" x14ac:dyDescent="0.2">
      <c r="A17" s="611" t="s">
        <v>569</v>
      </c>
      <c r="B17" s="601" t="s">
        <v>570</v>
      </c>
      <c r="C17" s="611" t="s">
        <v>114</v>
      </c>
      <c r="D17" s="576">
        <f>+I17+K17+M17+O17+Q17+S17</f>
        <v>120.36</v>
      </c>
      <c r="E17" s="577" t="e">
        <f t="shared" si="12"/>
        <v>#REF!</v>
      </c>
      <c r="F17" s="577" t="e">
        <f t="shared" si="1"/>
        <v>#REF!</v>
      </c>
      <c r="G17" s="578"/>
      <c r="H17" s="565"/>
      <c r="I17" s="587"/>
      <c r="J17" s="585" t="e">
        <f t="shared" si="2"/>
        <v>#REF!</v>
      </c>
      <c r="K17" s="537">
        <v>27.43</v>
      </c>
      <c r="L17" s="445" t="e">
        <f t="shared" si="3"/>
        <v>#REF!</v>
      </c>
      <c r="M17" s="542"/>
      <c r="N17" s="445" t="e">
        <f t="shared" si="4"/>
        <v>#REF!</v>
      </c>
      <c r="O17" s="542"/>
      <c r="P17" s="445" t="e">
        <f t="shared" si="5"/>
        <v>#REF!</v>
      </c>
      <c r="Q17" s="537">
        <v>15.88</v>
      </c>
      <c r="R17" s="445" t="e">
        <f t="shared" si="6"/>
        <v>#REF!</v>
      </c>
      <c r="S17" s="537">
        <v>77.05</v>
      </c>
      <c r="T17" s="445" t="e">
        <f t="shared" si="7"/>
        <v>#REF!</v>
      </c>
      <c r="U17" s="588"/>
      <c r="V17" s="581" t="e">
        <f>+#REF!</f>
        <v>#REF!</v>
      </c>
      <c r="W17" s="582" t="e">
        <f t="shared" si="8"/>
        <v>#REF!</v>
      </c>
      <c r="X17" s="581" t="e">
        <f>+#REF!</f>
        <v>#REF!</v>
      </c>
      <c r="Y17" s="582" t="e">
        <f t="shared" si="9"/>
        <v>#REF!</v>
      </c>
      <c r="Z17" s="581" t="e">
        <f>+#REF!</f>
        <v>#REF!</v>
      </c>
      <c r="AA17" s="582" t="e">
        <f t="shared" si="10"/>
        <v>#REF!</v>
      </c>
      <c r="AB17" s="581"/>
      <c r="AC17" s="582">
        <f t="shared" si="11"/>
        <v>0</v>
      </c>
      <c r="AE17" s="769" t="e">
        <f t="shared" si="0"/>
        <v>#REF!</v>
      </c>
    </row>
    <row r="18" spans="1:31" ht="12.75" hidden="1" customHeight="1" x14ac:dyDescent="0.2">
      <c r="A18" s="611" t="s">
        <v>571</v>
      </c>
      <c r="B18" s="601" t="s">
        <v>572</v>
      </c>
      <c r="C18" s="611" t="s">
        <v>130</v>
      </c>
      <c r="D18" s="589">
        <f t="shared" ref="D18:D30" si="13">I18+K18+M18+O18+Q18+S18</f>
        <v>0</v>
      </c>
      <c r="E18" s="577" t="e">
        <f t="shared" si="12"/>
        <v>#REF!</v>
      </c>
      <c r="F18" s="577" t="e">
        <f t="shared" si="1"/>
        <v>#REF!</v>
      </c>
      <c r="G18" s="578"/>
      <c r="H18" s="565"/>
      <c r="I18" s="590"/>
      <c r="J18" s="591" t="e">
        <f t="shared" si="2"/>
        <v>#REF!</v>
      </c>
      <c r="K18" s="537"/>
      <c r="L18" s="445" t="e">
        <f t="shared" si="3"/>
        <v>#REF!</v>
      </c>
      <c r="M18" s="542"/>
      <c r="N18" s="445" t="e">
        <f t="shared" si="4"/>
        <v>#REF!</v>
      </c>
      <c r="O18" s="542"/>
      <c r="P18" s="445" t="e">
        <f t="shared" si="5"/>
        <v>#REF!</v>
      </c>
      <c r="Q18" s="542"/>
      <c r="R18" s="445" t="e">
        <f t="shared" si="6"/>
        <v>#REF!</v>
      </c>
      <c r="S18" s="542"/>
      <c r="T18" s="445" t="e">
        <f t="shared" si="7"/>
        <v>#REF!</v>
      </c>
      <c r="U18" s="592"/>
      <c r="V18" s="581" t="e">
        <f>+'1,1,7 Locali Manual'!I19</f>
        <v>#REF!</v>
      </c>
      <c r="W18" s="582" t="e">
        <f t="shared" si="8"/>
        <v>#REF!</v>
      </c>
      <c r="X18" s="581">
        <f>+'1,1,7 Locali Manual'!I50</f>
        <v>1160.45</v>
      </c>
      <c r="Y18" s="582">
        <f t="shared" si="9"/>
        <v>0</v>
      </c>
      <c r="Z18" s="581"/>
      <c r="AA18" s="582">
        <f t="shared" si="10"/>
        <v>0</v>
      </c>
      <c r="AB18" s="581"/>
      <c r="AC18" s="582">
        <f t="shared" si="11"/>
        <v>0</v>
      </c>
      <c r="AE18" s="769" t="e">
        <f t="shared" si="0"/>
        <v>#REF!</v>
      </c>
    </row>
    <row r="19" spans="1:31" s="568" customFormat="1" ht="15.75" hidden="1" customHeight="1" x14ac:dyDescent="0.2">
      <c r="A19" s="572" t="s">
        <v>573</v>
      </c>
      <c r="B19" s="573" t="s">
        <v>574</v>
      </c>
      <c r="C19" s="846"/>
      <c r="D19" s="589"/>
      <c r="E19" s="577"/>
      <c r="F19" s="180" t="e">
        <f>ROUND(SUM(F20:F22),10)</f>
        <v>#REF!</v>
      </c>
      <c r="G19" s="578"/>
      <c r="H19" s="565"/>
      <c r="I19" s="593"/>
      <c r="J19" s="440" t="e">
        <f>ROUND(SUM(J20:J22),10)</f>
        <v>#REF!</v>
      </c>
      <c r="K19" s="536"/>
      <c r="L19" s="180" t="e">
        <f>ROUND(SUM(L20:L22),10)</f>
        <v>#REF!</v>
      </c>
      <c r="M19" s="541"/>
      <c r="N19" s="180" t="e">
        <f>ROUND(SUM(N20:N22),10)</f>
        <v>#REF!</v>
      </c>
      <c r="O19" s="541"/>
      <c r="P19" s="180" t="e">
        <f>ROUND(SUM(P20:P22),10)</f>
        <v>#REF!</v>
      </c>
      <c r="Q19" s="541"/>
      <c r="R19" s="180" t="e">
        <f>ROUND(SUM(R20:R22),10)</f>
        <v>#REF!</v>
      </c>
      <c r="S19" s="541"/>
      <c r="T19" s="180" t="e">
        <f>ROUND(SUM(T20:T22),10)</f>
        <v>#REF!</v>
      </c>
      <c r="V19" s="575"/>
      <c r="W19" s="570" t="e">
        <f>ROUND(SUM(W20:W22),10)</f>
        <v>#REF!</v>
      </c>
      <c r="X19" s="575"/>
      <c r="Y19" s="570" t="e">
        <f>ROUND(SUM(Y20:Y22),10)</f>
        <v>#REF!</v>
      </c>
      <c r="Z19" s="575"/>
      <c r="AA19" s="570" t="e">
        <f>ROUND(SUM(AA20:AA22),10)</f>
        <v>#REF!</v>
      </c>
      <c r="AB19" s="575"/>
      <c r="AC19" s="570" t="e">
        <f>ROUND(SUM(AC20:AC22),10)</f>
        <v>#REF!</v>
      </c>
      <c r="AE19" s="769" t="e">
        <f t="shared" si="0"/>
        <v>#REF!</v>
      </c>
    </row>
    <row r="20" spans="1:31" s="596" customFormat="1" ht="15" hidden="1" customHeight="1" x14ac:dyDescent="0.2">
      <c r="A20" s="611" t="s">
        <v>575</v>
      </c>
      <c r="B20" s="601" t="s">
        <v>576</v>
      </c>
      <c r="C20" s="611" t="s">
        <v>111</v>
      </c>
      <c r="D20" s="589">
        <f t="shared" si="13"/>
        <v>0</v>
      </c>
      <c r="E20" s="577" t="e">
        <f t="shared" si="12"/>
        <v>#REF!</v>
      </c>
      <c r="F20" s="577" t="e">
        <f>ROUND(D20*E20,10)</f>
        <v>#REF!</v>
      </c>
      <c r="G20" s="578"/>
      <c r="H20" s="565"/>
      <c r="I20" s="594"/>
      <c r="J20" s="580" t="e">
        <f>+ROUND(E20*I20,10)</f>
        <v>#REF!</v>
      </c>
      <c r="K20" s="537"/>
      <c r="L20" s="445" t="e">
        <f>+ROUND(E20*K20,10)</f>
        <v>#REF!</v>
      </c>
      <c r="M20" s="542"/>
      <c r="N20" s="445" t="e">
        <f>+ROUND(E20*M20,10)</f>
        <v>#REF!</v>
      </c>
      <c r="O20" s="542"/>
      <c r="P20" s="445" t="e">
        <f>+ROUND(E20*O20,10)</f>
        <v>#REF!</v>
      </c>
      <c r="Q20" s="542"/>
      <c r="R20" s="445" t="e">
        <f>+ROUND(E20*Q20,10)</f>
        <v>#REF!</v>
      </c>
      <c r="S20" s="542"/>
      <c r="T20" s="445" t="e">
        <f>+ROUND(E20*S20,10)</f>
        <v>#REF!</v>
      </c>
      <c r="U20" s="912"/>
      <c r="V20" s="581" t="e">
        <f>+#REF!</f>
        <v>#REF!</v>
      </c>
      <c r="W20" s="582" t="e">
        <f>ROUND(V20*$D20,10)</f>
        <v>#REF!</v>
      </c>
      <c r="X20" s="581" t="e">
        <f>+#REF!</f>
        <v>#REF!</v>
      </c>
      <c r="Y20" s="582" t="e">
        <f>ROUND(X20*$D20,10)</f>
        <v>#REF!</v>
      </c>
      <c r="Z20" s="581" t="e">
        <f>+#REF!</f>
        <v>#REF!</v>
      </c>
      <c r="AA20" s="582" t="e">
        <f>ROUND(Z20*$D20,10)</f>
        <v>#REF!</v>
      </c>
      <c r="AB20" s="581" t="e">
        <f>+#REF!</f>
        <v>#REF!</v>
      </c>
      <c r="AC20" s="582" t="e">
        <f>ROUND(AB20*$D20,10)</f>
        <v>#REF!</v>
      </c>
      <c r="AD20" s="913"/>
      <c r="AE20" s="769" t="e">
        <f t="shared" si="0"/>
        <v>#REF!</v>
      </c>
    </row>
    <row r="21" spans="1:31" s="596" customFormat="1" ht="15" hidden="1" customHeight="1" x14ac:dyDescent="0.2">
      <c r="A21" s="611" t="s">
        <v>577</v>
      </c>
      <c r="B21" s="601" t="s">
        <v>578</v>
      </c>
      <c r="C21" s="611" t="s">
        <v>111</v>
      </c>
      <c r="D21" s="589">
        <f t="shared" si="13"/>
        <v>0</v>
      </c>
      <c r="E21" s="577" t="e">
        <f t="shared" si="12"/>
        <v>#REF!</v>
      </c>
      <c r="F21" s="577" t="e">
        <f>ROUND(D21*E21,10)</f>
        <v>#REF!</v>
      </c>
      <c r="G21" s="578"/>
      <c r="H21" s="565"/>
      <c r="I21" s="584"/>
      <c r="J21" s="585" t="e">
        <f>+ROUND(E21*I21,10)</f>
        <v>#REF!</v>
      </c>
      <c r="K21" s="537"/>
      <c r="L21" s="445" t="e">
        <f>+ROUND(E21*K21,10)</f>
        <v>#REF!</v>
      </c>
      <c r="M21" s="542"/>
      <c r="N21" s="445" t="e">
        <f>+ROUND(E21*M21,10)</f>
        <v>#REF!</v>
      </c>
      <c r="O21" s="542"/>
      <c r="P21" s="445" t="e">
        <f>+ROUND(E21*O21,10)</f>
        <v>#REF!</v>
      </c>
      <c r="Q21" s="542"/>
      <c r="R21" s="445" t="e">
        <f>+ROUND(E21*Q21,10)</f>
        <v>#REF!</v>
      </c>
      <c r="S21" s="542"/>
      <c r="T21" s="445" t="e">
        <f>+ROUND(E21*S21,10)</f>
        <v>#REF!</v>
      </c>
      <c r="U21" s="912"/>
      <c r="V21" s="581" t="e">
        <f>+#REF!</f>
        <v>#REF!</v>
      </c>
      <c r="W21" s="582" t="e">
        <f>ROUND(V21*$D21,10)</f>
        <v>#REF!</v>
      </c>
      <c r="X21" s="581" t="e">
        <f>+#REF!</f>
        <v>#REF!</v>
      </c>
      <c r="Y21" s="582" t="e">
        <f>ROUND(X21*$D21,10)</f>
        <v>#REF!</v>
      </c>
      <c r="Z21" s="581" t="e">
        <f>+#REF!</f>
        <v>#REF!</v>
      </c>
      <c r="AA21" s="582" t="e">
        <f>ROUND(Z21*$D21,10)</f>
        <v>#REF!</v>
      </c>
      <c r="AB21" s="581" t="e">
        <f>+#REF!</f>
        <v>#REF!</v>
      </c>
      <c r="AC21" s="582" t="e">
        <f>ROUND(AB21*$D21,10)</f>
        <v>#REF!</v>
      </c>
      <c r="AD21" s="913"/>
      <c r="AE21" s="769" t="e">
        <f t="shared" si="0"/>
        <v>#REF!</v>
      </c>
    </row>
    <row r="22" spans="1:31" s="596" customFormat="1" ht="15" hidden="1" customHeight="1" x14ac:dyDescent="0.2">
      <c r="A22" s="611" t="s">
        <v>579</v>
      </c>
      <c r="B22" s="601" t="s">
        <v>580</v>
      </c>
      <c r="C22" s="611" t="s">
        <v>111</v>
      </c>
      <c r="D22" s="589">
        <f t="shared" si="13"/>
        <v>0</v>
      </c>
      <c r="E22" s="577">
        <f t="shared" si="12"/>
        <v>0</v>
      </c>
      <c r="F22" s="577">
        <f>ROUND(D22*E22,10)</f>
        <v>0</v>
      </c>
      <c r="G22" s="578"/>
      <c r="H22" s="565"/>
      <c r="I22" s="597"/>
      <c r="J22" s="598">
        <f>+ROUND(E22*I22,10)</f>
        <v>0</v>
      </c>
      <c r="K22" s="732"/>
      <c r="L22" s="445">
        <f>+ROUND(E22*K22,10)</f>
        <v>0</v>
      </c>
      <c r="M22" s="542"/>
      <c r="N22" s="445">
        <f>+ROUND(E22*M22,10)</f>
        <v>0</v>
      </c>
      <c r="O22" s="542"/>
      <c r="P22" s="445">
        <f>+ROUND(E22*O22,10)</f>
        <v>0</v>
      </c>
      <c r="Q22" s="542"/>
      <c r="R22" s="445">
        <f>+ROUND(E22*Q22,10)</f>
        <v>0</v>
      </c>
      <c r="S22" s="542"/>
      <c r="T22" s="445">
        <f>+ROUND(E22*S22,10)</f>
        <v>0</v>
      </c>
      <c r="U22" s="912"/>
      <c r="V22" s="581"/>
      <c r="W22" s="582">
        <f>ROUND(V22*$D22,10)</f>
        <v>0</v>
      </c>
      <c r="X22" s="581"/>
      <c r="Y22" s="582">
        <f>ROUND(X22*$D22,10)</f>
        <v>0</v>
      </c>
      <c r="Z22" s="581"/>
      <c r="AA22" s="582">
        <f>ROUND(Z22*$D22,10)</f>
        <v>0</v>
      </c>
      <c r="AB22" s="581"/>
      <c r="AC22" s="582">
        <f>ROUND(AB22*$D22,10)</f>
        <v>0</v>
      </c>
      <c r="AD22" s="913"/>
      <c r="AE22" s="769">
        <f t="shared" si="0"/>
        <v>0</v>
      </c>
    </row>
    <row r="23" spans="1:31" s="596" customFormat="1" ht="15.75" hidden="1" customHeight="1" x14ac:dyDescent="0.2">
      <c r="A23" s="572" t="s">
        <v>581</v>
      </c>
      <c r="B23" s="573" t="s">
        <v>582</v>
      </c>
      <c r="C23" s="846"/>
      <c r="D23" s="589"/>
      <c r="E23" s="577"/>
      <c r="F23" s="180" t="e">
        <f>ROUND(SUM(F24:F30),10)</f>
        <v>#REF!</v>
      </c>
      <c r="G23" s="578"/>
      <c r="H23" s="565"/>
      <c r="I23" s="599"/>
      <c r="J23" s="440" t="e">
        <f>ROUND(SUM(J24:J30),10)</f>
        <v>#REF!</v>
      </c>
      <c r="K23" s="538"/>
      <c r="L23" s="180" t="e">
        <f>ROUND(SUM(L24:L30),10)</f>
        <v>#REF!</v>
      </c>
      <c r="M23" s="543"/>
      <c r="N23" s="180" t="e">
        <f>ROUND(SUM(N24:N30),10)</f>
        <v>#REF!</v>
      </c>
      <c r="O23" s="543"/>
      <c r="P23" s="180" t="e">
        <f>ROUND(SUM(P24:P30),10)</f>
        <v>#REF!</v>
      </c>
      <c r="Q23" s="543"/>
      <c r="R23" s="180" t="e">
        <f>ROUND(SUM(R24:R30),10)</f>
        <v>#REF!</v>
      </c>
      <c r="S23" s="543"/>
      <c r="T23" s="180" t="e">
        <f>ROUND(SUM(T24:T30),10)</f>
        <v>#REF!</v>
      </c>
      <c r="U23" s="912"/>
      <c r="V23" s="581"/>
      <c r="W23" s="570" t="e">
        <f>ROUND(SUM(W24:W30),10)</f>
        <v>#REF!</v>
      </c>
      <c r="X23" s="581"/>
      <c r="Y23" s="570" t="e">
        <f>ROUND(SUM(Y24:Y30),10)</f>
        <v>#REF!</v>
      </c>
      <c r="Z23" s="581"/>
      <c r="AA23" s="570" t="e">
        <f>ROUND(SUM(AA24:AA30),10)</f>
        <v>#REF!</v>
      </c>
      <c r="AB23" s="581"/>
      <c r="AC23" s="570" t="e">
        <f>ROUND(SUM(AC24:AC30),10)</f>
        <v>#REF!</v>
      </c>
      <c r="AD23" s="913"/>
      <c r="AE23" s="769" t="e">
        <f t="shared" si="0"/>
        <v>#REF!</v>
      </c>
    </row>
    <row r="24" spans="1:31" s="596" customFormat="1" ht="15" hidden="1" customHeight="1" x14ac:dyDescent="0.2">
      <c r="A24" s="611" t="s">
        <v>583</v>
      </c>
      <c r="B24" s="601" t="s">
        <v>584</v>
      </c>
      <c r="C24" s="611" t="s">
        <v>130</v>
      </c>
      <c r="D24" s="589">
        <f t="shared" si="13"/>
        <v>0</v>
      </c>
      <c r="E24" s="577" t="e">
        <f t="shared" si="12"/>
        <v>#REF!</v>
      </c>
      <c r="F24" s="577" t="e">
        <f t="shared" ref="F24:F30" si="14">ROUND(D24*E24,10)</f>
        <v>#REF!</v>
      </c>
      <c r="G24" s="578"/>
      <c r="H24" s="565"/>
      <c r="I24" s="594"/>
      <c r="J24" s="580" t="e">
        <f t="shared" ref="J24:J30" si="15">+ROUND(E24*I24,10)</f>
        <v>#REF!</v>
      </c>
      <c r="K24" s="537"/>
      <c r="L24" s="445" t="e">
        <f t="shared" ref="L24:L30" si="16">+ROUND(E24*K24,10)</f>
        <v>#REF!</v>
      </c>
      <c r="M24" s="542"/>
      <c r="N24" s="445" t="e">
        <f t="shared" ref="N24:N30" si="17">+ROUND(E24*M24,10)</f>
        <v>#REF!</v>
      </c>
      <c r="O24" s="542"/>
      <c r="P24" s="445" t="e">
        <f t="shared" ref="P24:P30" si="18">+ROUND(E24*O24,10)</f>
        <v>#REF!</v>
      </c>
      <c r="Q24" s="542"/>
      <c r="R24" s="445" t="e">
        <f t="shared" ref="R24:R30" si="19">+ROUND(E24*Q24,10)</f>
        <v>#REF!</v>
      </c>
      <c r="S24" s="542"/>
      <c r="T24" s="445" t="e">
        <f t="shared" ref="T24:T30" si="20">+ROUND(E24*S24,10)</f>
        <v>#REF!</v>
      </c>
      <c r="U24" s="912"/>
      <c r="V24" s="581" t="e">
        <f>+#REF!</f>
        <v>#REF!</v>
      </c>
      <c r="W24" s="582" t="e">
        <f t="shared" ref="W24:W30" si="21">ROUND(V24*$D24,10)</f>
        <v>#REF!</v>
      </c>
      <c r="X24" s="581" t="e">
        <f>+#REF!</f>
        <v>#REF!</v>
      </c>
      <c r="Y24" s="582" t="e">
        <f t="shared" ref="Y24:Y30" si="22">ROUND(X24*$D24,10)</f>
        <v>#REF!</v>
      </c>
      <c r="Z24" s="581" t="e">
        <f>+#REF!</f>
        <v>#REF!</v>
      </c>
      <c r="AA24" s="582" t="e">
        <f t="shared" ref="AA24:AA30" si="23">ROUND(Z24*$D24,10)</f>
        <v>#REF!</v>
      </c>
      <c r="AB24" s="581" t="e">
        <f>+#REF!</f>
        <v>#REF!</v>
      </c>
      <c r="AC24" s="582" t="e">
        <f t="shared" ref="AC24:AC30" si="24">ROUND(AB24*$D24,10)</f>
        <v>#REF!</v>
      </c>
      <c r="AD24" s="913"/>
      <c r="AE24" s="769" t="e">
        <f t="shared" si="0"/>
        <v>#REF!</v>
      </c>
    </row>
    <row r="25" spans="1:31" s="596" customFormat="1" ht="15" hidden="1" customHeight="1" x14ac:dyDescent="0.2">
      <c r="A25" s="611" t="s">
        <v>585</v>
      </c>
      <c r="B25" s="601" t="s">
        <v>586</v>
      </c>
      <c r="C25" s="792" t="s">
        <v>130</v>
      </c>
      <c r="D25" s="589">
        <f t="shared" si="13"/>
        <v>0</v>
      </c>
      <c r="E25" s="577" t="e">
        <f t="shared" si="12"/>
        <v>#REF!</v>
      </c>
      <c r="F25" s="577" t="e">
        <f t="shared" si="14"/>
        <v>#REF!</v>
      </c>
      <c r="G25" s="578"/>
      <c r="H25" s="565"/>
      <c r="I25" s="584"/>
      <c r="J25" s="585" t="e">
        <f t="shared" si="15"/>
        <v>#REF!</v>
      </c>
      <c r="K25" s="537"/>
      <c r="L25" s="445" t="e">
        <f t="shared" si="16"/>
        <v>#REF!</v>
      </c>
      <c r="M25" s="542"/>
      <c r="N25" s="445" t="e">
        <f t="shared" si="17"/>
        <v>#REF!</v>
      </c>
      <c r="O25" s="542"/>
      <c r="P25" s="445" t="e">
        <f t="shared" si="18"/>
        <v>#REF!</v>
      </c>
      <c r="Q25" s="542"/>
      <c r="R25" s="445" t="e">
        <f t="shared" si="19"/>
        <v>#REF!</v>
      </c>
      <c r="S25" s="542"/>
      <c r="T25" s="445" t="e">
        <f t="shared" si="20"/>
        <v>#REF!</v>
      </c>
      <c r="U25" s="912"/>
      <c r="V25" s="581" t="e">
        <f>#REF!</f>
        <v>#REF!</v>
      </c>
      <c r="W25" s="582" t="e">
        <f t="shared" si="21"/>
        <v>#REF!</v>
      </c>
      <c r="X25" s="581" t="e">
        <f>#REF!</f>
        <v>#REF!</v>
      </c>
      <c r="Y25" s="582" t="e">
        <f t="shared" si="22"/>
        <v>#REF!</v>
      </c>
      <c r="Z25" s="581" t="e">
        <f>#REF!</f>
        <v>#REF!</v>
      </c>
      <c r="AA25" s="582" t="e">
        <f t="shared" si="23"/>
        <v>#REF!</v>
      </c>
      <c r="AB25" s="581" t="e">
        <f>#REF!</f>
        <v>#REF!</v>
      </c>
      <c r="AC25" s="582" t="e">
        <f t="shared" si="24"/>
        <v>#REF!</v>
      </c>
      <c r="AD25" s="913"/>
      <c r="AE25" s="769" t="e">
        <f t="shared" si="0"/>
        <v>#REF!</v>
      </c>
    </row>
    <row r="26" spans="1:31" s="596" customFormat="1" ht="15" hidden="1" customHeight="1" x14ac:dyDescent="0.2">
      <c r="A26" s="611" t="s">
        <v>587</v>
      </c>
      <c r="B26" s="601" t="s">
        <v>588</v>
      </c>
      <c r="C26" s="792" t="s">
        <v>130</v>
      </c>
      <c r="D26" s="589">
        <f t="shared" si="13"/>
        <v>0</v>
      </c>
      <c r="E26" s="577" t="e">
        <f t="shared" si="12"/>
        <v>#REF!</v>
      </c>
      <c r="F26" s="577" t="e">
        <f t="shared" si="14"/>
        <v>#REF!</v>
      </c>
      <c r="G26" s="578"/>
      <c r="H26" s="565"/>
      <c r="I26" s="584"/>
      <c r="J26" s="585" t="e">
        <f t="shared" si="15"/>
        <v>#REF!</v>
      </c>
      <c r="K26" s="537"/>
      <c r="L26" s="445" t="e">
        <f t="shared" si="16"/>
        <v>#REF!</v>
      </c>
      <c r="M26" s="542"/>
      <c r="N26" s="445" t="e">
        <f t="shared" si="17"/>
        <v>#REF!</v>
      </c>
      <c r="O26" s="542"/>
      <c r="P26" s="445" t="e">
        <f t="shared" si="18"/>
        <v>#REF!</v>
      </c>
      <c r="Q26" s="542"/>
      <c r="R26" s="445" t="e">
        <f t="shared" si="19"/>
        <v>#REF!</v>
      </c>
      <c r="S26" s="542"/>
      <c r="T26" s="445" t="e">
        <f t="shared" si="20"/>
        <v>#REF!</v>
      </c>
      <c r="U26" s="912"/>
      <c r="V26" s="581" t="e">
        <f>+#REF!</f>
        <v>#REF!</v>
      </c>
      <c r="W26" s="582" t="e">
        <f t="shared" si="21"/>
        <v>#REF!</v>
      </c>
      <c r="X26" s="581" t="e">
        <f>+#REF!</f>
        <v>#REF!</v>
      </c>
      <c r="Y26" s="582" t="e">
        <f t="shared" si="22"/>
        <v>#REF!</v>
      </c>
      <c r="Z26" s="581" t="e">
        <f>+#REF!</f>
        <v>#REF!</v>
      </c>
      <c r="AA26" s="582" t="e">
        <f t="shared" si="23"/>
        <v>#REF!</v>
      </c>
      <c r="AB26" s="581" t="e">
        <f>+#REF!</f>
        <v>#REF!</v>
      </c>
      <c r="AC26" s="582" t="e">
        <f t="shared" si="24"/>
        <v>#REF!</v>
      </c>
      <c r="AD26" s="913"/>
      <c r="AE26" s="769" t="e">
        <f t="shared" si="0"/>
        <v>#REF!</v>
      </c>
    </row>
    <row r="27" spans="1:31" s="596" customFormat="1" ht="15" hidden="1" customHeight="1" x14ac:dyDescent="0.2">
      <c r="A27" s="611" t="s">
        <v>589</v>
      </c>
      <c r="B27" s="601" t="s">
        <v>590</v>
      </c>
      <c r="C27" s="792" t="s">
        <v>155</v>
      </c>
      <c r="D27" s="589">
        <f t="shared" si="13"/>
        <v>0</v>
      </c>
      <c r="E27" s="577" t="e">
        <f t="shared" si="12"/>
        <v>#REF!</v>
      </c>
      <c r="F27" s="577" t="e">
        <f t="shared" si="14"/>
        <v>#REF!</v>
      </c>
      <c r="G27" s="578"/>
      <c r="H27" s="565"/>
      <c r="I27" s="584"/>
      <c r="J27" s="585" t="e">
        <f t="shared" si="15"/>
        <v>#REF!</v>
      </c>
      <c r="K27" s="537"/>
      <c r="L27" s="445" t="e">
        <f t="shared" si="16"/>
        <v>#REF!</v>
      </c>
      <c r="M27" s="542"/>
      <c r="N27" s="445" t="e">
        <f t="shared" si="17"/>
        <v>#REF!</v>
      </c>
      <c r="O27" s="542"/>
      <c r="P27" s="445" t="e">
        <f t="shared" si="18"/>
        <v>#REF!</v>
      </c>
      <c r="Q27" s="542"/>
      <c r="R27" s="445" t="e">
        <f t="shared" si="19"/>
        <v>#REF!</v>
      </c>
      <c r="S27" s="542"/>
      <c r="T27" s="445" t="e">
        <f t="shared" si="20"/>
        <v>#REF!</v>
      </c>
      <c r="U27" s="912"/>
      <c r="V27" s="581" t="e">
        <f>+#REF!</f>
        <v>#REF!</v>
      </c>
      <c r="W27" s="582" t="e">
        <f t="shared" si="21"/>
        <v>#REF!</v>
      </c>
      <c r="X27" s="581" t="e">
        <f>+#REF!</f>
        <v>#REF!</v>
      </c>
      <c r="Y27" s="582" t="e">
        <f t="shared" si="22"/>
        <v>#REF!</v>
      </c>
      <c r="Z27" s="581" t="e">
        <f>+#REF!</f>
        <v>#REF!</v>
      </c>
      <c r="AA27" s="582" t="e">
        <f t="shared" si="23"/>
        <v>#REF!</v>
      </c>
      <c r="AB27" s="581" t="e">
        <f>+#REF!</f>
        <v>#REF!</v>
      </c>
      <c r="AC27" s="582" t="e">
        <f t="shared" si="24"/>
        <v>#REF!</v>
      </c>
      <c r="AD27" s="913"/>
      <c r="AE27" s="769" t="e">
        <f t="shared" si="0"/>
        <v>#REF!</v>
      </c>
    </row>
    <row r="28" spans="1:31" s="596" customFormat="1" ht="15" hidden="1" customHeight="1" x14ac:dyDescent="0.2">
      <c r="A28" s="611" t="s">
        <v>591</v>
      </c>
      <c r="B28" s="601" t="s">
        <v>592</v>
      </c>
      <c r="C28" s="792" t="s">
        <v>155</v>
      </c>
      <c r="D28" s="589">
        <f t="shared" si="13"/>
        <v>0</v>
      </c>
      <c r="E28" s="577" t="e">
        <f t="shared" si="12"/>
        <v>#REF!</v>
      </c>
      <c r="F28" s="577" t="e">
        <f t="shared" si="14"/>
        <v>#REF!</v>
      </c>
      <c r="G28" s="578"/>
      <c r="H28" s="565"/>
      <c r="I28" s="584"/>
      <c r="J28" s="585" t="e">
        <f t="shared" si="15"/>
        <v>#REF!</v>
      </c>
      <c r="K28" s="537"/>
      <c r="L28" s="445" t="e">
        <f t="shared" si="16"/>
        <v>#REF!</v>
      </c>
      <c r="M28" s="542"/>
      <c r="N28" s="445" t="e">
        <f t="shared" si="17"/>
        <v>#REF!</v>
      </c>
      <c r="O28" s="542"/>
      <c r="P28" s="445" t="e">
        <f t="shared" si="18"/>
        <v>#REF!</v>
      </c>
      <c r="Q28" s="542"/>
      <c r="R28" s="445" t="e">
        <f t="shared" si="19"/>
        <v>#REF!</v>
      </c>
      <c r="S28" s="542"/>
      <c r="T28" s="445" t="e">
        <f t="shared" si="20"/>
        <v>#REF!</v>
      </c>
      <c r="U28" s="912"/>
      <c r="V28" s="581" t="e">
        <f>+#REF!</f>
        <v>#REF!</v>
      </c>
      <c r="W28" s="582" t="e">
        <f t="shared" si="21"/>
        <v>#REF!</v>
      </c>
      <c r="X28" s="581" t="e">
        <f>+#REF!</f>
        <v>#REF!</v>
      </c>
      <c r="Y28" s="582" t="e">
        <f t="shared" si="22"/>
        <v>#REF!</v>
      </c>
      <c r="Z28" s="581" t="e">
        <f>+#REF!</f>
        <v>#REF!</v>
      </c>
      <c r="AA28" s="582" t="e">
        <f t="shared" si="23"/>
        <v>#REF!</v>
      </c>
      <c r="AB28" s="581" t="e">
        <f>+#REF!</f>
        <v>#REF!</v>
      </c>
      <c r="AC28" s="582" t="e">
        <f t="shared" si="24"/>
        <v>#REF!</v>
      </c>
      <c r="AD28" s="913"/>
      <c r="AE28" s="769" t="e">
        <f t="shared" si="0"/>
        <v>#REF!</v>
      </c>
    </row>
    <row r="29" spans="1:31" s="596" customFormat="1" ht="15" hidden="1" customHeight="1" x14ac:dyDescent="0.2">
      <c r="A29" s="611" t="s">
        <v>593</v>
      </c>
      <c r="B29" s="601" t="s">
        <v>594</v>
      </c>
      <c r="C29" s="611" t="s">
        <v>130</v>
      </c>
      <c r="D29" s="589">
        <f t="shared" si="13"/>
        <v>0</v>
      </c>
      <c r="E29" s="577" t="e">
        <f t="shared" si="12"/>
        <v>#REF!</v>
      </c>
      <c r="F29" s="577" t="e">
        <f t="shared" si="14"/>
        <v>#REF!</v>
      </c>
      <c r="G29" s="578"/>
      <c r="H29" s="565"/>
      <c r="I29" s="584"/>
      <c r="J29" s="585" t="e">
        <f t="shared" si="15"/>
        <v>#REF!</v>
      </c>
      <c r="K29" s="537"/>
      <c r="L29" s="445" t="e">
        <f t="shared" si="16"/>
        <v>#REF!</v>
      </c>
      <c r="M29" s="542"/>
      <c r="N29" s="445" t="e">
        <f t="shared" si="17"/>
        <v>#REF!</v>
      </c>
      <c r="O29" s="542"/>
      <c r="P29" s="445" t="e">
        <f t="shared" si="18"/>
        <v>#REF!</v>
      </c>
      <c r="Q29" s="542"/>
      <c r="R29" s="445" t="e">
        <f t="shared" si="19"/>
        <v>#REF!</v>
      </c>
      <c r="S29" s="542"/>
      <c r="T29" s="445" t="e">
        <f t="shared" si="20"/>
        <v>#REF!</v>
      </c>
      <c r="U29" s="912"/>
      <c r="V29" s="581" t="e">
        <f>+#REF!</f>
        <v>#REF!</v>
      </c>
      <c r="W29" s="582" t="e">
        <f t="shared" si="21"/>
        <v>#REF!</v>
      </c>
      <c r="X29" s="581" t="e">
        <f>+#REF!</f>
        <v>#REF!</v>
      </c>
      <c r="Y29" s="582" t="e">
        <f t="shared" si="22"/>
        <v>#REF!</v>
      </c>
      <c r="Z29" s="581" t="e">
        <f>+#REF!</f>
        <v>#REF!</v>
      </c>
      <c r="AA29" s="582" t="e">
        <f t="shared" si="23"/>
        <v>#REF!</v>
      </c>
      <c r="AB29" s="581" t="e">
        <f>+#REF!</f>
        <v>#REF!</v>
      </c>
      <c r="AC29" s="582" t="e">
        <f t="shared" si="24"/>
        <v>#REF!</v>
      </c>
      <c r="AD29" s="913"/>
      <c r="AE29" s="769" t="e">
        <f t="shared" si="0"/>
        <v>#REF!</v>
      </c>
    </row>
    <row r="30" spans="1:31" s="596" customFormat="1" ht="15" hidden="1" customHeight="1" x14ac:dyDescent="0.2">
      <c r="A30" s="611" t="s">
        <v>595</v>
      </c>
      <c r="B30" s="601" t="s">
        <v>596</v>
      </c>
      <c r="C30" s="611" t="s">
        <v>130</v>
      </c>
      <c r="D30" s="589">
        <f t="shared" si="13"/>
        <v>0</v>
      </c>
      <c r="E30" s="577" t="e">
        <f t="shared" si="12"/>
        <v>#REF!</v>
      </c>
      <c r="F30" s="577" t="e">
        <f t="shared" si="14"/>
        <v>#REF!</v>
      </c>
      <c r="G30" s="578"/>
      <c r="H30" s="565"/>
      <c r="I30" s="597"/>
      <c r="J30" s="598" t="e">
        <f t="shared" si="15"/>
        <v>#REF!</v>
      </c>
      <c r="K30" s="537"/>
      <c r="L30" s="445" t="e">
        <f t="shared" si="16"/>
        <v>#REF!</v>
      </c>
      <c r="M30" s="542"/>
      <c r="N30" s="445" t="e">
        <f t="shared" si="17"/>
        <v>#REF!</v>
      </c>
      <c r="O30" s="542"/>
      <c r="P30" s="445" t="e">
        <f t="shared" si="18"/>
        <v>#REF!</v>
      </c>
      <c r="Q30" s="542"/>
      <c r="R30" s="445" t="e">
        <f t="shared" si="19"/>
        <v>#REF!</v>
      </c>
      <c r="S30" s="542"/>
      <c r="T30" s="445" t="e">
        <f t="shared" si="20"/>
        <v>#REF!</v>
      </c>
      <c r="U30" s="912"/>
      <c r="V30" s="581" t="e">
        <f>+#REF!</f>
        <v>#REF!</v>
      </c>
      <c r="W30" s="582" t="e">
        <f t="shared" si="21"/>
        <v>#REF!</v>
      </c>
      <c r="X30" s="581" t="e">
        <f>+#REF!</f>
        <v>#REF!</v>
      </c>
      <c r="Y30" s="582" t="e">
        <f t="shared" si="22"/>
        <v>#REF!</v>
      </c>
      <c r="Z30" s="581" t="e">
        <f>+#REF!</f>
        <v>#REF!</v>
      </c>
      <c r="AA30" s="582" t="e">
        <f t="shared" si="23"/>
        <v>#REF!</v>
      </c>
      <c r="AB30" s="581" t="e">
        <f>+#REF!</f>
        <v>#REF!</v>
      </c>
      <c r="AC30" s="582" t="e">
        <f t="shared" si="24"/>
        <v>#REF!</v>
      </c>
      <c r="AD30" s="913"/>
      <c r="AE30" s="769" t="e">
        <f t="shared" si="0"/>
        <v>#REF!</v>
      </c>
    </row>
    <row r="31" spans="1:31" s="596" customFormat="1" ht="15.75" hidden="1" customHeight="1" x14ac:dyDescent="0.2">
      <c r="A31" s="572" t="s">
        <v>597</v>
      </c>
      <c r="B31" s="573" t="s">
        <v>598</v>
      </c>
      <c r="C31" s="846"/>
      <c r="D31" s="589"/>
      <c r="E31" s="577"/>
      <c r="F31" s="180">
        <f>ROUND(SUM(F32:F40),10)</f>
        <v>0</v>
      </c>
      <c r="G31" s="578"/>
      <c r="H31" s="565"/>
      <c r="I31" s="599"/>
      <c r="J31" s="440">
        <f>ROUND(SUM(J32:J40),10)</f>
        <v>0</v>
      </c>
      <c r="K31" s="538"/>
      <c r="L31" s="180">
        <f>ROUND(SUM(L32:L40),10)</f>
        <v>0</v>
      </c>
      <c r="M31" s="543"/>
      <c r="N31" s="180">
        <f>ROUND(SUM(N32:N40),10)</f>
        <v>0</v>
      </c>
      <c r="O31" s="543"/>
      <c r="P31" s="180">
        <f>ROUND(SUM(P32:P40),10)</f>
        <v>0</v>
      </c>
      <c r="Q31" s="543"/>
      <c r="R31" s="180">
        <f>ROUND(SUM(R32:R40),10)</f>
        <v>0</v>
      </c>
      <c r="S31" s="543"/>
      <c r="T31" s="180">
        <f>ROUND(SUM(T32:T40),10)</f>
        <v>0</v>
      </c>
      <c r="U31" s="912"/>
      <c r="V31" s="581"/>
      <c r="W31" s="570">
        <f>ROUND(SUM(W32:W40),10)</f>
        <v>0</v>
      </c>
      <c r="X31" s="581"/>
      <c r="Y31" s="570">
        <f>ROUND(SUM(Y32:Y40),10)</f>
        <v>0</v>
      </c>
      <c r="Z31" s="581"/>
      <c r="AA31" s="570">
        <f>ROUND(SUM(AA32:AA40),10)</f>
        <v>0</v>
      </c>
      <c r="AB31" s="581"/>
      <c r="AC31" s="570">
        <f>ROUND(SUM(AC32:AC40),10)</f>
        <v>0</v>
      </c>
      <c r="AD31" s="913"/>
      <c r="AE31" s="769">
        <f t="shared" si="0"/>
        <v>0</v>
      </c>
    </row>
    <row r="32" spans="1:31" s="596" customFormat="1" ht="15" hidden="1" customHeight="1" x14ac:dyDescent="0.2">
      <c r="A32" s="611" t="s">
        <v>599</v>
      </c>
      <c r="B32" s="601" t="s">
        <v>600</v>
      </c>
      <c r="C32" s="611" t="s">
        <v>111</v>
      </c>
      <c r="D32" s="576">
        <f t="shared" ref="D32:D39" si="25">+I32+K32+M32+O32+Q32+S32</f>
        <v>0</v>
      </c>
      <c r="E32" s="577">
        <f t="shared" si="12"/>
        <v>0</v>
      </c>
      <c r="F32" s="577">
        <f t="shared" ref="F32:F40" si="26">ROUND(D32*E32,10)</f>
        <v>0</v>
      </c>
      <c r="G32" s="578"/>
      <c r="H32" s="565"/>
      <c r="I32" s="594"/>
      <c r="J32" s="580">
        <f t="shared" ref="J32:J38" si="27">+ROUND(E32*I32,10)</f>
        <v>0</v>
      </c>
      <c r="K32" s="537"/>
      <c r="L32" s="445">
        <f t="shared" ref="L32:L40" si="28">+ROUND(E32*K32,10)</f>
        <v>0</v>
      </c>
      <c r="M32" s="542"/>
      <c r="N32" s="445">
        <f t="shared" ref="N32:N40" si="29">+ROUND(E32*M32,10)</f>
        <v>0</v>
      </c>
      <c r="O32" s="542"/>
      <c r="P32" s="445">
        <f t="shared" ref="P32:P40" si="30">+ROUND(E32*O32,10)</f>
        <v>0</v>
      </c>
      <c r="Q32" s="542"/>
      <c r="R32" s="445">
        <f t="shared" ref="R32:R40" si="31">+ROUND(E32*Q32,10)</f>
        <v>0</v>
      </c>
      <c r="S32" s="542"/>
      <c r="T32" s="445">
        <f t="shared" ref="T32:T40" si="32">+ROUND(E32*S32,10)</f>
        <v>0</v>
      </c>
      <c r="U32" s="912"/>
      <c r="V32" s="581"/>
      <c r="W32" s="582">
        <f t="shared" ref="W32:W40" si="33">ROUND(V32*$D32,10)</f>
        <v>0</v>
      </c>
      <c r="X32" s="581"/>
      <c r="Y32" s="582">
        <f t="shared" ref="Y32:Y40" si="34">ROUND(X32*$D32,10)</f>
        <v>0</v>
      </c>
      <c r="Z32" s="581"/>
      <c r="AA32" s="582">
        <f t="shared" ref="AA32:AA40" si="35">ROUND(Z32*$D32,10)</f>
        <v>0</v>
      </c>
      <c r="AB32" s="581"/>
      <c r="AC32" s="582">
        <f t="shared" ref="AC32:AC40" si="36">ROUND(AB32*$D32,10)</f>
        <v>0</v>
      </c>
      <c r="AD32" s="913"/>
      <c r="AE32" s="769">
        <f t="shared" si="0"/>
        <v>0</v>
      </c>
    </row>
    <row r="33" spans="1:31" s="596" customFormat="1" ht="15" hidden="1" customHeight="1" x14ac:dyDescent="0.2">
      <c r="A33" s="611" t="s">
        <v>601</v>
      </c>
      <c r="B33" s="601" t="s">
        <v>602</v>
      </c>
      <c r="C33" s="611" t="s">
        <v>111</v>
      </c>
      <c r="D33" s="576">
        <f t="shared" si="25"/>
        <v>0</v>
      </c>
      <c r="E33" s="577">
        <f t="shared" si="12"/>
        <v>2617123</v>
      </c>
      <c r="F33" s="577">
        <f t="shared" si="26"/>
        <v>0</v>
      </c>
      <c r="G33" s="578"/>
      <c r="H33" s="565"/>
      <c r="I33" s="584"/>
      <c r="J33" s="585">
        <f t="shared" si="27"/>
        <v>0</v>
      </c>
      <c r="K33" s="537"/>
      <c r="L33" s="445">
        <f t="shared" si="28"/>
        <v>0</v>
      </c>
      <c r="M33" s="542"/>
      <c r="N33" s="445">
        <f t="shared" si="29"/>
        <v>0</v>
      </c>
      <c r="O33" s="542"/>
      <c r="P33" s="445">
        <f t="shared" si="30"/>
        <v>0</v>
      </c>
      <c r="Q33" s="542"/>
      <c r="R33" s="445">
        <f t="shared" si="31"/>
        <v>0</v>
      </c>
      <c r="S33" s="542"/>
      <c r="T33" s="445">
        <f t="shared" si="32"/>
        <v>0</v>
      </c>
      <c r="U33" s="912"/>
      <c r="V33" s="581"/>
      <c r="W33" s="582">
        <f t="shared" si="33"/>
        <v>0</v>
      </c>
      <c r="X33" s="581">
        <f>+'1,4,2 Traslado postes'!I50</f>
        <v>2617123</v>
      </c>
      <c r="Y33" s="582">
        <f t="shared" si="34"/>
        <v>0</v>
      </c>
      <c r="Z33" s="581"/>
      <c r="AA33" s="582">
        <f t="shared" si="35"/>
        <v>0</v>
      </c>
      <c r="AB33" s="581"/>
      <c r="AC33" s="582">
        <f t="shared" si="36"/>
        <v>0</v>
      </c>
      <c r="AD33" s="913"/>
      <c r="AE33" s="769">
        <f t="shared" si="0"/>
        <v>0</v>
      </c>
    </row>
    <row r="34" spans="1:31" s="596" customFormat="1" ht="15" hidden="1" customHeight="1" x14ac:dyDescent="0.2">
      <c r="A34" s="611" t="s">
        <v>603</v>
      </c>
      <c r="B34" s="601" t="s">
        <v>604</v>
      </c>
      <c r="C34" s="611" t="s">
        <v>111</v>
      </c>
      <c r="D34" s="576">
        <f t="shared" si="25"/>
        <v>0</v>
      </c>
      <c r="E34" s="577">
        <f t="shared" si="12"/>
        <v>45597.773333333331</v>
      </c>
      <c r="F34" s="577">
        <f t="shared" si="26"/>
        <v>0</v>
      </c>
      <c r="G34" s="578"/>
      <c r="H34" s="565"/>
      <c r="I34" s="584"/>
      <c r="J34" s="585">
        <f t="shared" si="27"/>
        <v>0</v>
      </c>
      <c r="K34" s="537"/>
      <c r="L34" s="445">
        <f t="shared" si="28"/>
        <v>0</v>
      </c>
      <c r="M34" s="542"/>
      <c r="N34" s="445">
        <f t="shared" si="29"/>
        <v>0</v>
      </c>
      <c r="O34" s="542"/>
      <c r="P34" s="445">
        <f t="shared" si="30"/>
        <v>0</v>
      </c>
      <c r="Q34" s="542"/>
      <c r="R34" s="445">
        <f t="shared" si="31"/>
        <v>0</v>
      </c>
      <c r="S34" s="542"/>
      <c r="T34" s="445">
        <f t="shared" si="32"/>
        <v>0</v>
      </c>
      <c r="U34" s="912"/>
      <c r="V34" s="581"/>
      <c r="W34" s="582">
        <f t="shared" si="33"/>
        <v>0</v>
      </c>
      <c r="X34" s="581">
        <f>+'1,4,3 Arb 5'!I50</f>
        <v>22552.54</v>
      </c>
      <c r="Y34" s="582">
        <f t="shared" si="34"/>
        <v>0</v>
      </c>
      <c r="Z34" s="581">
        <f>+'1,4,3 Arb 5'!I30</f>
        <v>1711.9</v>
      </c>
      <c r="AA34" s="582">
        <f t="shared" si="35"/>
        <v>0</v>
      </c>
      <c r="AB34" s="581">
        <f>+'1,4,3 Arb 5'!I41</f>
        <v>21333.333333333332</v>
      </c>
      <c r="AC34" s="582">
        <f t="shared" si="36"/>
        <v>0</v>
      </c>
      <c r="AD34" s="913"/>
      <c r="AE34" s="769">
        <f t="shared" si="0"/>
        <v>0</v>
      </c>
    </row>
    <row r="35" spans="1:31" s="596" customFormat="1" ht="17.25" hidden="1" customHeight="1" x14ac:dyDescent="0.2">
      <c r="A35" s="611" t="s">
        <v>605</v>
      </c>
      <c r="B35" s="601" t="s">
        <v>606</v>
      </c>
      <c r="C35" s="611" t="s">
        <v>111</v>
      </c>
      <c r="D35" s="576">
        <f t="shared" si="25"/>
        <v>0</v>
      </c>
      <c r="E35" s="577">
        <f t="shared" si="12"/>
        <v>77377.766666666663</v>
      </c>
      <c r="F35" s="577">
        <f t="shared" si="26"/>
        <v>0</v>
      </c>
      <c r="G35" s="578"/>
      <c r="H35" s="565"/>
      <c r="I35" s="584"/>
      <c r="J35" s="585">
        <f t="shared" si="27"/>
        <v>0</v>
      </c>
      <c r="K35" s="537"/>
      <c r="L35" s="445">
        <f t="shared" si="28"/>
        <v>0</v>
      </c>
      <c r="M35" s="542"/>
      <c r="N35" s="445">
        <f t="shared" si="29"/>
        <v>0</v>
      </c>
      <c r="O35" s="542"/>
      <c r="P35" s="445">
        <f t="shared" si="30"/>
        <v>0</v>
      </c>
      <c r="Q35" s="542"/>
      <c r="R35" s="445">
        <f t="shared" si="31"/>
        <v>0</v>
      </c>
      <c r="S35" s="542"/>
      <c r="T35" s="445">
        <f t="shared" si="32"/>
        <v>0</v>
      </c>
      <c r="U35" s="912"/>
      <c r="V35" s="581"/>
      <c r="W35" s="582">
        <f t="shared" si="33"/>
        <v>0</v>
      </c>
      <c r="X35" s="581">
        <f>+'1,4,4 Arb 10'!I50</f>
        <v>32575.89</v>
      </c>
      <c r="Y35" s="582">
        <f t="shared" si="34"/>
        <v>0</v>
      </c>
      <c r="Z35" s="581">
        <f>+'1,4,4 Arb 10'!I30</f>
        <v>2135.21</v>
      </c>
      <c r="AA35" s="582">
        <f t="shared" si="35"/>
        <v>0</v>
      </c>
      <c r="AB35" s="581">
        <f>+'1,4,4 Arb 10'!I41</f>
        <v>42666.666666666664</v>
      </c>
      <c r="AC35" s="582">
        <f t="shared" si="36"/>
        <v>0</v>
      </c>
      <c r="AD35" s="913"/>
      <c r="AE35" s="769">
        <f t="shared" si="0"/>
        <v>0</v>
      </c>
    </row>
    <row r="36" spans="1:31" s="596" customFormat="1" ht="15" hidden="1" customHeight="1" x14ac:dyDescent="0.2">
      <c r="A36" s="611" t="s">
        <v>607</v>
      </c>
      <c r="B36" s="601" t="s">
        <v>608</v>
      </c>
      <c r="C36" s="611" t="s">
        <v>111</v>
      </c>
      <c r="D36" s="576">
        <f t="shared" si="25"/>
        <v>0</v>
      </c>
      <c r="E36" s="577">
        <f t="shared" si="12"/>
        <v>148655.14333333331</v>
      </c>
      <c r="F36" s="577">
        <f t="shared" si="26"/>
        <v>0</v>
      </c>
      <c r="G36" s="578"/>
      <c r="H36" s="565"/>
      <c r="I36" s="584"/>
      <c r="J36" s="585">
        <f t="shared" si="27"/>
        <v>0</v>
      </c>
      <c r="K36" s="537"/>
      <c r="L36" s="445">
        <f t="shared" si="28"/>
        <v>0</v>
      </c>
      <c r="M36" s="542"/>
      <c r="N36" s="445">
        <f t="shared" si="29"/>
        <v>0</v>
      </c>
      <c r="O36" s="542"/>
      <c r="P36" s="445">
        <f t="shared" si="30"/>
        <v>0</v>
      </c>
      <c r="Q36" s="542"/>
      <c r="R36" s="445">
        <f t="shared" si="31"/>
        <v>0</v>
      </c>
      <c r="S36" s="542"/>
      <c r="T36" s="445">
        <f t="shared" si="32"/>
        <v>0</v>
      </c>
      <c r="U36" s="912"/>
      <c r="V36" s="581"/>
      <c r="W36" s="582">
        <f t="shared" si="33"/>
        <v>0</v>
      </c>
      <c r="X36" s="581">
        <f>+'1,4,5 Arb 15'!I50</f>
        <v>58636.61</v>
      </c>
      <c r="Y36" s="582">
        <f t="shared" si="34"/>
        <v>0</v>
      </c>
      <c r="Z36" s="581">
        <f>+'1,4,5 Arb 15'!I30</f>
        <v>4685.2</v>
      </c>
      <c r="AA36" s="582">
        <f t="shared" si="35"/>
        <v>0</v>
      </c>
      <c r="AB36" s="581">
        <f>+'1,4,5 Arb 15'!I41</f>
        <v>85333.333333333328</v>
      </c>
      <c r="AC36" s="582">
        <f t="shared" si="36"/>
        <v>0</v>
      </c>
      <c r="AD36" s="913"/>
      <c r="AE36" s="769">
        <f t="shared" si="0"/>
        <v>0</v>
      </c>
    </row>
    <row r="37" spans="1:31" s="596" customFormat="1" ht="15" hidden="1" customHeight="1" x14ac:dyDescent="0.2">
      <c r="A37" s="611" t="s">
        <v>609</v>
      </c>
      <c r="B37" s="601" t="s">
        <v>610</v>
      </c>
      <c r="C37" s="611" t="s">
        <v>111</v>
      </c>
      <c r="D37" s="576">
        <f t="shared" si="25"/>
        <v>0</v>
      </c>
      <c r="E37" s="577">
        <f t="shared" si="12"/>
        <v>283432.12666666665</v>
      </c>
      <c r="F37" s="577">
        <f t="shared" si="26"/>
        <v>0</v>
      </c>
      <c r="G37" s="578"/>
      <c r="H37" s="565"/>
      <c r="I37" s="584"/>
      <c r="J37" s="585">
        <f t="shared" si="27"/>
        <v>0</v>
      </c>
      <c r="K37" s="537"/>
      <c r="L37" s="445">
        <f t="shared" si="28"/>
        <v>0</v>
      </c>
      <c r="M37" s="542"/>
      <c r="N37" s="445">
        <f t="shared" si="29"/>
        <v>0</v>
      </c>
      <c r="O37" s="542"/>
      <c r="P37" s="445">
        <f t="shared" si="30"/>
        <v>0</v>
      </c>
      <c r="Q37" s="542"/>
      <c r="R37" s="445">
        <f t="shared" si="31"/>
        <v>0</v>
      </c>
      <c r="S37" s="542"/>
      <c r="T37" s="445">
        <f t="shared" si="32"/>
        <v>0</v>
      </c>
      <c r="U37" s="912"/>
      <c r="V37" s="581"/>
      <c r="W37" s="582">
        <f t="shared" si="33"/>
        <v>0</v>
      </c>
      <c r="X37" s="581">
        <f>+'1,4,6 Arb 20'!I50</f>
        <v>162879.46</v>
      </c>
      <c r="Y37" s="582">
        <f t="shared" si="34"/>
        <v>0</v>
      </c>
      <c r="Z37" s="581">
        <f>+'1,4,6 Arb 20'!I30</f>
        <v>13886</v>
      </c>
      <c r="AA37" s="582">
        <f t="shared" si="35"/>
        <v>0</v>
      </c>
      <c r="AB37" s="581">
        <f>+'1,4,6 Arb 20'!I41</f>
        <v>106666.66666666666</v>
      </c>
      <c r="AC37" s="582">
        <f t="shared" si="36"/>
        <v>0</v>
      </c>
      <c r="AD37" s="913"/>
      <c r="AE37" s="769">
        <f t="shared" si="0"/>
        <v>0</v>
      </c>
    </row>
    <row r="38" spans="1:31" s="596" customFormat="1" ht="15.75" hidden="1" customHeight="1" thickBot="1" x14ac:dyDescent="0.25">
      <c r="A38" s="611" t="s">
        <v>611</v>
      </c>
      <c r="B38" s="601" t="s">
        <v>612</v>
      </c>
      <c r="C38" s="611" t="s">
        <v>111</v>
      </c>
      <c r="D38" s="576">
        <f t="shared" si="25"/>
        <v>0</v>
      </c>
      <c r="E38" s="577">
        <f t="shared" si="12"/>
        <v>0</v>
      </c>
      <c r="F38" s="577">
        <f t="shared" si="26"/>
        <v>0</v>
      </c>
      <c r="G38" s="578"/>
      <c r="H38" s="565"/>
      <c r="I38" s="602"/>
      <c r="J38" s="603">
        <f t="shared" si="27"/>
        <v>0</v>
      </c>
      <c r="K38" s="537"/>
      <c r="L38" s="445">
        <f t="shared" si="28"/>
        <v>0</v>
      </c>
      <c r="M38" s="542"/>
      <c r="N38" s="445">
        <f t="shared" si="29"/>
        <v>0</v>
      </c>
      <c r="O38" s="542"/>
      <c r="P38" s="445">
        <f t="shared" si="30"/>
        <v>0</v>
      </c>
      <c r="Q38" s="542"/>
      <c r="R38" s="445">
        <f t="shared" si="31"/>
        <v>0</v>
      </c>
      <c r="S38" s="542"/>
      <c r="T38" s="445">
        <f t="shared" si="32"/>
        <v>0</v>
      </c>
      <c r="U38" s="912"/>
      <c r="V38" s="581"/>
      <c r="W38" s="582">
        <f t="shared" si="33"/>
        <v>0</v>
      </c>
      <c r="X38" s="581">
        <f>+'1,4,7 Arb +20'!I50</f>
        <v>0</v>
      </c>
      <c r="Y38" s="582">
        <f t="shared" si="34"/>
        <v>0</v>
      </c>
      <c r="Z38" s="581">
        <f>+'1,4,7 Arb +20'!I30</f>
        <v>0</v>
      </c>
      <c r="AA38" s="582">
        <f t="shared" si="35"/>
        <v>0</v>
      </c>
      <c r="AB38" s="581">
        <f>+'1,4,7 Arb +20'!I41</f>
        <v>0</v>
      </c>
      <c r="AC38" s="582">
        <f t="shared" si="36"/>
        <v>0</v>
      </c>
      <c r="AD38" s="913"/>
      <c r="AE38" s="769">
        <f t="shared" si="0"/>
        <v>0</v>
      </c>
    </row>
    <row r="39" spans="1:31" s="596" customFormat="1" ht="15" hidden="1" customHeight="1" x14ac:dyDescent="0.2">
      <c r="A39" s="611" t="s">
        <v>613</v>
      </c>
      <c r="B39" s="601" t="s">
        <v>614</v>
      </c>
      <c r="C39" s="611" t="s">
        <v>111</v>
      </c>
      <c r="D39" s="576">
        <f t="shared" si="25"/>
        <v>0</v>
      </c>
      <c r="E39" s="577">
        <f t="shared" si="12"/>
        <v>1226452.04</v>
      </c>
      <c r="F39" s="577">
        <f t="shared" si="26"/>
        <v>0</v>
      </c>
      <c r="G39" s="578"/>
      <c r="H39" s="565"/>
      <c r="I39" s="597"/>
      <c r="J39" s="598"/>
      <c r="K39" s="537"/>
      <c r="L39" s="445">
        <f t="shared" si="28"/>
        <v>0</v>
      </c>
      <c r="M39" s="542"/>
      <c r="N39" s="445">
        <f t="shared" si="29"/>
        <v>0</v>
      </c>
      <c r="O39" s="542"/>
      <c r="P39" s="445">
        <f t="shared" si="30"/>
        <v>0</v>
      </c>
      <c r="Q39" s="542"/>
      <c r="R39" s="445">
        <f t="shared" si="31"/>
        <v>0</v>
      </c>
      <c r="S39" s="542"/>
      <c r="T39" s="445">
        <f t="shared" si="32"/>
        <v>0</v>
      </c>
      <c r="U39" s="912"/>
      <c r="V39" s="581"/>
      <c r="W39" s="582">
        <f t="shared" si="33"/>
        <v>0</v>
      </c>
      <c r="X39" s="581">
        <f>+'1,4,8 Traslado Arb'!I50</f>
        <v>209416.45</v>
      </c>
      <c r="Y39" s="582">
        <f t="shared" si="34"/>
        <v>0</v>
      </c>
      <c r="Z39" s="581">
        <f>+'1,4,8 Traslado Arb'!I30</f>
        <v>889035.59</v>
      </c>
      <c r="AA39" s="582">
        <f t="shared" si="35"/>
        <v>0</v>
      </c>
      <c r="AB39" s="581">
        <f>+'1,4,8 Traslado Arb'!I41</f>
        <v>128000</v>
      </c>
      <c r="AC39" s="582">
        <f t="shared" si="36"/>
        <v>0</v>
      </c>
      <c r="AD39" s="913"/>
      <c r="AE39" s="769">
        <f t="shared" si="0"/>
        <v>0</v>
      </c>
    </row>
    <row r="40" spans="1:31" s="596" customFormat="1" ht="15.75" hidden="1" customHeight="1" thickBot="1" x14ac:dyDescent="0.25">
      <c r="A40" s="611"/>
      <c r="B40" s="601"/>
      <c r="C40" s="611"/>
      <c r="D40" s="576"/>
      <c r="E40" s="577"/>
      <c r="F40" s="577">
        <f t="shared" si="26"/>
        <v>0</v>
      </c>
      <c r="G40" s="578"/>
      <c r="H40" s="912"/>
      <c r="I40" s="602"/>
      <c r="J40" s="603">
        <f>+ROUND(E40*I40,10)</f>
        <v>0</v>
      </c>
      <c r="K40" s="537"/>
      <c r="L40" s="445">
        <f t="shared" si="28"/>
        <v>0</v>
      </c>
      <c r="M40" s="542"/>
      <c r="N40" s="445">
        <f t="shared" si="29"/>
        <v>0</v>
      </c>
      <c r="O40" s="542"/>
      <c r="P40" s="445">
        <f t="shared" si="30"/>
        <v>0</v>
      </c>
      <c r="Q40" s="542"/>
      <c r="R40" s="445">
        <f t="shared" si="31"/>
        <v>0</v>
      </c>
      <c r="S40" s="542"/>
      <c r="T40" s="445">
        <f t="shared" si="32"/>
        <v>0</v>
      </c>
      <c r="U40" s="912"/>
      <c r="V40" s="581"/>
      <c r="W40" s="582">
        <f t="shared" si="33"/>
        <v>0</v>
      </c>
      <c r="X40" s="581"/>
      <c r="Y40" s="582">
        <f t="shared" si="34"/>
        <v>0</v>
      </c>
      <c r="Z40" s="581"/>
      <c r="AA40" s="582">
        <f t="shared" si="35"/>
        <v>0</v>
      </c>
      <c r="AB40" s="581"/>
      <c r="AC40" s="582">
        <f t="shared" si="36"/>
        <v>0</v>
      </c>
      <c r="AD40" s="913"/>
      <c r="AE40" s="769">
        <f t="shared" si="0"/>
        <v>0</v>
      </c>
    </row>
    <row r="41" spans="1:31" s="552" customFormat="1" ht="6" customHeight="1" thickBot="1" x14ac:dyDescent="0.25">
      <c r="A41" s="910"/>
      <c r="B41" s="911"/>
      <c r="C41" s="910"/>
      <c r="D41" s="172"/>
      <c r="E41" s="174"/>
      <c r="F41" s="174"/>
      <c r="G41" s="174"/>
      <c r="I41" s="604"/>
      <c r="J41" s="604"/>
      <c r="K41" s="605"/>
      <c r="L41" s="604"/>
      <c r="M41" s="606"/>
      <c r="N41" s="604"/>
      <c r="O41" s="606"/>
      <c r="P41" s="604"/>
      <c r="Q41" s="606"/>
      <c r="R41" s="606"/>
      <c r="S41" s="606"/>
      <c r="T41" s="606"/>
      <c r="V41" s="606"/>
      <c r="W41" s="606"/>
      <c r="X41" s="606"/>
      <c r="Y41" s="606"/>
      <c r="Z41" s="606"/>
      <c r="AA41" s="606"/>
      <c r="AB41" s="606"/>
      <c r="AC41" s="606"/>
      <c r="AE41" s="769"/>
    </row>
    <row r="42" spans="1:31" s="571" customFormat="1" ht="30" customHeight="1" thickTop="1" thickBot="1" x14ac:dyDescent="0.25">
      <c r="A42" s="564">
        <v>2</v>
      </c>
      <c r="B42" s="1045" t="s">
        <v>615</v>
      </c>
      <c r="C42" s="1045"/>
      <c r="D42" s="1045"/>
      <c r="E42" s="1045"/>
      <c r="F42" s="1045"/>
      <c r="G42" s="180" t="e">
        <f>ROUND(F43+F54+F71+F75,10)</f>
        <v>#REF!</v>
      </c>
      <c r="H42" s="568"/>
      <c r="I42" s="607"/>
      <c r="J42" s="438" t="e">
        <f>+ROUND(J43+J54+J71+J75,10)</f>
        <v>#REF!</v>
      </c>
      <c r="K42" s="567"/>
      <c r="L42" s="180" t="e">
        <f>+ROUND(L43+L54+L71+L75,10)</f>
        <v>#REF!</v>
      </c>
      <c r="M42" s="608"/>
      <c r="N42" s="180" t="e">
        <f>+ROUND(N43+N54+N71+N75,10)</f>
        <v>#REF!</v>
      </c>
      <c r="O42" s="608"/>
      <c r="P42" s="180" t="e">
        <f>+ROUND(P43+P54+P71+P75,10)</f>
        <v>#REF!</v>
      </c>
      <c r="Q42" s="608"/>
      <c r="R42" s="180" t="e">
        <f>+ROUND(R43+R54+R71+R75,10)</f>
        <v>#REF!</v>
      </c>
      <c r="S42" s="608"/>
      <c r="T42" s="180" t="e">
        <f>+ROUND(T43+T54+T71+T75,10)</f>
        <v>#REF!</v>
      </c>
      <c r="U42" s="568"/>
      <c r="V42" s="569" t="e">
        <f>W42/$G$42</f>
        <v>#REF!</v>
      </c>
      <c r="W42" s="570" t="e">
        <f>ROUND(W43+W54+W71+W75,10)</f>
        <v>#REF!</v>
      </c>
      <c r="X42" s="569" t="e">
        <f>Y42/$G$42</f>
        <v>#REF!</v>
      </c>
      <c r="Y42" s="570" t="e">
        <f>ROUND(Y43+Y54+Y71+Y75,10)</f>
        <v>#REF!</v>
      </c>
      <c r="Z42" s="569" t="e">
        <f>AA42/$G$42</f>
        <v>#REF!</v>
      </c>
      <c r="AA42" s="570" t="e">
        <f>ROUND(AA43+AA54+AA71+AA75,10)</f>
        <v>#REF!</v>
      </c>
      <c r="AB42" s="569" t="e">
        <f>AC42/$G$42</f>
        <v>#REF!</v>
      </c>
      <c r="AC42" s="570" t="e">
        <f>ROUND(AC43+AC54+AC71+AC75,10)</f>
        <v>#REF!</v>
      </c>
      <c r="AE42" s="769" t="e">
        <f t="shared" si="0"/>
        <v>#REF!</v>
      </c>
    </row>
    <row r="43" spans="1:31" s="571" customFormat="1" ht="27" customHeight="1" thickTop="1" x14ac:dyDescent="0.2">
      <c r="A43" s="572" t="s">
        <v>616</v>
      </c>
      <c r="B43" s="573" t="s">
        <v>617</v>
      </c>
      <c r="C43" s="846"/>
      <c r="D43" s="576"/>
      <c r="E43" s="180"/>
      <c r="F43" s="180" t="e">
        <f>+ROUND(SUM(F44:F53),10)</f>
        <v>#REF!</v>
      </c>
      <c r="G43" s="473"/>
      <c r="H43" s="568"/>
      <c r="I43" s="609"/>
      <c r="J43" s="439" t="e">
        <f>ROUND(SUM(J44:J53),10)</f>
        <v>#REF!</v>
      </c>
      <c r="K43" s="537"/>
      <c r="L43" s="180" t="e">
        <f>ROUND(SUM(L44:L53),10)</f>
        <v>#REF!</v>
      </c>
      <c r="M43" s="542"/>
      <c r="N43" s="180" t="e">
        <f>ROUND(SUM(N44:N53),10)</f>
        <v>#REF!</v>
      </c>
      <c r="O43" s="542"/>
      <c r="P43" s="180" t="e">
        <f>ROUND(SUM(P44:P53),10)</f>
        <v>#REF!</v>
      </c>
      <c r="Q43" s="542"/>
      <c r="R43" s="180" t="e">
        <f>ROUND(SUM(R44:R53),10)</f>
        <v>#REF!</v>
      </c>
      <c r="S43" s="542"/>
      <c r="T43" s="180" t="e">
        <f>ROUND(SUM(T44:T53),10)</f>
        <v>#REF!</v>
      </c>
      <c r="U43" s="568"/>
      <c r="V43" s="575"/>
      <c r="W43" s="570" t="e">
        <f>ROUND(SUM(W44:W53),10)</f>
        <v>#REF!</v>
      </c>
      <c r="X43" s="575"/>
      <c r="Y43" s="570" t="e">
        <f>ROUND(SUM(Y44:Y53),10)</f>
        <v>#REF!</v>
      </c>
      <c r="Z43" s="575"/>
      <c r="AA43" s="570" t="e">
        <f>ROUND(SUM(AA44:AA53),10)</f>
        <v>#REF!</v>
      </c>
      <c r="AB43" s="575"/>
      <c r="AC43" s="570" t="e">
        <f>ROUND(SUM(AC44:AC53),10)</f>
        <v>#REF!</v>
      </c>
      <c r="AE43" s="769" t="e">
        <f t="shared" si="0"/>
        <v>#REF!</v>
      </c>
    </row>
    <row r="44" spans="1:31" s="571" customFormat="1" ht="15.75" customHeight="1" x14ac:dyDescent="0.2">
      <c r="A44" s="611" t="s">
        <v>618</v>
      </c>
      <c r="B44" s="601" t="s">
        <v>619</v>
      </c>
      <c r="C44" s="611" t="s">
        <v>155</v>
      </c>
      <c r="D44" s="576">
        <f>+I44+K44+M44+O44+Q44+S44</f>
        <v>479.67</v>
      </c>
      <c r="E44" s="577">
        <f t="shared" ref="E44:E79" si="37">V44+X44+Z44+AB44</f>
        <v>3988.99</v>
      </c>
      <c r="F44" s="577">
        <f t="shared" ref="F44:F53" si="38">ROUND(D44*E44,10)</f>
        <v>1913398.8333000001</v>
      </c>
      <c r="G44" s="473"/>
      <c r="H44" s="568"/>
      <c r="I44" s="594"/>
      <c r="J44" s="580">
        <f t="shared" ref="J44:J53" si="39">+ROUND(E44*I44,10)</f>
        <v>0</v>
      </c>
      <c r="K44" s="537">
        <v>311.79000000000002</v>
      </c>
      <c r="L44" s="445">
        <f t="shared" ref="L44:L53" si="40">+ROUND(E44*K44,10)</f>
        <v>1243727.1921000001</v>
      </c>
      <c r="M44" s="542"/>
      <c r="N44" s="445">
        <f t="shared" ref="N44:N53" si="41">+ROUND(E44*M44,10)</f>
        <v>0</v>
      </c>
      <c r="O44" s="542">
        <v>47.96</v>
      </c>
      <c r="P44" s="445">
        <f t="shared" ref="P44:P53" si="42">+ROUND(E44*O44,10)</f>
        <v>191311.96040000001</v>
      </c>
      <c r="Q44" s="542">
        <v>119.92</v>
      </c>
      <c r="R44" s="445">
        <f t="shared" ref="R44:R53" si="43">+ROUND(E44*Q44,10)</f>
        <v>478359.68079999997</v>
      </c>
      <c r="S44" s="542"/>
      <c r="T44" s="445">
        <f t="shared" ref="T44:T53" si="44">+ROUND(E44*S44,10)</f>
        <v>0</v>
      </c>
      <c r="U44" s="568"/>
      <c r="V44" s="581">
        <f>'2,1,1 Exc Mec'!I19</f>
        <v>0</v>
      </c>
      <c r="W44" s="582">
        <f t="shared" ref="W44:W53" si="45">ROUND(V44*$D44,10)</f>
        <v>0</v>
      </c>
      <c r="X44" s="581">
        <f>'2,1,1 Exc Mec'!I50</f>
        <v>0</v>
      </c>
      <c r="Y44" s="582">
        <f t="shared" ref="Y44:Y53" si="46">ROUND(X44*$D44,10)</f>
        <v>0</v>
      </c>
      <c r="Z44" s="581">
        <f>'2,1,1 Exc Mec'!I30</f>
        <v>3988.99</v>
      </c>
      <c r="AA44" s="582">
        <f t="shared" ref="AA44:AA53" si="47">ROUND(Z44*$D44,10)</f>
        <v>1913398.8333000001</v>
      </c>
      <c r="AB44" s="581">
        <f>'2,1,1 Exc Mec'!I41</f>
        <v>0</v>
      </c>
      <c r="AC44" s="582">
        <f t="shared" ref="AC44:AC53" si="48">ROUND(AB44*$D44,10)</f>
        <v>0</v>
      </c>
      <c r="AE44" s="769">
        <f t="shared" si="0"/>
        <v>0</v>
      </c>
    </row>
    <row r="45" spans="1:31" ht="15" customHeight="1" x14ac:dyDescent="0.2">
      <c r="A45" s="611" t="s">
        <v>620</v>
      </c>
      <c r="B45" s="601" t="s">
        <v>621</v>
      </c>
      <c r="C45" s="611" t="s">
        <v>155</v>
      </c>
      <c r="D45" s="576">
        <f t="shared" ref="D45:D53" si="49">+I45+K45+M45+O45+Q45+S45</f>
        <v>225.23999999999998</v>
      </c>
      <c r="E45" s="577" t="e">
        <f t="shared" si="37"/>
        <v>#REF!</v>
      </c>
      <c r="F45" s="577" t="e">
        <f t="shared" si="38"/>
        <v>#REF!</v>
      </c>
      <c r="G45" s="578"/>
      <c r="I45" s="586"/>
      <c r="J45" s="585" t="e">
        <f t="shared" si="39"/>
        <v>#REF!</v>
      </c>
      <c r="K45" s="537">
        <f>99.47+35.94</f>
        <v>135.41</v>
      </c>
      <c r="L45" s="445" t="e">
        <f t="shared" si="40"/>
        <v>#REF!</v>
      </c>
      <c r="M45" s="542"/>
      <c r="N45" s="445" t="e">
        <f t="shared" si="41"/>
        <v>#REF!</v>
      </c>
      <c r="O45" s="537">
        <f>31.82+8.98</f>
        <v>40.799999999999997</v>
      </c>
      <c r="P45" s="445" t="e">
        <f t="shared" si="42"/>
        <v>#REF!</v>
      </c>
      <c r="Q45" s="537">
        <v>29.4</v>
      </c>
      <c r="R45" s="445" t="e">
        <f t="shared" si="43"/>
        <v>#REF!</v>
      </c>
      <c r="S45" s="537">
        <f>6.24+9.52+3.87</f>
        <v>19.63</v>
      </c>
      <c r="T45" s="445" t="e">
        <f t="shared" si="44"/>
        <v>#REF!</v>
      </c>
      <c r="V45" s="581"/>
      <c r="W45" s="582">
        <f t="shared" si="45"/>
        <v>0</v>
      </c>
      <c r="X45" s="581" t="e">
        <f>+#REF!</f>
        <v>#REF!</v>
      </c>
      <c r="Y45" s="582" t="e">
        <f t="shared" si="46"/>
        <v>#REF!</v>
      </c>
      <c r="Z45" s="581" t="e">
        <f>+#REF!</f>
        <v>#REF!</v>
      </c>
      <c r="AA45" s="582" t="e">
        <f t="shared" si="47"/>
        <v>#REF!</v>
      </c>
      <c r="AB45" s="581" t="e">
        <f>+#REF!</f>
        <v>#REF!</v>
      </c>
      <c r="AC45" s="582" t="e">
        <f t="shared" si="48"/>
        <v>#REF!</v>
      </c>
      <c r="AE45" s="769" t="e">
        <f t="shared" si="0"/>
        <v>#REF!</v>
      </c>
    </row>
    <row r="46" spans="1:31" ht="15" hidden="1" customHeight="1" x14ac:dyDescent="0.2">
      <c r="A46" s="611" t="s">
        <v>622</v>
      </c>
      <c r="B46" s="601" t="s">
        <v>623</v>
      </c>
      <c r="C46" s="611" t="s">
        <v>155</v>
      </c>
      <c r="D46" s="576">
        <f t="shared" si="49"/>
        <v>0</v>
      </c>
      <c r="E46" s="577" t="e">
        <f t="shared" si="37"/>
        <v>#REF!</v>
      </c>
      <c r="F46" s="577" t="e">
        <f t="shared" si="38"/>
        <v>#REF!</v>
      </c>
      <c r="G46" s="578"/>
      <c r="I46" s="584"/>
      <c r="J46" s="585" t="e">
        <f t="shared" si="39"/>
        <v>#REF!</v>
      </c>
      <c r="K46" s="537"/>
      <c r="L46" s="445" t="e">
        <f t="shared" si="40"/>
        <v>#REF!</v>
      </c>
      <c r="M46" s="542"/>
      <c r="N46" s="445" t="e">
        <f t="shared" si="41"/>
        <v>#REF!</v>
      </c>
      <c r="O46" s="542"/>
      <c r="P46" s="445" t="e">
        <f t="shared" si="42"/>
        <v>#REF!</v>
      </c>
      <c r="Q46" s="542"/>
      <c r="R46" s="445" t="e">
        <f t="shared" si="43"/>
        <v>#REF!</v>
      </c>
      <c r="S46" s="542"/>
      <c r="T46" s="445" t="e">
        <f t="shared" si="44"/>
        <v>#REF!</v>
      </c>
      <c r="V46" s="581"/>
      <c r="W46" s="582">
        <f t="shared" si="45"/>
        <v>0</v>
      </c>
      <c r="X46" s="581" t="e">
        <f>+#REF!</f>
        <v>#REF!</v>
      </c>
      <c r="Y46" s="582" t="e">
        <f t="shared" si="46"/>
        <v>#REF!</v>
      </c>
      <c r="Z46" s="581" t="e">
        <f>+#REF!</f>
        <v>#REF!</v>
      </c>
      <c r="AA46" s="582" t="e">
        <f t="shared" si="47"/>
        <v>#REF!</v>
      </c>
      <c r="AB46" s="581" t="e">
        <f>+#REF!</f>
        <v>#REF!</v>
      </c>
      <c r="AC46" s="582" t="e">
        <f t="shared" si="48"/>
        <v>#REF!</v>
      </c>
      <c r="AE46" s="769" t="e">
        <f t="shared" si="0"/>
        <v>#REF!</v>
      </c>
    </row>
    <row r="47" spans="1:31" ht="15" hidden="1" customHeight="1" x14ac:dyDescent="0.2">
      <c r="A47" s="627" t="s">
        <v>624</v>
      </c>
      <c r="B47" s="610" t="s">
        <v>625</v>
      </c>
      <c r="C47" s="627" t="s">
        <v>155</v>
      </c>
      <c r="D47" s="576">
        <f t="shared" si="49"/>
        <v>0</v>
      </c>
      <c r="E47" s="577">
        <f t="shared" si="37"/>
        <v>0</v>
      </c>
      <c r="F47" s="577">
        <f t="shared" si="38"/>
        <v>0</v>
      </c>
      <c r="G47" s="578"/>
      <c r="I47" s="584"/>
      <c r="J47" s="585">
        <f t="shared" si="39"/>
        <v>0</v>
      </c>
      <c r="K47" s="537"/>
      <c r="L47" s="445">
        <f t="shared" si="40"/>
        <v>0</v>
      </c>
      <c r="M47" s="542"/>
      <c r="N47" s="445">
        <f t="shared" si="41"/>
        <v>0</v>
      </c>
      <c r="O47" s="542"/>
      <c r="P47" s="445">
        <f t="shared" si="42"/>
        <v>0</v>
      </c>
      <c r="Q47" s="542"/>
      <c r="R47" s="445">
        <f t="shared" si="43"/>
        <v>0</v>
      </c>
      <c r="S47" s="542"/>
      <c r="T47" s="445">
        <f t="shared" si="44"/>
        <v>0</v>
      </c>
      <c r="V47" s="581"/>
      <c r="W47" s="582">
        <f t="shared" si="45"/>
        <v>0</v>
      </c>
      <c r="X47" s="581"/>
      <c r="Y47" s="582">
        <f t="shared" si="46"/>
        <v>0</v>
      </c>
      <c r="Z47" s="581"/>
      <c r="AA47" s="582">
        <f t="shared" si="47"/>
        <v>0</v>
      </c>
      <c r="AB47" s="581"/>
      <c r="AC47" s="582">
        <f t="shared" si="48"/>
        <v>0</v>
      </c>
      <c r="AE47" s="769">
        <f t="shared" si="0"/>
        <v>0</v>
      </c>
    </row>
    <row r="48" spans="1:31" ht="27.75" hidden="1" customHeight="1" x14ac:dyDescent="0.2">
      <c r="A48" s="611" t="s">
        <v>626</v>
      </c>
      <c r="B48" s="601" t="str">
        <f>+'2,1,5 Relleno M Común'!C5</f>
        <v>RELLENOS EN MATERIAL COMÚN SIN SELECCIONAR DE OBRA</v>
      </c>
      <c r="C48" s="611" t="s">
        <v>155</v>
      </c>
      <c r="D48" s="576">
        <f t="shared" si="49"/>
        <v>0</v>
      </c>
      <c r="E48" s="577">
        <f t="shared" si="37"/>
        <v>22529.02</v>
      </c>
      <c r="F48" s="577">
        <f t="shared" si="38"/>
        <v>0</v>
      </c>
      <c r="G48" s="578"/>
      <c r="I48" s="584"/>
      <c r="J48" s="585">
        <f t="shared" si="39"/>
        <v>0</v>
      </c>
      <c r="K48" s="537"/>
      <c r="L48" s="445">
        <f t="shared" si="40"/>
        <v>0</v>
      </c>
      <c r="M48" s="542"/>
      <c r="N48" s="445">
        <f t="shared" si="41"/>
        <v>0</v>
      </c>
      <c r="O48" s="542"/>
      <c r="P48" s="445">
        <f t="shared" si="42"/>
        <v>0</v>
      </c>
      <c r="Q48" s="537"/>
      <c r="R48" s="445">
        <f t="shared" si="43"/>
        <v>0</v>
      </c>
      <c r="S48" s="537"/>
      <c r="T48" s="445">
        <f t="shared" si="44"/>
        <v>0</v>
      </c>
      <c r="V48" s="581"/>
      <c r="W48" s="582">
        <f t="shared" si="45"/>
        <v>0</v>
      </c>
      <c r="X48" s="581">
        <f>+'2,1,5 Relleno M Común'!I50</f>
        <v>15427.02</v>
      </c>
      <c r="Y48" s="582">
        <f t="shared" si="46"/>
        <v>0</v>
      </c>
      <c r="Z48" s="581">
        <f>+'2,1,5 Relleno M Común'!I30</f>
        <v>7102</v>
      </c>
      <c r="AA48" s="582">
        <f t="shared" si="47"/>
        <v>0</v>
      </c>
      <c r="AB48" s="581"/>
      <c r="AC48" s="582">
        <f t="shared" si="48"/>
        <v>0</v>
      </c>
      <c r="AE48" s="769">
        <f t="shared" si="0"/>
        <v>0</v>
      </c>
    </row>
    <row r="49" spans="1:31" ht="15" customHeight="1" x14ac:dyDescent="0.2">
      <c r="A49" s="611" t="s">
        <v>627</v>
      </c>
      <c r="B49" s="601" t="s">
        <v>628</v>
      </c>
      <c r="C49" s="611" t="s">
        <v>155</v>
      </c>
      <c r="D49" s="576">
        <f t="shared" si="49"/>
        <v>88.07</v>
      </c>
      <c r="E49" s="577" t="e">
        <f t="shared" si="37"/>
        <v>#REF!</v>
      </c>
      <c r="F49" s="577" t="e">
        <f t="shared" si="38"/>
        <v>#REF!</v>
      </c>
      <c r="G49" s="578"/>
      <c r="I49" s="584"/>
      <c r="J49" s="585" t="e">
        <f t="shared" si="39"/>
        <v>#REF!</v>
      </c>
      <c r="K49" s="537">
        <v>52.84</v>
      </c>
      <c r="L49" s="445" t="e">
        <f t="shared" si="40"/>
        <v>#REF!</v>
      </c>
      <c r="M49" s="542"/>
      <c r="N49" s="445" t="e">
        <f t="shared" si="41"/>
        <v>#REF!</v>
      </c>
      <c r="O49" s="542"/>
      <c r="P49" s="445" t="e">
        <f t="shared" si="42"/>
        <v>#REF!</v>
      </c>
      <c r="Q49" s="542">
        <v>22.02</v>
      </c>
      <c r="R49" s="445" t="e">
        <f t="shared" si="43"/>
        <v>#REF!</v>
      </c>
      <c r="S49" s="537">
        <v>13.21</v>
      </c>
      <c r="T49" s="445" t="e">
        <f t="shared" si="44"/>
        <v>#REF!</v>
      </c>
      <c r="V49" s="581"/>
      <c r="W49" s="582">
        <f t="shared" si="45"/>
        <v>0</v>
      </c>
      <c r="X49" s="581" t="e">
        <f>+#REF!</f>
        <v>#REF!</v>
      </c>
      <c r="Y49" s="582" t="e">
        <f t="shared" si="46"/>
        <v>#REF!</v>
      </c>
      <c r="Z49" s="581" t="e">
        <f>+#REF!</f>
        <v>#REF!</v>
      </c>
      <c r="AA49" s="582" t="e">
        <f t="shared" si="47"/>
        <v>#REF!</v>
      </c>
      <c r="AB49" s="581"/>
      <c r="AC49" s="582">
        <f t="shared" si="48"/>
        <v>0</v>
      </c>
      <c r="AE49" s="769" t="e">
        <f t="shared" si="0"/>
        <v>#REF!</v>
      </c>
    </row>
    <row r="50" spans="1:31" ht="15" hidden="1" customHeight="1" x14ac:dyDescent="0.2">
      <c r="A50" s="611" t="s">
        <v>629</v>
      </c>
      <c r="B50" s="601" t="s">
        <v>630</v>
      </c>
      <c r="C50" s="611" t="s">
        <v>155</v>
      </c>
      <c r="D50" s="576">
        <f t="shared" si="49"/>
        <v>0</v>
      </c>
      <c r="E50" s="577" t="e">
        <f t="shared" si="37"/>
        <v>#REF!</v>
      </c>
      <c r="F50" s="577" t="e">
        <f t="shared" si="38"/>
        <v>#REF!</v>
      </c>
      <c r="G50" s="578"/>
      <c r="I50" s="586"/>
      <c r="J50" s="585" t="e">
        <f t="shared" si="39"/>
        <v>#REF!</v>
      </c>
      <c r="K50" s="537"/>
      <c r="L50" s="445" t="e">
        <f t="shared" si="40"/>
        <v>#REF!</v>
      </c>
      <c r="M50" s="542"/>
      <c r="N50" s="445" t="e">
        <f t="shared" si="41"/>
        <v>#REF!</v>
      </c>
      <c r="O50" s="542"/>
      <c r="P50" s="445" t="e">
        <f t="shared" si="42"/>
        <v>#REF!</v>
      </c>
      <c r="Q50" s="542"/>
      <c r="R50" s="445" t="e">
        <f t="shared" si="43"/>
        <v>#REF!</v>
      </c>
      <c r="S50" s="542"/>
      <c r="T50" s="445" t="e">
        <f t="shared" si="44"/>
        <v>#REF!</v>
      </c>
      <c r="V50" s="581" t="e">
        <f>+'2,1,7  Sub base Recebo '!I19</f>
        <v>#REF!</v>
      </c>
      <c r="W50" s="582" t="e">
        <f t="shared" si="45"/>
        <v>#REF!</v>
      </c>
      <c r="X50" s="581">
        <f>+'2,1,7  Sub base Recebo '!I50</f>
        <v>18149.439999999999</v>
      </c>
      <c r="Y50" s="582">
        <f t="shared" si="46"/>
        <v>0</v>
      </c>
      <c r="Z50" s="581">
        <f>+'2,1,7  Sub base Recebo '!I30</f>
        <v>6731</v>
      </c>
      <c r="AA50" s="582">
        <f t="shared" si="47"/>
        <v>0</v>
      </c>
      <c r="AB50" s="581">
        <f>+'2,1,7  Sub base Recebo '!I41</f>
        <v>0</v>
      </c>
      <c r="AC50" s="582">
        <f t="shared" si="48"/>
        <v>0</v>
      </c>
      <c r="AE50" s="769" t="e">
        <f t="shared" si="0"/>
        <v>#REF!</v>
      </c>
    </row>
    <row r="51" spans="1:31" ht="15" hidden="1" customHeight="1" x14ac:dyDescent="0.2">
      <c r="A51" s="611" t="s">
        <v>631</v>
      </c>
      <c r="B51" s="610" t="s">
        <v>632</v>
      </c>
      <c r="C51" s="611" t="s">
        <v>130</v>
      </c>
      <c r="D51" s="576">
        <f t="shared" si="49"/>
        <v>0</v>
      </c>
      <c r="E51" s="577" t="e">
        <f t="shared" si="37"/>
        <v>#REF!</v>
      </c>
      <c r="F51" s="577" t="e">
        <f t="shared" si="38"/>
        <v>#REF!</v>
      </c>
      <c r="G51" s="578"/>
      <c r="I51" s="584"/>
      <c r="J51" s="585" t="e">
        <f t="shared" si="39"/>
        <v>#REF!</v>
      </c>
      <c r="K51" s="537"/>
      <c r="L51" s="445" t="e">
        <f t="shared" si="40"/>
        <v>#REF!</v>
      </c>
      <c r="M51" s="542"/>
      <c r="N51" s="445" t="e">
        <f t="shared" si="41"/>
        <v>#REF!</v>
      </c>
      <c r="O51" s="542"/>
      <c r="P51" s="445" t="e">
        <f t="shared" si="42"/>
        <v>#REF!</v>
      </c>
      <c r="Q51" s="542"/>
      <c r="R51" s="445" t="e">
        <f t="shared" si="43"/>
        <v>#REF!</v>
      </c>
      <c r="S51" s="542"/>
      <c r="T51" s="445" t="e">
        <f t="shared" si="44"/>
        <v>#REF!</v>
      </c>
      <c r="V51" s="581" t="e">
        <f>+'2,1,8 Geotextil NT'!I19</f>
        <v>#REF!</v>
      </c>
      <c r="W51" s="582" t="e">
        <f t="shared" si="45"/>
        <v>#REF!</v>
      </c>
      <c r="X51" s="581">
        <f>+'2,1,8 Geotextil NT'!I50</f>
        <v>3841.65</v>
      </c>
      <c r="Y51" s="582">
        <f t="shared" si="46"/>
        <v>0</v>
      </c>
      <c r="Z51" s="581">
        <f>+'2,1,8 Geotextil NT'!I30</f>
        <v>37.1</v>
      </c>
      <c r="AA51" s="582">
        <f t="shared" si="47"/>
        <v>0</v>
      </c>
      <c r="AB51" s="581">
        <f>+'2,1,8 Geotextil NT'!I41</f>
        <v>0</v>
      </c>
      <c r="AC51" s="582">
        <f t="shared" si="48"/>
        <v>0</v>
      </c>
      <c r="AE51" s="769" t="e">
        <f t="shared" si="0"/>
        <v>#REF!</v>
      </c>
    </row>
    <row r="52" spans="1:31" ht="15" hidden="1" customHeight="1" x14ac:dyDescent="0.2">
      <c r="A52" s="611" t="s">
        <v>633</v>
      </c>
      <c r="B52" s="610" t="s">
        <v>634</v>
      </c>
      <c r="C52" s="611" t="s">
        <v>130</v>
      </c>
      <c r="D52" s="576">
        <f t="shared" si="49"/>
        <v>0</v>
      </c>
      <c r="E52" s="577" t="e">
        <f t="shared" si="37"/>
        <v>#REF!</v>
      </c>
      <c r="F52" s="577" t="e">
        <f t="shared" si="38"/>
        <v>#REF!</v>
      </c>
      <c r="G52" s="578"/>
      <c r="I52" s="584"/>
      <c r="J52" s="585" t="e">
        <f t="shared" si="39"/>
        <v>#REF!</v>
      </c>
      <c r="K52" s="537"/>
      <c r="L52" s="445" t="e">
        <f t="shared" si="40"/>
        <v>#REF!</v>
      </c>
      <c r="M52" s="542"/>
      <c r="N52" s="445" t="e">
        <f t="shared" si="41"/>
        <v>#REF!</v>
      </c>
      <c r="O52" s="542"/>
      <c r="P52" s="445" t="e">
        <f t="shared" si="42"/>
        <v>#REF!</v>
      </c>
      <c r="Q52" s="542"/>
      <c r="R52" s="445" t="e">
        <f t="shared" si="43"/>
        <v>#REF!</v>
      </c>
      <c r="S52" s="542"/>
      <c r="T52" s="445" t="e">
        <f t="shared" si="44"/>
        <v>#REF!</v>
      </c>
      <c r="V52" s="581" t="e">
        <f>+'2,1,9 Geotextil Tejido'!I19</f>
        <v>#REF!</v>
      </c>
      <c r="W52" s="582" t="e">
        <f t="shared" si="45"/>
        <v>#REF!</v>
      </c>
      <c r="X52" s="581">
        <f>+'2,1,9 Geotextil Tejido'!I50</f>
        <v>3841.65</v>
      </c>
      <c r="Y52" s="582">
        <f t="shared" si="46"/>
        <v>0</v>
      </c>
      <c r="Z52" s="581">
        <f>+'2,1,9 Geotextil Tejido'!I30</f>
        <v>37.1</v>
      </c>
      <c r="AA52" s="582">
        <f t="shared" si="47"/>
        <v>0</v>
      </c>
      <c r="AB52" s="581">
        <f>+'2,1,9 Geotextil Tejido'!I41</f>
        <v>0</v>
      </c>
      <c r="AC52" s="582">
        <f t="shared" si="48"/>
        <v>0</v>
      </c>
      <c r="AE52" s="769" t="e">
        <f t="shared" si="0"/>
        <v>#REF!</v>
      </c>
    </row>
    <row r="53" spans="1:31" x14ac:dyDescent="0.2">
      <c r="A53" s="611" t="s">
        <v>635</v>
      </c>
      <c r="B53" s="601" t="s">
        <v>636</v>
      </c>
      <c r="C53" s="611" t="s">
        <v>155</v>
      </c>
      <c r="D53" s="576">
        <f t="shared" si="49"/>
        <v>216.14</v>
      </c>
      <c r="E53" s="577" t="e">
        <f t="shared" si="37"/>
        <v>#REF!</v>
      </c>
      <c r="F53" s="577" t="e">
        <f t="shared" si="38"/>
        <v>#REF!</v>
      </c>
      <c r="G53" s="578"/>
      <c r="I53" s="612"/>
      <c r="J53" s="598" t="e">
        <f t="shared" si="39"/>
        <v>#REF!</v>
      </c>
      <c r="K53" s="537">
        <f>110.61+9.49</f>
        <v>120.1</v>
      </c>
      <c r="L53" s="445" t="e">
        <f t="shared" si="40"/>
        <v>#REF!</v>
      </c>
      <c r="M53" s="542"/>
      <c r="N53" s="445" t="e">
        <f t="shared" si="41"/>
        <v>#REF!</v>
      </c>
      <c r="O53" s="537">
        <f>21.04+1.68</f>
        <v>22.72</v>
      </c>
      <c r="P53" s="445" t="e">
        <f t="shared" si="42"/>
        <v>#REF!</v>
      </c>
      <c r="Q53" s="537">
        <v>47.63</v>
      </c>
      <c r="R53" s="445" t="e">
        <f t="shared" si="43"/>
        <v>#REF!</v>
      </c>
      <c r="S53" s="537">
        <v>25.69</v>
      </c>
      <c r="T53" s="445" t="e">
        <f t="shared" si="44"/>
        <v>#REF!</v>
      </c>
      <c r="V53" s="581" t="e">
        <f>+#REF!</f>
        <v>#REF!</v>
      </c>
      <c r="W53" s="582" t="e">
        <f t="shared" si="45"/>
        <v>#REF!</v>
      </c>
      <c r="X53" s="581" t="e">
        <f>+#REF!</f>
        <v>#REF!</v>
      </c>
      <c r="Y53" s="582" t="e">
        <f t="shared" si="46"/>
        <v>#REF!</v>
      </c>
      <c r="Z53" s="581" t="e">
        <f>+#REF!</f>
        <v>#REF!</v>
      </c>
      <c r="AA53" s="582" t="e">
        <f t="shared" si="47"/>
        <v>#REF!</v>
      </c>
      <c r="AB53" s="581" t="e">
        <f>+#REF!</f>
        <v>#REF!</v>
      </c>
      <c r="AC53" s="582" t="e">
        <f t="shared" si="48"/>
        <v>#REF!</v>
      </c>
      <c r="AE53" s="769" t="e">
        <f t="shared" si="0"/>
        <v>#REF!</v>
      </c>
    </row>
    <row r="54" spans="1:31" s="568" customFormat="1" ht="18" customHeight="1" x14ac:dyDescent="0.2">
      <c r="A54" s="572" t="s">
        <v>637</v>
      </c>
      <c r="B54" s="573" t="s">
        <v>638</v>
      </c>
      <c r="C54" s="846"/>
      <c r="D54" s="576"/>
      <c r="E54" s="577"/>
      <c r="F54" s="180" t="e">
        <f>+ROUND(SUM(F55:F70),10)</f>
        <v>#REF!</v>
      </c>
      <c r="G54" s="473"/>
      <c r="I54" s="613"/>
      <c r="J54" s="440" t="e">
        <f>ROUND(SUM(J55:J70),10)</f>
        <v>#REF!</v>
      </c>
      <c r="K54" s="537"/>
      <c r="L54" s="180" t="e">
        <f>ROUND(SUM(L55:L70),10)</f>
        <v>#REF!</v>
      </c>
      <c r="M54" s="542"/>
      <c r="N54" s="180" t="e">
        <f>ROUND(SUM(N55:N70),10)</f>
        <v>#REF!</v>
      </c>
      <c r="O54" s="542"/>
      <c r="P54" s="180" t="e">
        <f>ROUND(SUM(P55:P70),10)</f>
        <v>#REF!</v>
      </c>
      <c r="Q54" s="542"/>
      <c r="R54" s="180" t="e">
        <f>ROUND(SUM(R55:R70),10)</f>
        <v>#REF!</v>
      </c>
      <c r="S54" s="542"/>
      <c r="T54" s="180" t="e">
        <f>ROUND(SUM(T55:T70),10)</f>
        <v>#REF!</v>
      </c>
      <c r="V54" s="575"/>
      <c r="W54" s="570" t="e">
        <f>ROUND(SUM(W55:W70),10)</f>
        <v>#REF!</v>
      </c>
      <c r="X54" s="575"/>
      <c r="Y54" s="570" t="e">
        <f>ROUND(SUM(Y55:Y70),10)</f>
        <v>#REF!</v>
      </c>
      <c r="Z54" s="575"/>
      <c r="AA54" s="570" t="e">
        <f>ROUND(SUM(AA55:AA70),10)</f>
        <v>#REF!</v>
      </c>
      <c r="AB54" s="575"/>
      <c r="AC54" s="570" t="e">
        <f>ROUND(SUM(AC55:AC70),10)</f>
        <v>#REF!</v>
      </c>
      <c r="AE54" s="769" t="e">
        <f t="shared" si="0"/>
        <v>#REF!</v>
      </c>
    </row>
    <row r="55" spans="1:31" ht="15" customHeight="1" x14ac:dyDescent="0.2">
      <c r="A55" s="611" t="s">
        <v>639</v>
      </c>
      <c r="B55" s="649" t="s">
        <v>640</v>
      </c>
      <c r="C55" s="611" t="s">
        <v>155</v>
      </c>
      <c r="D55" s="576">
        <f t="shared" ref="D55:D70" si="50">+I55+K55+M55+O55+Q55+S55</f>
        <v>3.84</v>
      </c>
      <c r="E55" s="577" t="e">
        <f t="shared" si="37"/>
        <v>#REF!</v>
      </c>
      <c r="F55" s="577" t="e">
        <f t="shared" ref="F55:F70" si="51">ROUND(D55*E55,10)</f>
        <v>#REF!</v>
      </c>
      <c r="G55" s="578"/>
      <c r="I55" s="579"/>
      <c r="J55" s="580" t="e">
        <f>+ROUND(E55*I55,10)</f>
        <v>#REF!</v>
      </c>
      <c r="K55" s="537">
        <v>2.65</v>
      </c>
      <c r="L55" s="445" t="e">
        <f>+ROUND(E55*K55,10)</f>
        <v>#REF!</v>
      </c>
      <c r="M55" s="542"/>
      <c r="N55" s="445" t="e">
        <f>+ROUND(E55*M55,10)</f>
        <v>#REF!</v>
      </c>
      <c r="O55" s="542">
        <v>0.88</v>
      </c>
      <c r="P55" s="445" t="e">
        <f>+ROUND(E55*O55,10)</f>
        <v>#REF!</v>
      </c>
      <c r="Q55" s="542"/>
      <c r="R55" s="445" t="e">
        <f>+ROUND(E55*Q55,10)</f>
        <v>#REF!</v>
      </c>
      <c r="S55" s="542">
        <v>0.31</v>
      </c>
      <c r="T55" s="445" t="e">
        <f>+ROUND(E55*S55,10)</f>
        <v>#REF!</v>
      </c>
      <c r="V55" s="581" t="e">
        <f>+#REF!</f>
        <v>#REF!</v>
      </c>
      <c r="W55" s="582" t="e">
        <f>ROUND(V55*$D55,10)</f>
        <v>#REF!</v>
      </c>
      <c r="X55" s="581" t="e">
        <f>+#REF!</f>
        <v>#REF!</v>
      </c>
      <c r="Y55" s="582" t="e">
        <f>ROUND(X55*$D55,10)</f>
        <v>#REF!</v>
      </c>
      <c r="Z55" s="581" t="e">
        <f>+#REF!</f>
        <v>#REF!</v>
      </c>
      <c r="AA55" s="582" t="e">
        <f>ROUND(Z55*$D55,10)</f>
        <v>#REF!</v>
      </c>
      <c r="AB55" s="581"/>
      <c r="AC55" s="582">
        <f>ROUND(AB55*$D55,10)</f>
        <v>0</v>
      </c>
      <c r="AE55" s="769" t="e">
        <f t="shared" si="0"/>
        <v>#REF!</v>
      </c>
    </row>
    <row r="56" spans="1:31" ht="15" customHeight="1" x14ac:dyDescent="0.2">
      <c r="A56" s="611" t="s">
        <v>641</v>
      </c>
      <c r="B56" s="601" t="s">
        <v>642</v>
      </c>
      <c r="C56" s="611" t="s">
        <v>155</v>
      </c>
      <c r="D56" s="576">
        <f t="shared" si="50"/>
        <v>23.080000000000002</v>
      </c>
      <c r="E56" s="577" t="e">
        <f>V56+X56+Z56+AB56</f>
        <v>#REF!</v>
      </c>
      <c r="F56" s="577" t="e">
        <f t="shared" si="51"/>
        <v>#REF!</v>
      </c>
      <c r="G56" s="578"/>
      <c r="I56" s="584"/>
      <c r="J56" s="585" t="e">
        <f>+ROUND(E56*I56,10)</f>
        <v>#REF!</v>
      </c>
      <c r="K56" s="537">
        <v>15.91</v>
      </c>
      <c r="L56" s="445" t="e">
        <f>+ROUND(E56*K56,10)</f>
        <v>#REF!</v>
      </c>
      <c r="M56" s="542"/>
      <c r="N56" s="445" t="e">
        <f>+ROUND(E56*M56,10)</f>
        <v>#REF!</v>
      </c>
      <c r="O56" s="537">
        <v>5.3</v>
      </c>
      <c r="P56" s="445" t="e">
        <f>+ROUND(E56*O56,10)</f>
        <v>#REF!</v>
      </c>
      <c r="Q56" s="537"/>
      <c r="R56" s="445" t="e">
        <f>+ROUND(E56*Q56,10)</f>
        <v>#REF!</v>
      </c>
      <c r="S56" s="537">
        <v>1.87</v>
      </c>
      <c r="T56" s="445" t="e">
        <f>+ROUND(E56*S56,10)</f>
        <v>#REF!</v>
      </c>
      <c r="V56" s="581" t="e">
        <f>+#REF!</f>
        <v>#REF!</v>
      </c>
      <c r="W56" s="582" t="e">
        <f>ROUND(V56*$D56,10)</f>
        <v>#REF!</v>
      </c>
      <c r="X56" s="581" t="e">
        <f>+#REF!</f>
        <v>#REF!</v>
      </c>
      <c r="Y56" s="582" t="e">
        <f>ROUND(X56*$D56,10)</f>
        <v>#REF!</v>
      </c>
      <c r="Z56" s="581" t="e">
        <f>+#REF!</f>
        <v>#REF!</v>
      </c>
      <c r="AA56" s="582" t="e">
        <f>ROUND(Z56*$D56,10)</f>
        <v>#REF!</v>
      </c>
      <c r="AB56" s="581"/>
      <c r="AC56" s="582">
        <f>ROUND(AB56*$D56,10)</f>
        <v>0</v>
      </c>
      <c r="AE56" s="769" t="e">
        <f t="shared" si="0"/>
        <v>#REF!</v>
      </c>
    </row>
    <row r="57" spans="1:31" ht="15" hidden="1" customHeight="1" x14ac:dyDescent="0.2">
      <c r="A57" s="611" t="s">
        <v>643</v>
      </c>
      <c r="B57" s="601" t="s">
        <v>644</v>
      </c>
      <c r="C57" s="611" t="s">
        <v>155</v>
      </c>
      <c r="D57" s="576">
        <f t="shared" si="50"/>
        <v>0</v>
      </c>
      <c r="E57" s="577" t="e">
        <f>V57+X57+Z57+AB57</f>
        <v>#REF!</v>
      </c>
      <c r="F57" s="577" t="e">
        <f t="shared" si="51"/>
        <v>#REF!</v>
      </c>
      <c r="G57" s="578"/>
      <c r="I57" s="584"/>
      <c r="J57" s="585" t="e">
        <f>+ROUND(E57*I57,10)</f>
        <v>#REF!</v>
      </c>
      <c r="K57" s="537"/>
      <c r="L57" s="445" t="e">
        <f>+ROUND(E57*K57,10)</f>
        <v>#REF!</v>
      </c>
      <c r="M57" s="542"/>
      <c r="N57" s="445" t="e">
        <f>+ROUND(E57*M57,10)</f>
        <v>#REF!</v>
      </c>
      <c r="O57" s="542"/>
      <c r="P57" s="445" t="e">
        <f>+ROUND(E57*O57,10)</f>
        <v>#REF!</v>
      </c>
      <c r="Q57" s="542"/>
      <c r="R57" s="445" t="e">
        <f>+ROUND(E57*Q57,10)</f>
        <v>#REF!</v>
      </c>
      <c r="S57" s="542"/>
      <c r="T57" s="445" t="e">
        <f>+ROUND(E57*S57,10)</f>
        <v>#REF!</v>
      </c>
      <c r="V57" s="581" t="e">
        <f>+'2,2,3 Muros de contencion'!I19</f>
        <v>#REF!</v>
      </c>
      <c r="W57" s="582" t="e">
        <f>ROUND(V57*$D57,10)</f>
        <v>#REF!</v>
      </c>
      <c r="X57" s="581">
        <f>+'2,2,3 Muros de contencion'!I50</f>
        <v>196407.2</v>
      </c>
      <c r="Y57" s="582">
        <f>ROUND(X57*$D57,10)</f>
        <v>0</v>
      </c>
      <c r="Z57" s="581">
        <f>+'2,2,3 Muros de contencion'!I30</f>
        <v>11204.2</v>
      </c>
      <c r="AA57" s="582">
        <f>ROUND(Z57*$D57,10)</f>
        <v>0</v>
      </c>
      <c r="AB57" s="581">
        <f>+'2,2,3 Muros de contencion'!I41</f>
        <v>0</v>
      </c>
      <c r="AC57" s="582">
        <f>ROUND(AB57*$D57,10)</f>
        <v>0</v>
      </c>
      <c r="AE57" s="769" t="e">
        <f t="shared" si="0"/>
        <v>#REF!</v>
      </c>
    </row>
    <row r="58" spans="1:31" ht="15" customHeight="1" x14ac:dyDescent="0.2">
      <c r="A58" s="611" t="s">
        <v>645</v>
      </c>
      <c r="B58" s="601" t="s">
        <v>646</v>
      </c>
      <c r="C58" s="611" t="s">
        <v>155</v>
      </c>
      <c r="D58" s="576">
        <f t="shared" si="50"/>
        <v>29.849999999999998</v>
      </c>
      <c r="E58" s="577" t="e">
        <f>V58+X58+Z58+AB58</f>
        <v>#REF!</v>
      </c>
      <c r="F58" s="577" t="e">
        <f t="shared" si="51"/>
        <v>#REF!</v>
      </c>
      <c r="G58" s="578"/>
      <c r="I58" s="584"/>
      <c r="J58" s="585" t="e">
        <f>+ROUND(E58*I58,10)</f>
        <v>#REF!</v>
      </c>
      <c r="K58" s="537">
        <v>21.22</v>
      </c>
      <c r="L58" s="445" t="e">
        <f>+ROUND(E58*K58,10)</f>
        <v>#REF!</v>
      </c>
      <c r="M58" s="542"/>
      <c r="N58" s="445" t="e">
        <f>+ROUND(E58*M58,10)</f>
        <v>#REF!</v>
      </c>
      <c r="O58" s="537">
        <v>7.07</v>
      </c>
      <c r="P58" s="445" t="e">
        <f>+ROUND(E58*O58,10)</f>
        <v>#REF!</v>
      </c>
      <c r="Q58" s="537"/>
      <c r="R58" s="445" t="e">
        <f>+ROUND(E58*Q58,10)</f>
        <v>#REF!</v>
      </c>
      <c r="S58" s="537">
        <v>1.56</v>
      </c>
      <c r="T58" s="445" t="e">
        <f>+ROUND(E58*S58,10)</f>
        <v>#REF!</v>
      </c>
      <c r="V58" s="581" t="e">
        <f>+#REF!</f>
        <v>#REF!</v>
      </c>
      <c r="W58" s="582" t="e">
        <f>ROUND(V58*$D58,10)</f>
        <v>#REF!</v>
      </c>
      <c r="X58" s="581" t="e">
        <f>+#REF!</f>
        <v>#REF!</v>
      </c>
      <c r="Y58" s="582" t="e">
        <f>ROUND(X58*$D58,10)</f>
        <v>#REF!</v>
      </c>
      <c r="Z58" s="581" t="e">
        <f>+#REF!</f>
        <v>#REF!</v>
      </c>
      <c r="AA58" s="582" t="e">
        <f>ROUND(Z58*$D58,10)</f>
        <v>#REF!</v>
      </c>
      <c r="AB58" s="581" t="e">
        <f>+#REF!</f>
        <v>#REF!</v>
      </c>
      <c r="AC58" s="582" t="e">
        <f>ROUND(AB58*$D58,10)</f>
        <v>#REF!</v>
      </c>
      <c r="AE58" s="769" t="e">
        <f t="shared" si="0"/>
        <v>#REF!</v>
      </c>
    </row>
    <row r="59" spans="1:31" ht="15" customHeight="1" x14ac:dyDescent="0.2">
      <c r="A59" s="611" t="s">
        <v>647</v>
      </c>
      <c r="B59" s="601" t="s">
        <v>648</v>
      </c>
      <c r="C59" s="611" t="s">
        <v>155</v>
      </c>
      <c r="D59" s="576">
        <f t="shared" si="50"/>
        <v>20.520000000000003</v>
      </c>
      <c r="E59" s="577" t="e">
        <f>V59+X59+Z59+AB59</f>
        <v>#REF!</v>
      </c>
      <c r="F59" s="577" t="e">
        <f t="shared" si="51"/>
        <v>#REF!</v>
      </c>
      <c r="G59" s="578"/>
      <c r="I59" s="586"/>
      <c r="J59" s="585" t="e">
        <f>+ROUND(E59*I59,10)</f>
        <v>#REF!</v>
      </c>
      <c r="K59" s="537">
        <v>16.440000000000001</v>
      </c>
      <c r="L59" s="445" t="e">
        <f>+ROUND(E59*K59,10)</f>
        <v>#REF!</v>
      </c>
      <c r="M59" s="542"/>
      <c r="N59" s="445" t="e">
        <f>+ROUND(E59*M59,10)</f>
        <v>#REF!</v>
      </c>
      <c r="O59" s="542">
        <v>4.08</v>
      </c>
      <c r="P59" s="445" t="e">
        <f>+ROUND(E59*O59,10)</f>
        <v>#REF!</v>
      </c>
      <c r="Q59" s="537"/>
      <c r="R59" s="445" t="e">
        <f>+ROUND(E59*Q59,10)</f>
        <v>#REF!</v>
      </c>
      <c r="S59" s="537"/>
      <c r="T59" s="445" t="e">
        <f>+ROUND(E59*S59,10)</f>
        <v>#REF!</v>
      </c>
      <c r="V59" s="581" t="e">
        <f>+#REF!</f>
        <v>#REF!</v>
      </c>
      <c r="W59" s="582" t="e">
        <f>ROUND(V59*$D59,10)</f>
        <v>#REF!</v>
      </c>
      <c r="X59" s="581" t="e">
        <f>+#REF!</f>
        <v>#REF!</v>
      </c>
      <c r="Y59" s="582" t="e">
        <f>ROUND(X59*$D59,10)</f>
        <v>#REF!</v>
      </c>
      <c r="Z59" s="581" t="e">
        <f>+#REF!</f>
        <v>#REF!</v>
      </c>
      <c r="AA59" s="582" t="e">
        <f>ROUND(Z59*$D59,10)</f>
        <v>#REF!</v>
      </c>
      <c r="AB59" s="581"/>
      <c r="AC59" s="582">
        <f>ROUND(AB59*$D59,10)</f>
        <v>0</v>
      </c>
      <c r="AE59" s="769" t="e">
        <f t="shared" si="0"/>
        <v>#REF!</v>
      </c>
    </row>
    <row r="60" spans="1:31" ht="15" hidden="1" customHeight="1" x14ac:dyDescent="0.2">
      <c r="A60" s="611" t="s">
        <v>649</v>
      </c>
      <c r="B60" s="573" t="s">
        <v>650</v>
      </c>
      <c r="C60" s="611"/>
      <c r="D60" s="576"/>
      <c r="E60" s="577"/>
      <c r="F60" s="577"/>
      <c r="G60" s="578"/>
      <c r="I60" s="586"/>
      <c r="J60" s="585"/>
      <c r="K60" s="537"/>
      <c r="L60" s="445"/>
      <c r="M60" s="542"/>
      <c r="N60" s="445"/>
      <c r="O60" s="542"/>
      <c r="P60" s="445"/>
      <c r="Q60" s="542"/>
      <c r="R60" s="445"/>
      <c r="S60" s="542"/>
      <c r="T60" s="445"/>
      <c r="V60" s="581"/>
      <c r="W60" s="582"/>
      <c r="X60" s="581"/>
      <c r="Y60" s="582"/>
      <c r="Z60" s="581"/>
      <c r="AA60" s="582"/>
      <c r="AB60" s="581"/>
      <c r="AC60" s="582"/>
      <c r="AE60" s="769">
        <f t="shared" si="0"/>
        <v>0</v>
      </c>
    </row>
    <row r="61" spans="1:31" ht="15" hidden="1" customHeight="1" x14ac:dyDescent="0.2">
      <c r="A61" s="611" t="s">
        <v>651</v>
      </c>
      <c r="B61" s="601" t="s">
        <v>652</v>
      </c>
      <c r="C61" s="611" t="s">
        <v>114</v>
      </c>
      <c r="D61" s="576">
        <f t="shared" si="50"/>
        <v>0</v>
      </c>
      <c r="E61" s="577" t="e">
        <f>V61+X61+Z61+AB61</f>
        <v>#REF!</v>
      </c>
      <c r="F61" s="577" t="e">
        <f t="shared" si="51"/>
        <v>#REF!</v>
      </c>
      <c r="G61" s="578"/>
      <c r="I61" s="584"/>
      <c r="J61" s="585" t="e">
        <f>+ROUND(E61*I61,10)</f>
        <v>#REF!</v>
      </c>
      <c r="K61" s="537"/>
      <c r="L61" s="445" t="e">
        <f t="shared" ref="L61:L70" si="52">+ROUND(E61*K61,10)</f>
        <v>#REF!</v>
      </c>
      <c r="M61" s="542"/>
      <c r="N61" s="445" t="e">
        <f t="shared" ref="N61:N70" si="53">+ROUND(E61*M61,10)</f>
        <v>#REF!</v>
      </c>
      <c r="O61" s="542"/>
      <c r="P61" s="445" t="e">
        <f t="shared" ref="P61:P70" si="54">+ROUND(E61*O61,10)</f>
        <v>#REF!</v>
      </c>
      <c r="Q61" s="542"/>
      <c r="R61" s="445" t="e">
        <f t="shared" ref="R61:R70" si="55">+ROUND(E61*Q61,10)</f>
        <v>#REF!</v>
      </c>
      <c r="S61" s="542"/>
      <c r="T61" s="445" t="e">
        <f t="shared" ref="T61:T70" si="56">+ROUND(E61*S61,10)</f>
        <v>#REF!</v>
      </c>
      <c r="V61" s="581" t="e">
        <f>SUBTOTALMAT</f>
        <v>#REF!</v>
      </c>
      <c r="W61" s="582" t="e">
        <f t="shared" ref="W61:W70" si="57">ROUND(V61*$D61,10)</f>
        <v>#REF!</v>
      </c>
      <c r="X61" s="614">
        <f>'2,2,6,1 Pilotes 0,30'!I50</f>
        <v>22038.6</v>
      </c>
      <c r="Y61" s="582">
        <f t="shared" ref="Y61:Y70" si="58">ROUND(X61*$D61,10)</f>
        <v>0</v>
      </c>
      <c r="Z61" s="581">
        <f>+'2,2,6,1 Pilotes 0,30'!I30</f>
        <v>50986</v>
      </c>
      <c r="AA61" s="582">
        <f t="shared" ref="AA61:AA70" si="59">ROUND(Z61*$D61,10)</f>
        <v>0</v>
      </c>
      <c r="AB61" s="581">
        <f>+'2,2,6,1 Pilotes 0,30'!I41</f>
        <v>3839.9999999999995</v>
      </c>
      <c r="AC61" s="582">
        <f t="shared" ref="AC61:AC70" si="60">ROUND(AB61*$D61,10)</f>
        <v>0</v>
      </c>
      <c r="AE61" s="769" t="e">
        <f t="shared" si="0"/>
        <v>#REF!</v>
      </c>
    </row>
    <row r="62" spans="1:31" ht="15" hidden="1" customHeight="1" x14ac:dyDescent="0.2">
      <c r="A62" s="611" t="s">
        <v>653</v>
      </c>
      <c r="B62" s="601" t="s">
        <v>654</v>
      </c>
      <c r="C62" s="611" t="s">
        <v>114</v>
      </c>
      <c r="D62" s="576">
        <f t="shared" si="50"/>
        <v>0</v>
      </c>
      <c r="E62" s="577" t="e">
        <f>V62+X62+Z62+AB62</f>
        <v>#REF!</v>
      </c>
      <c r="F62" s="577" t="e">
        <f t="shared" si="51"/>
        <v>#REF!</v>
      </c>
      <c r="G62" s="578"/>
      <c r="I62" s="584"/>
      <c r="J62" s="585"/>
      <c r="K62" s="537"/>
      <c r="L62" s="445" t="e">
        <f t="shared" si="52"/>
        <v>#REF!</v>
      </c>
      <c r="M62" s="542"/>
      <c r="N62" s="445" t="e">
        <f t="shared" si="53"/>
        <v>#REF!</v>
      </c>
      <c r="O62" s="542"/>
      <c r="P62" s="445" t="e">
        <f t="shared" si="54"/>
        <v>#REF!</v>
      </c>
      <c r="Q62" s="542"/>
      <c r="R62" s="445" t="e">
        <f t="shared" si="55"/>
        <v>#REF!</v>
      </c>
      <c r="S62" s="542"/>
      <c r="T62" s="445" t="e">
        <f t="shared" si="56"/>
        <v>#REF!</v>
      </c>
      <c r="V62" s="581" t="e">
        <f>+'2,2,6,2 Pilotes 0,40'!SUBTOTALMAT</f>
        <v>#REF!</v>
      </c>
      <c r="W62" s="582" t="e">
        <f t="shared" si="57"/>
        <v>#REF!</v>
      </c>
      <c r="X62" s="581">
        <f>'2,2,6,2 Pilotes 0,40'!I50</f>
        <v>22038.6</v>
      </c>
      <c r="Y62" s="582">
        <f t="shared" si="58"/>
        <v>0</v>
      </c>
      <c r="Z62" s="581">
        <f>+'2,2,6,2 Pilotes 0,40'!I30</f>
        <v>56551</v>
      </c>
      <c r="AA62" s="582">
        <f t="shared" si="59"/>
        <v>0</v>
      </c>
      <c r="AB62" s="581">
        <f>+'2,2,6,2 Pilotes 0,40'!I41</f>
        <v>7466.666666666667</v>
      </c>
      <c r="AC62" s="582">
        <f t="shared" si="60"/>
        <v>0</v>
      </c>
      <c r="AE62" s="769" t="e">
        <f t="shared" si="0"/>
        <v>#REF!</v>
      </c>
    </row>
    <row r="63" spans="1:31" ht="15" hidden="1" customHeight="1" x14ac:dyDescent="0.2">
      <c r="A63" s="611" t="s">
        <v>655</v>
      </c>
      <c r="B63" s="601" t="s">
        <v>656</v>
      </c>
      <c r="C63" s="611" t="s">
        <v>114</v>
      </c>
      <c r="D63" s="576">
        <f t="shared" si="50"/>
        <v>0</v>
      </c>
      <c r="E63" s="577" t="e">
        <f>V63+X63+Z63+AB63</f>
        <v>#REF!</v>
      </c>
      <c r="F63" s="577" t="e">
        <f t="shared" si="51"/>
        <v>#REF!</v>
      </c>
      <c r="G63" s="578"/>
      <c r="I63" s="584"/>
      <c r="J63" s="585"/>
      <c r="K63" s="537"/>
      <c r="L63" s="445" t="e">
        <f t="shared" si="52"/>
        <v>#REF!</v>
      </c>
      <c r="M63" s="542"/>
      <c r="N63" s="445" t="e">
        <f t="shared" si="53"/>
        <v>#REF!</v>
      </c>
      <c r="O63" s="542"/>
      <c r="P63" s="445" t="e">
        <f t="shared" si="54"/>
        <v>#REF!</v>
      </c>
      <c r="Q63" s="542"/>
      <c r="R63" s="445" t="e">
        <f t="shared" si="55"/>
        <v>#REF!</v>
      </c>
      <c r="S63" s="542"/>
      <c r="T63" s="445" t="e">
        <f t="shared" si="56"/>
        <v>#REF!</v>
      </c>
      <c r="V63" s="581" t="e">
        <f>+'2,2,6,3 Pilotes 0,60'!SUBTOTALMAT</f>
        <v>#REF!</v>
      </c>
      <c r="W63" s="582" t="e">
        <f t="shared" si="57"/>
        <v>#REF!</v>
      </c>
      <c r="X63" s="581">
        <f>'2,2,6,3 Pilotes 0,60'!I50</f>
        <v>22038.6</v>
      </c>
      <c r="Y63" s="582">
        <f t="shared" si="58"/>
        <v>0</v>
      </c>
      <c r="Z63" s="581">
        <f>+'2,2,6,3 Pilotes 0,60'!I30</f>
        <v>82634.570000000007</v>
      </c>
      <c r="AA63" s="582">
        <f t="shared" si="59"/>
        <v>0</v>
      </c>
      <c r="AB63" s="581">
        <f>+'2,2,6,3 Pilotes 0,60'!I41</f>
        <v>16000</v>
      </c>
      <c r="AC63" s="582">
        <f t="shared" si="60"/>
        <v>0</v>
      </c>
      <c r="AE63" s="769" t="e">
        <f t="shared" si="0"/>
        <v>#REF!</v>
      </c>
    </row>
    <row r="64" spans="1:31" ht="15" hidden="1" customHeight="1" x14ac:dyDescent="0.2">
      <c r="A64" s="611" t="s">
        <v>657</v>
      </c>
      <c r="B64" s="601" t="s">
        <v>658</v>
      </c>
      <c r="C64" s="611" t="s">
        <v>114</v>
      </c>
      <c r="D64" s="576">
        <f t="shared" si="50"/>
        <v>0</v>
      </c>
      <c r="E64" s="577" t="e">
        <f t="shared" si="37"/>
        <v>#REF!</v>
      </c>
      <c r="F64" s="577" t="e">
        <f t="shared" si="51"/>
        <v>#REF!</v>
      </c>
      <c r="G64" s="578"/>
      <c r="I64" s="584"/>
      <c r="J64" s="585"/>
      <c r="K64" s="537"/>
      <c r="L64" s="445" t="e">
        <f t="shared" si="52"/>
        <v>#REF!</v>
      </c>
      <c r="M64" s="542"/>
      <c r="N64" s="445" t="e">
        <f t="shared" si="53"/>
        <v>#REF!</v>
      </c>
      <c r="O64" s="542"/>
      <c r="P64" s="445" t="e">
        <f t="shared" si="54"/>
        <v>#REF!</v>
      </c>
      <c r="Q64" s="542"/>
      <c r="R64" s="445" t="e">
        <f t="shared" si="55"/>
        <v>#REF!</v>
      </c>
      <c r="S64" s="542"/>
      <c r="T64" s="445" t="e">
        <f t="shared" si="56"/>
        <v>#REF!</v>
      </c>
      <c r="V64" s="581" t="e">
        <f>+'2,2,6,4 Pilotes 0,80'!SUBTOTALMAT</f>
        <v>#REF!</v>
      </c>
      <c r="W64" s="582" t="e">
        <f t="shared" si="57"/>
        <v>#REF!</v>
      </c>
      <c r="X64" s="581">
        <f>'2,2,6,4 Pilotes 0,80'!I50</f>
        <v>22038.6</v>
      </c>
      <c r="Y64" s="582">
        <f t="shared" si="58"/>
        <v>0</v>
      </c>
      <c r="Z64" s="581">
        <f>+'2,2,6,4 Pilotes 0,80'!I30</f>
        <v>139496</v>
      </c>
      <c r="AA64" s="582">
        <f t="shared" si="59"/>
        <v>0</v>
      </c>
      <c r="AB64" s="581">
        <f>+'2,2,6,4 Pilotes 0,80'!I41</f>
        <v>29333.333333333332</v>
      </c>
      <c r="AC64" s="582">
        <f t="shared" si="60"/>
        <v>0</v>
      </c>
      <c r="AE64" s="769" t="e">
        <f t="shared" si="0"/>
        <v>#REF!</v>
      </c>
    </row>
    <row r="65" spans="1:31" ht="15" hidden="1" customHeight="1" x14ac:dyDescent="0.2">
      <c r="A65" s="611" t="s">
        <v>659</v>
      </c>
      <c r="B65" s="601" t="s">
        <v>660</v>
      </c>
      <c r="C65" s="611" t="s">
        <v>114</v>
      </c>
      <c r="D65" s="576">
        <f t="shared" si="50"/>
        <v>0</v>
      </c>
      <c r="E65" s="577" t="e">
        <f t="shared" si="37"/>
        <v>#REF!</v>
      </c>
      <c r="F65" s="577" t="e">
        <f t="shared" si="51"/>
        <v>#REF!</v>
      </c>
      <c r="G65" s="578"/>
      <c r="I65" s="584"/>
      <c r="J65" s="585"/>
      <c r="K65" s="537"/>
      <c r="L65" s="445" t="e">
        <f t="shared" si="52"/>
        <v>#REF!</v>
      </c>
      <c r="M65" s="542"/>
      <c r="N65" s="445" t="e">
        <f t="shared" si="53"/>
        <v>#REF!</v>
      </c>
      <c r="O65" s="542"/>
      <c r="P65" s="445" t="e">
        <f t="shared" si="54"/>
        <v>#REF!</v>
      </c>
      <c r="Q65" s="542"/>
      <c r="R65" s="445" t="e">
        <f t="shared" si="55"/>
        <v>#REF!</v>
      </c>
      <c r="S65" s="542"/>
      <c r="T65" s="445" t="e">
        <f t="shared" si="56"/>
        <v>#REF!</v>
      </c>
      <c r="V65" s="581" t="e">
        <f>+'2,2,6,5 Pilotes 0,90 '!SUBTOTALMAT</f>
        <v>#REF!</v>
      </c>
      <c r="W65" s="582" t="e">
        <f t="shared" si="57"/>
        <v>#REF!</v>
      </c>
      <c r="X65" s="581">
        <f>'2,2,6,5 Pilotes 0,90 '!I50</f>
        <v>22038.6</v>
      </c>
      <c r="Y65" s="582">
        <f t="shared" si="58"/>
        <v>0</v>
      </c>
      <c r="Z65" s="581">
        <f>+'2,2,6,5 Pilotes 0,90 '!I30</f>
        <v>186666</v>
      </c>
      <c r="AA65" s="582">
        <f t="shared" si="59"/>
        <v>0</v>
      </c>
      <c r="AB65" s="581">
        <f>+'2,2,6,5 Pilotes 0,90 '!I41</f>
        <v>37333.333333333328</v>
      </c>
      <c r="AC65" s="582">
        <f t="shared" si="60"/>
        <v>0</v>
      </c>
      <c r="AE65" s="769" t="e">
        <f t="shared" si="0"/>
        <v>#REF!</v>
      </c>
    </row>
    <row r="66" spans="1:31" ht="15" hidden="1" customHeight="1" x14ac:dyDescent="0.2">
      <c r="A66" s="611" t="s">
        <v>661</v>
      </c>
      <c r="B66" s="601" t="s">
        <v>662</v>
      </c>
      <c r="C66" s="611" t="s">
        <v>155</v>
      </c>
      <c r="D66" s="576">
        <f t="shared" si="50"/>
        <v>0</v>
      </c>
      <c r="E66" s="577" t="e">
        <f t="shared" si="37"/>
        <v>#REF!</v>
      </c>
      <c r="F66" s="577" t="e">
        <f t="shared" si="51"/>
        <v>#REF!</v>
      </c>
      <c r="G66" s="578"/>
      <c r="I66" s="584"/>
      <c r="J66" s="585" t="e">
        <f>+ROUND(E66*I66,10)</f>
        <v>#REF!</v>
      </c>
      <c r="K66" s="537"/>
      <c r="L66" s="445" t="e">
        <f t="shared" si="52"/>
        <v>#REF!</v>
      </c>
      <c r="M66" s="542"/>
      <c r="N66" s="445" t="e">
        <f t="shared" si="53"/>
        <v>#REF!</v>
      </c>
      <c r="O66" s="542"/>
      <c r="P66" s="445" t="e">
        <f t="shared" si="54"/>
        <v>#REF!</v>
      </c>
      <c r="Q66" s="542"/>
      <c r="R66" s="445" t="e">
        <f t="shared" si="55"/>
        <v>#REF!</v>
      </c>
      <c r="S66" s="542"/>
      <c r="T66" s="445" t="e">
        <f t="shared" si="56"/>
        <v>#REF!</v>
      </c>
      <c r="V66" s="581" t="e">
        <f>+'2,2,7 Dados en concreto'!I19</f>
        <v>#REF!</v>
      </c>
      <c r="W66" s="582" t="e">
        <f t="shared" si="57"/>
        <v>#REF!</v>
      </c>
      <c r="X66" s="581">
        <f>+'2,2,7 Dados en concreto'!I50</f>
        <v>144031.95000000001</v>
      </c>
      <c r="Y66" s="582">
        <f t="shared" si="58"/>
        <v>0</v>
      </c>
      <c r="Z66" s="581">
        <f>+'2,2,7 Dados en concreto'!I30</f>
        <v>6360</v>
      </c>
      <c r="AA66" s="582">
        <f t="shared" si="59"/>
        <v>0</v>
      </c>
      <c r="AB66" s="581">
        <f>+'2,2,7 Dados en concreto'!I41</f>
        <v>0</v>
      </c>
      <c r="AC66" s="582">
        <f t="shared" si="60"/>
        <v>0</v>
      </c>
      <c r="AE66" s="769" t="e">
        <f t="shared" si="0"/>
        <v>#REF!</v>
      </c>
    </row>
    <row r="67" spans="1:31" ht="15" hidden="1" customHeight="1" x14ac:dyDescent="0.2">
      <c r="A67" s="611" t="s">
        <v>663</v>
      </c>
      <c r="B67" s="601" t="s">
        <v>664</v>
      </c>
      <c r="C67" s="611" t="s">
        <v>130</v>
      </c>
      <c r="D67" s="576">
        <f t="shared" si="50"/>
        <v>0</v>
      </c>
      <c r="E67" s="577" t="e">
        <f t="shared" si="37"/>
        <v>#REF!</v>
      </c>
      <c r="F67" s="577" t="e">
        <f t="shared" si="51"/>
        <v>#REF!</v>
      </c>
      <c r="G67" s="578"/>
      <c r="I67" s="584"/>
      <c r="J67" s="585" t="e">
        <f>+ROUND(E67*I67,10)</f>
        <v>#REF!</v>
      </c>
      <c r="K67" s="537"/>
      <c r="L67" s="445" t="e">
        <f t="shared" si="52"/>
        <v>#REF!</v>
      </c>
      <c r="M67" s="542"/>
      <c r="N67" s="445" t="e">
        <f t="shared" si="53"/>
        <v>#REF!</v>
      </c>
      <c r="O67" s="542"/>
      <c r="P67" s="445" t="e">
        <f t="shared" si="54"/>
        <v>#REF!</v>
      </c>
      <c r="Q67" s="542"/>
      <c r="R67" s="445" t="e">
        <f t="shared" si="55"/>
        <v>#REF!</v>
      </c>
      <c r="S67" s="542"/>
      <c r="T67" s="445" t="e">
        <f t="shared" si="56"/>
        <v>#REF!</v>
      </c>
      <c r="V67" s="581" t="e">
        <f>+'2,2,8 Placa Flotante 0,60'!I17</f>
        <v>#REF!</v>
      </c>
      <c r="W67" s="582" t="e">
        <f t="shared" si="57"/>
        <v>#REF!</v>
      </c>
      <c r="X67" s="581">
        <f>+'2,2,8 Placa Flotante 0,60'!I47</f>
        <v>44091.41</v>
      </c>
      <c r="Y67" s="582">
        <f t="shared" si="58"/>
        <v>0</v>
      </c>
      <c r="Z67" s="581">
        <f>+'2,2,8 Placa Flotante 0,60'!I27</f>
        <v>2273.6999999999998</v>
      </c>
      <c r="AA67" s="582">
        <f t="shared" si="59"/>
        <v>0</v>
      </c>
      <c r="AB67" s="581">
        <f>+'2,2,8 Placa Flotante 0,60'!I38</f>
        <v>0</v>
      </c>
      <c r="AC67" s="582">
        <f t="shared" si="60"/>
        <v>0</v>
      </c>
      <c r="AE67" s="769" t="e">
        <f t="shared" si="0"/>
        <v>#REF!</v>
      </c>
    </row>
    <row r="68" spans="1:31" ht="15.75" customHeight="1" x14ac:dyDescent="0.2">
      <c r="A68" s="611" t="s">
        <v>665</v>
      </c>
      <c r="B68" s="601" t="s">
        <v>666</v>
      </c>
      <c r="C68" s="611" t="s">
        <v>130</v>
      </c>
      <c r="D68" s="576">
        <f t="shared" si="50"/>
        <v>438.86</v>
      </c>
      <c r="E68" s="577" t="e">
        <f t="shared" si="37"/>
        <v>#REF!</v>
      </c>
      <c r="F68" s="577" t="e">
        <f t="shared" si="51"/>
        <v>#REF!</v>
      </c>
      <c r="G68" s="578"/>
      <c r="I68" s="586"/>
      <c r="J68" s="585" t="e">
        <f>+ROUND(E68*I68,10)</f>
        <v>#REF!</v>
      </c>
      <c r="K68" s="537">
        <v>368.71</v>
      </c>
      <c r="L68" s="445" t="e">
        <f t="shared" si="52"/>
        <v>#REF!</v>
      </c>
      <c r="M68" s="542"/>
      <c r="N68" s="445" t="e">
        <f t="shared" si="53"/>
        <v>#REF!</v>
      </c>
      <c r="O68" s="542">
        <v>70.150000000000006</v>
      </c>
      <c r="P68" s="445" t="e">
        <f t="shared" si="54"/>
        <v>#REF!</v>
      </c>
      <c r="Q68" s="542"/>
      <c r="R68" s="445" t="e">
        <f t="shared" si="55"/>
        <v>#REF!</v>
      </c>
      <c r="S68" s="542"/>
      <c r="T68" s="445" t="e">
        <f t="shared" si="56"/>
        <v>#REF!</v>
      </c>
      <c r="V68" s="581" t="e">
        <f>+'2,2,9 Reposicion -Placa'!I19</f>
        <v>#REF!</v>
      </c>
      <c r="W68" s="582" t="e">
        <f t="shared" si="57"/>
        <v>#REF!</v>
      </c>
      <c r="X68" s="581">
        <f>+'2,2,9 Reposicion -Placa'!I50</f>
        <v>11370.94</v>
      </c>
      <c r="Y68" s="582">
        <f t="shared" si="58"/>
        <v>4990250.7284000004</v>
      </c>
      <c r="Z68" s="581">
        <f>+'2,2,9 Reposicion -Placa'!I30</f>
        <v>2385</v>
      </c>
      <c r="AA68" s="582">
        <f t="shared" si="59"/>
        <v>1046681.1</v>
      </c>
      <c r="AB68" s="581"/>
      <c r="AC68" s="582">
        <f t="shared" si="60"/>
        <v>0</v>
      </c>
      <c r="AE68" s="769" t="e">
        <f t="shared" si="0"/>
        <v>#REF!</v>
      </c>
    </row>
    <row r="69" spans="1:31" ht="15" hidden="1" customHeight="1" x14ac:dyDescent="0.2">
      <c r="A69" s="611" t="s">
        <v>667</v>
      </c>
      <c r="B69" s="601" t="s">
        <v>668</v>
      </c>
      <c r="C69" s="611" t="s">
        <v>130</v>
      </c>
      <c r="D69" s="576">
        <f>+I69+K69+M69+O69+Q69+S69</f>
        <v>0</v>
      </c>
      <c r="E69" s="577" t="e">
        <f>V69+X69+Z69+AB69</f>
        <v>#REF!</v>
      </c>
      <c r="F69" s="577" t="e">
        <f>ROUND(D69*E69,10)</f>
        <v>#REF!</v>
      </c>
      <c r="G69" s="578"/>
      <c r="I69" s="584"/>
      <c r="J69" s="585" t="e">
        <f>+ROUND(E69*I69,10)</f>
        <v>#REF!</v>
      </c>
      <c r="K69" s="537"/>
      <c r="L69" s="445" t="e">
        <f>+ROUND(E69*K69,10)</f>
        <v>#REF!</v>
      </c>
      <c r="M69" s="542"/>
      <c r="N69" s="445" t="e">
        <f>+ROUND(E69*M69,10)</f>
        <v>#REF!</v>
      </c>
      <c r="O69" s="542"/>
      <c r="P69" s="445" t="e">
        <f>+ROUND(E69*O69,10)</f>
        <v>#REF!</v>
      </c>
      <c r="Q69" s="542"/>
      <c r="R69" s="445" t="e">
        <f>+ROUND(E69*Q69,10)</f>
        <v>#REF!</v>
      </c>
      <c r="S69" s="542"/>
      <c r="T69" s="445" t="e">
        <f>+ROUND(E69*S69,10)</f>
        <v>#REF!</v>
      </c>
      <c r="V69" s="581" t="e">
        <f>+'2,2,10 Placas cont= 0,125'!I19</f>
        <v>#REF!</v>
      </c>
      <c r="W69" s="582" t="e">
        <f>ROUND(V69*$D69,10)</f>
        <v>#REF!</v>
      </c>
      <c r="X69" s="581">
        <f>+'2,2,10 Placas cont= 0,125'!I50</f>
        <v>11370.94</v>
      </c>
      <c r="Y69" s="582">
        <f>ROUND(X69*$D69,10)</f>
        <v>0</v>
      </c>
      <c r="Z69" s="581">
        <f>+'2,2,10 Placas cont= 0,125'!I30</f>
        <v>2385</v>
      </c>
      <c r="AA69" s="582">
        <f>ROUND(Z69*$D69,10)</f>
        <v>0</v>
      </c>
      <c r="AB69" s="581">
        <f>+'2,2,10 Placas cont= 0,125'!I41</f>
        <v>0</v>
      </c>
      <c r="AC69" s="582">
        <f>ROUND(AB69*$D69,10)</f>
        <v>0</v>
      </c>
      <c r="AE69" s="769" t="e">
        <f t="shared" si="0"/>
        <v>#REF!</v>
      </c>
    </row>
    <row r="70" spans="1:31" ht="15.75" hidden="1" customHeight="1" x14ac:dyDescent="0.2">
      <c r="A70" s="611" t="s">
        <v>669</v>
      </c>
      <c r="B70" s="601" t="s">
        <v>670</v>
      </c>
      <c r="C70" s="611" t="s">
        <v>130</v>
      </c>
      <c r="D70" s="576">
        <f t="shared" si="50"/>
        <v>0</v>
      </c>
      <c r="E70" s="577" t="e">
        <f t="shared" si="37"/>
        <v>#REF!</v>
      </c>
      <c r="F70" s="577" t="e">
        <f t="shared" si="51"/>
        <v>#REF!</v>
      </c>
      <c r="G70" s="578"/>
      <c r="I70" s="597"/>
      <c r="J70" s="598" t="e">
        <f>+ROUND(E70*I70,10)</f>
        <v>#REF!</v>
      </c>
      <c r="K70" s="537"/>
      <c r="L70" s="445" t="e">
        <f t="shared" si="52"/>
        <v>#REF!</v>
      </c>
      <c r="M70" s="542"/>
      <c r="N70" s="445" t="e">
        <f t="shared" si="53"/>
        <v>#REF!</v>
      </c>
      <c r="O70" s="542"/>
      <c r="P70" s="445" t="e">
        <f t="shared" si="54"/>
        <v>#REF!</v>
      </c>
      <c r="Q70" s="542"/>
      <c r="R70" s="445" t="e">
        <f t="shared" si="55"/>
        <v>#REF!</v>
      </c>
      <c r="S70" s="542"/>
      <c r="T70" s="445" t="e">
        <f t="shared" si="56"/>
        <v>#REF!</v>
      </c>
      <c r="V70" s="581" t="e">
        <f>+'2,2,11 Placas cont= 0,15'!I19</f>
        <v>#REF!</v>
      </c>
      <c r="W70" s="582" t="e">
        <f t="shared" si="57"/>
        <v>#REF!</v>
      </c>
      <c r="X70" s="581">
        <f>+'2,2,11 Placas cont= 0,15'!I50</f>
        <v>12002.66</v>
      </c>
      <c r="Y70" s="582">
        <f t="shared" si="58"/>
        <v>0</v>
      </c>
      <c r="Z70" s="581">
        <f>+'2,2,11 Placas cont= 0,15'!I30</f>
        <v>1749</v>
      </c>
      <c r="AA70" s="582">
        <f t="shared" si="59"/>
        <v>0</v>
      </c>
      <c r="AB70" s="581">
        <f>+'2,2,11 Placas cont= 0,15'!I41</f>
        <v>0</v>
      </c>
      <c r="AC70" s="582">
        <f t="shared" si="60"/>
        <v>0</v>
      </c>
      <c r="AE70" s="769" t="e">
        <f t="shared" si="0"/>
        <v>#REF!</v>
      </c>
    </row>
    <row r="71" spans="1:31" s="568" customFormat="1" ht="18" customHeight="1" x14ac:dyDescent="0.2">
      <c r="A71" s="572" t="s">
        <v>671</v>
      </c>
      <c r="B71" s="573" t="s">
        <v>672</v>
      </c>
      <c r="C71" s="846"/>
      <c r="D71" s="576"/>
      <c r="E71" s="180"/>
      <c r="F71" s="180" t="e">
        <f>+ROUND(SUM(F72:F74),10)</f>
        <v>#REF!</v>
      </c>
      <c r="G71" s="473"/>
      <c r="I71" s="613"/>
      <c r="J71" s="440" t="e">
        <f>ROUND(SUM(J72:J74),10)</f>
        <v>#REF!</v>
      </c>
      <c r="K71" s="537"/>
      <c r="L71" s="180" t="e">
        <f>ROUND(SUM(L72:L74),10)</f>
        <v>#REF!</v>
      </c>
      <c r="M71" s="542"/>
      <c r="N71" s="180" t="e">
        <f>ROUND(SUM(N72:N74),10)</f>
        <v>#REF!</v>
      </c>
      <c r="O71" s="542"/>
      <c r="P71" s="180" t="e">
        <f>ROUND(SUM(P72:P74),10)</f>
        <v>#REF!</v>
      </c>
      <c r="Q71" s="542"/>
      <c r="R71" s="180" t="e">
        <f>ROUND(SUM(R72:R74),10)</f>
        <v>#REF!</v>
      </c>
      <c r="S71" s="542"/>
      <c r="T71" s="180" t="e">
        <f>ROUND(SUM(T72:T74),10)</f>
        <v>#REF!</v>
      </c>
      <c r="V71" s="575"/>
      <c r="W71" s="570" t="e">
        <f>ROUND(SUM(W72:W74),10)</f>
        <v>#REF!</v>
      </c>
      <c r="X71" s="575"/>
      <c r="Y71" s="570" t="e">
        <f>ROUND(SUM(Y72:Y74),10)</f>
        <v>#REF!</v>
      </c>
      <c r="Z71" s="575"/>
      <c r="AA71" s="570" t="e">
        <f>ROUND(SUM(AA72:AA74),10)</f>
        <v>#REF!</v>
      </c>
      <c r="AB71" s="575"/>
      <c r="AC71" s="570">
        <f>ROUND(SUM(AC72:AC74),10)</f>
        <v>0</v>
      </c>
      <c r="AE71" s="769" t="e">
        <f t="shared" si="0"/>
        <v>#REF!</v>
      </c>
    </row>
    <row r="72" spans="1:31" ht="15" customHeight="1" x14ac:dyDescent="0.2">
      <c r="A72" s="611" t="s">
        <v>673</v>
      </c>
      <c r="B72" s="601" t="s">
        <v>674</v>
      </c>
      <c r="C72" s="611" t="s">
        <v>119</v>
      </c>
      <c r="D72" s="576">
        <f>+I72+K72+M72+O72+Q72+S72</f>
        <v>831.2</v>
      </c>
      <c r="E72" s="577" t="e">
        <f t="shared" si="37"/>
        <v>#REF!</v>
      </c>
      <c r="F72" s="577" t="e">
        <f>ROUND(D72*E72,10)</f>
        <v>#REF!</v>
      </c>
      <c r="G72" s="578"/>
      <c r="I72" s="594"/>
      <c r="J72" s="580" t="e">
        <f>+ROUND(E72*I72,10)</f>
        <v>#REF!</v>
      </c>
      <c r="K72" s="537">
        <f>831.2*PA</f>
        <v>327.26727540808002</v>
      </c>
      <c r="L72" s="445" t="e">
        <f>+ROUND(E72*K72,10)</f>
        <v>#REF!</v>
      </c>
      <c r="M72" s="537">
        <f>831.2*PL</f>
        <v>0</v>
      </c>
      <c r="N72" s="445" t="e">
        <f>+ROUND(E72*M72,10)</f>
        <v>#REF!</v>
      </c>
      <c r="O72" s="537">
        <f>831.2*PB</f>
        <v>53.801800141199998</v>
      </c>
      <c r="P72" s="445" t="e">
        <f>+ROUND(E72*O72,10)</f>
        <v>#REF!</v>
      </c>
      <c r="Q72" s="537">
        <f>831.2*PC</f>
        <v>194.33829624400002</v>
      </c>
      <c r="R72" s="445" t="e">
        <f>+ROUND(E72*Q72,10)</f>
        <v>#REF!</v>
      </c>
      <c r="S72" s="537">
        <f>831.2*PE</f>
        <v>255.79262820672002</v>
      </c>
      <c r="T72" s="445" t="e">
        <f>+ROUND(E72*S72,10)</f>
        <v>#REF!</v>
      </c>
      <c r="V72" s="581" t="e">
        <f>+'2,3,1 Acero 37000 '!I19</f>
        <v>#REF!</v>
      </c>
      <c r="W72" s="582" t="e">
        <f>ROUND(V72*$D72,10)</f>
        <v>#REF!</v>
      </c>
      <c r="X72" s="581">
        <f>+'2,3,1 Acero 37000 '!I50</f>
        <v>360.08</v>
      </c>
      <c r="Y72" s="582">
        <f>ROUND(X72*$D72,10)</f>
        <v>299298.49599999998</v>
      </c>
      <c r="Z72" s="581">
        <f>+'2,3,1 Acero 37000 '!I30</f>
        <v>20.61</v>
      </c>
      <c r="AA72" s="582">
        <f>ROUND(Z72*$D72,10)</f>
        <v>17131.031999999999</v>
      </c>
      <c r="AB72" s="581">
        <f>+'2,3,1 Acero 37000 '!I41</f>
        <v>0</v>
      </c>
      <c r="AC72" s="582">
        <f>ROUND(AB72*$D72,10)</f>
        <v>0</v>
      </c>
      <c r="AE72" s="769" t="e">
        <f t="shared" si="0"/>
        <v>#REF!</v>
      </c>
    </row>
    <row r="73" spans="1:31" ht="15" customHeight="1" x14ac:dyDescent="0.2">
      <c r="A73" s="611" t="s">
        <v>675</v>
      </c>
      <c r="B73" s="601" t="s">
        <v>676</v>
      </c>
      <c r="C73" s="611" t="s">
        <v>119</v>
      </c>
      <c r="D73" s="576">
        <f>+I73+K73+M73+O73+Q73+S73</f>
        <v>2707.11</v>
      </c>
      <c r="E73" s="577" t="e">
        <f t="shared" si="37"/>
        <v>#REF!</v>
      </c>
      <c r="F73" s="577" t="e">
        <f>ROUND(D73*E73,10)</f>
        <v>#REF!</v>
      </c>
      <c r="G73" s="578"/>
      <c r="I73" s="586"/>
      <c r="J73" s="585" t="e">
        <f>+ROUND(E73*I73,10)</f>
        <v>#REF!</v>
      </c>
      <c r="K73" s="537">
        <f>2707.11*PA</f>
        <v>1065.866835815649</v>
      </c>
      <c r="L73" s="445" t="e">
        <f>+ROUND(E73*K73,10)</f>
        <v>#REF!</v>
      </c>
      <c r="M73" s="537">
        <f>2707.11*PL</f>
        <v>0</v>
      </c>
      <c r="N73" s="445" t="e">
        <f>+ROUND(E73*M73,10)</f>
        <v>#REF!</v>
      </c>
      <c r="O73" s="537">
        <f>2707.11*PB</f>
        <v>175.22544655948499</v>
      </c>
      <c r="P73" s="445" t="e">
        <f>+ROUND(E73*O73,10)</f>
        <v>#REF!</v>
      </c>
      <c r="Q73" s="537">
        <f>2707.11*PC</f>
        <v>632.93448645945</v>
      </c>
      <c r="R73" s="445" t="e">
        <f>+ROUND(E73*Q73,10)</f>
        <v>#REF!</v>
      </c>
      <c r="S73" s="537">
        <f>2707.11*PE</f>
        <v>833.08323116541612</v>
      </c>
      <c r="T73" s="445" t="e">
        <f>+ROUND(E73*S73,10)</f>
        <v>#REF!</v>
      </c>
      <c r="V73" s="581" t="e">
        <f>+#REF!</f>
        <v>#REF!</v>
      </c>
      <c r="W73" s="582" t="e">
        <f>ROUND(V73*$D73,10)</f>
        <v>#REF!</v>
      </c>
      <c r="X73" s="581" t="e">
        <f>+#REF!</f>
        <v>#REF!</v>
      </c>
      <c r="Y73" s="582" t="e">
        <f>ROUND(X73*$D73,10)</f>
        <v>#REF!</v>
      </c>
      <c r="Z73" s="581" t="e">
        <f>+#REF!</f>
        <v>#REF!</v>
      </c>
      <c r="AA73" s="582" t="e">
        <f>ROUND(Z73*$D73,10)</f>
        <v>#REF!</v>
      </c>
      <c r="AB73" s="581"/>
      <c r="AC73" s="582">
        <f>ROUND(AB73*$D73,10)</f>
        <v>0</v>
      </c>
      <c r="AE73" s="769" t="e">
        <f t="shared" si="0"/>
        <v>#REF!</v>
      </c>
    </row>
    <row r="74" spans="1:31" ht="15.75" customHeight="1" x14ac:dyDescent="0.2">
      <c r="A74" s="611" t="s">
        <v>677</v>
      </c>
      <c r="B74" s="601" t="s">
        <v>678</v>
      </c>
      <c r="C74" s="611" t="s">
        <v>119</v>
      </c>
      <c r="D74" s="576">
        <f>+I74+K74+M74+O74+Q74+S74</f>
        <v>1312.19</v>
      </c>
      <c r="E74" s="577" t="e">
        <f t="shared" si="37"/>
        <v>#REF!</v>
      </c>
      <c r="F74" s="577" t="e">
        <f>ROUND(D74*E74,10)</f>
        <v>#REF!</v>
      </c>
      <c r="G74" s="578"/>
      <c r="I74" s="612"/>
      <c r="J74" s="598" t="e">
        <f>+ROUND(E74*I74,10)</f>
        <v>#REF!</v>
      </c>
      <c r="K74" s="537">
        <v>1102.44</v>
      </c>
      <c r="L74" s="445" t="e">
        <f>+ROUND(E74*K74,10)</f>
        <v>#REF!</v>
      </c>
      <c r="M74" s="542"/>
      <c r="N74" s="445" t="e">
        <f>+ROUND(E74*M74,10)</f>
        <v>#REF!</v>
      </c>
      <c r="O74" s="537">
        <v>209.75</v>
      </c>
      <c r="P74" s="445" t="e">
        <f>+ROUND(E74*O74,10)</f>
        <v>#REF!</v>
      </c>
      <c r="Q74" s="537"/>
      <c r="R74" s="445" t="e">
        <f>+ROUND(E74*Q74,10)</f>
        <v>#REF!</v>
      </c>
      <c r="S74" s="537"/>
      <c r="T74" s="445" t="e">
        <f>+ROUND(E74*S74,10)</f>
        <v>#REF!</v>
      </c>
      <c r="V74" s="581" t="e">
        <f>+#REF!</f>
        <v>#REF!</v>
      </c>
      <c r="W74" s="582" t="e">
        <f>ROUND(V74*$D74,10)</f>
        <v>#REF!</v>
      </c>
      <c r="X74" s="581" t="e">
        <f>+#REF!</f>
        <v>#REF!</v>
      </c>
      <c r="Y74" s="582" t="e">
        <f>ROUND(X74*$D74,10)</f>
        <v>#REF!</v>
      </c>
      <c r="Z74" s="581" t="e">
        <f>+#REF!</f>
        <v>#REF!</v>
      </c>
      <c r="AA74" s="582" t="e">
        <f>ROUND(Z74*$D74,10)</f>
        <v>#REF!</v>
      </c>
      <c r="AB74" s="581"/>
      <c r="AC74" s="582">
        <f>ROUND(AB74*$D74,10)</f>
        <v>0</v>
      </c>
      <c r="AE74" s="769" t="e">
        <f t="shared" si="0"/>
        <v>#REF!</v>
      </c>
    </row>
    <row r="75" spans="1:31" s="568" customFormat="1" ht="18" hidden="1" customHeight="1" x14ac:dyDescent="0.2">
      <c r="A75" s="572" t="s">
        <v>679</v>
      </c>
      <c r="B75" s="573" t="s">
        <v>598</v>
      </c>
      <c r="C75" s="846"/>
      <c r="D75" s="576"/>
      <c r="E75" s="180"/>
      <c r="F75" s="180" t="e">
        <f>+ROUND(SUM(F76:F79),10)</f>
        <v>#REF!</v>
      </c>
      <c r="G75" s="473"/>
      <c r="I75" s="613"/>
      <c r="J75" s="440" t="e">
        <f>ROUND(SUM(J76:J79),10)</f>
        <v>#REF!</v>
      </c>
      <c r="K75" s="537"/>
      <c r="L75" s="180" t="e">
        <f>ROUND(SUM(L76:L79),10)</f>
        <v>#REF!</v>
      </c>
      <c r="M75" s="542"/>
      <c r="N75" s="180" t="e">
        <f>ROUND(SUM(N76:N79),10)</f>
        <v>#REF!</v>
      </c>
      <c r="O75" s="542"/>
      <c r="P75" s="180" t="e">
        <f>ROUND(SUM(P76:P79),10)</f>
        <v>#REF!</v>
      </c>
      <c r="Q75" s="542"/>
      <c r="R75" s="180" t="e">
        <f>ROUND(SUM(R76:R79),10)</f>
        <v>#REF!</v>
      </c>
      <c r="S75" s="542"/>
      <c r="T75" s="180" t="e">
        <f>ROUND(SUM(T76:T79),10)</f>
        <v>#REF!</v>
      </c>
      <c r="V75" s="575"/>
      <c r="W75" s="570" t="e">
        <f>ROUND(SUM(W76:W79),10)</f>
        <v>#REF!</v>
      </c>
      <c r="X75" s="575"/>
      <c r="Y75" s="570">
        <f>ROUND(SUM(Y76:Y79),10)</f>
        <v>0</v>
      </c>
      <c r="Z75" s="575"/>
      <c r="AA75" s="570">
        <f>ROUND(SUM(AA76:AA79),10)</f>
        <v>0</v>
      </c>
      <c r="AB75" s="575"/>
      <c r="AC75" s="570">
        <f>ROUND(SUM(AC76:AC79),10)</f>
        <v>0</v>
      </c>
      <c r="AE75" s="769" t="e">
        <f t="shared" si="0"/>
        <v>#REF!</v>
      </c>
    </row>
    <row r="76" spans="1:31" ht="15" hidden="1" customHeight="1" x14ac:dyDescent="0.2">
      <c r="A76" s="611" t="s">
        <v>680</v>
      </c>
      <c r="B76" s="601" t="s">
        <v>681</v>
      </c>
      <c r="C76" s="611" t="s">
        <v>155</v>
      </c>
      <c r="D76" s="576">
        <f>+I76+K76+M76+O76+Q76+S76</f>
        <v>0</v>
      </c>
      <c r="E76" s="577" t="e">
        <f t="shared" si="37"/>
        <v>#REF!</v>
      </c>
      <c r="F76" s="577" t="e">
        <f>ROUND(D76*E76,10)</f>
        <v>#REF!</v>
      </c>
      <c r="G76" s="578"/>
      <c r="I76" s="594"/>
      <c r="J76" s="580" t="e">
        <f>+ROUND(E76*I76,10)</f>
        <v>#REF!</v>
      </c>
      <c r="K76" s="537"/>
      <c r="L76" s="445" t="e">
        <f>+ROUND(E76*K76,10)</f>
        <v>#REF!</v>
      </c>
      <c r="M76" s="542"/>
      <c r="N76" s="445" t="e">
        <f>+ROUND(E76*M76,10)</f>
        <v>#REF!</v>
      </c>
      <c r="O76" s="542"/>
      <c r="P76" s="445" t="e">
        <f>+ROUND(E76*O76,10)</f>
        <v>#REF!</v>
      </c>
      <c r="Q76" s="542"/>
      <c r="R76" s="445" t="e">
        <f>+ROUND(E76*Q76,10)</f>
        <v>#REF!</v>
      </c>
      <c r="S76" s="542"/>
      <c r="T76" s="445" t="e">
        <f>+ROUND(E76*S76,10)</f>
        <v>#REF!</v>
      </c>
      <c r="V76" s="581" t="e">
        <f>+'2,4,1 Gaviones'!I19</f>
        <v>#REF!</v>
      </c>
      <c r="W76" s="582" t="e">
        <f>ROUND(V76*$D76,10)</f>
        <v>#REF!</v>
      </c>
      <c r="X76" s="581">
        <f>+'2,4,1 Gaviones'!I50</f>
        <v>135029.95000000001</v>
      </c>
      <c r="Y76" s="582">
        <f>ROUND(X76*$D76,10)</f>
        <v>0</v>
      </c>
      <c r="Z76" s="581">
        <f>+'2,4,1 Gaviones'!I30</f>
        <v>3710</v>
      </c>
      <c r="AA76" s="582">
        <f>ROUND(Z76*$D76,10)</f>
        <v>0</v>
      </c>
      <c r="AB76" s="581">
        <f>+'2,4,1 Gaviones'!I41</f>
        <v>0</v>
      </c>
      <c r="AC76" s="582">
        <f>ROUND(AB76*$D76,10)</f>
        <v>0</v>
      </c>
      <c r="AE76" s="769" t="e">
        <f t="shared" ref="AE76:AE139" si="61">SUM(AC76,AA76,Y76,W76)-SUM(T76,R76,P76,N76,L76)</f>
        <v>#REF!</v>
      </c>
    </row>
    <row r="77" spans="1:31" ht="15" hidden="1" customHeight="1" x14ac:dyDescent="0.2">
      <c r="A77" s="611" t="s">
        <v>682</v>
      </c>
      <c r="B77" s="601" t="s">
        <v>683</v>
      </c>
      <c r="C77" s="611" t="s">
        <v>114</v>
      </c>
      <c r="D77" s="576">
        <f>+I77+K77+M77+O77+Q77+S77</f>
        <v>0</v>
      </c>
      <c r="E77" s="577" t="e">
        <f t="shared" si="37"/>
        <v>#REF!</v>
      </c>
      <c r="F77" s="577" t="e">
        <f>ROUND(D77*E77,10)</f>
        <v>#REF!</v>
      </c>
      <c r="G77" s="578"/>
      <c r="I77" s="584"/>
      <c r="J77" s="585" t="e">
        <f>+ROUND(E77*I77,10)</f>
        <v>#REF!</v>
      </c>
      <c r="K77" s="537"/>
      <c r="L77" s="445" t="e">
        <f>+ROUND(E77*K77,10)</f>
        <v>#REF!</v>
      </c>
      <c r="M77" s="542"/>
      <c r="N77" s="445" t="e">
        <f>+ROUND(E77*M77,10)</f>
        <v>#REF!</v>
      </c>
      <c r="O77" s="542"/>
      <c r="P77" s="445" t="e">
        <f>+ROUND(E77*O77,10)</f>
        <v>#REF!</v>
      </c>
      <c r="Q77" s="542"/>
      <c r="R77" s="445" t="e">
        <f>+ROUND(E77*Q77,10)</f>
        <v>#REF!</v>
      </c>
      <c r="S77" s="542"/>
      <c r="T77" s="445" t="e">
        <f>+ROUND(E77*S77,10)</f>
        <v>#REF!</v>
      </c>
      <c r="V77" s="581" t="e">
        <f>+'2,4,2 Cajon aislamiento vigas'!I17</f>
        <v>#REF!</v>
      </c>
      <c r="W77" s="582" t="e">
        <f>ROUND(V77*$D77,10)</f>
        <v>#REF!</v>
      </c>
      <c r="X77" s="581">
        <f>+'2,4,2 Cajon aislamiento vigas'!I47</f>
        <v>8641.92</v>
      </c>
      <c r="Y77" s="582">
        <f>ROUND(X77*$D77,10)</f>
        <v>0</v>
      </c>
      <c r="Z77" s="581">
        <f>+'2,4,2 Cajon aislamiento vigas'!I27</f>
        <v>132.5</v>
      </c>
      <c r="AA77" s="582">
        <f>ROUND(Z77*$D77,10)</f>
        <v>0</v>
      </c>
      <c r="AB77" s="581">
        <f>+'2,4,2 Cajon aislamiento vigas'!I38</f>
        <v>0</v>
      </c>
      <c r="AC77" s="582">
        <f>ROUND(AB77*$D77,10)</f>
        <v>0</v>
      </c>
      <c r="AE77" s="769" t="e">
        <f t="shared" si="61"/>
        <v>#REF!</v>
      </c>
    </row>
    <row r="78" spans="1:31" ht="15" hidden="1" customHeight="1" x14ac:dyDescent="0.2">
      <c r="A78" s="611" t="s">
        <v>684</v>
      </c>
      <c r="B78" s="601" t="s">
        <v>685</v>
      </c>
      <c r="C78" s="611" t="s">
        <v>130</v>
      </c>
      <c r="D78" s="576">
        <f>+I78+K78+M78+O78+Q78+S78</f>
        <v>0</v>
      </c>
      <c r="E78" s="577" t="e">
        <f t="shared" si="37"/>
        <v>#REF!</v>
      </c>
      <c r="F78" s="577" t="e">
        <f>ROUND(D78*E78,10)</f>
        <v>#REF!</v>
      </c>
      <c r="G78" s="578"/>
      <c r="I78" s="584"/>
      <c r="J78" s="585" t="e">
        <f>+ROUND(E78*I78,10)</f>
        <v>#REF!</v>
      </c>
      <c r="K78" s="537"/>
      <c r="L78" s="445" t="e">
        <f>+ROUND(E78*K78,10)</f>
        <v>#REF!</v>
      </c>
      <c r="M78" s="542"/>
      <c r="N78" s="445" t="e">
        <f>+ROUND(E78*M78,10)</f>
        <v>#REF!</v>
      </c>
      <c r="O78" s="542"/>
      <c r="P78" s="445" t="e">
        <f>+ROUND(E78*O78,10)</f>
        <v>#REF!</v>
      </c>
      <c r="Q78" s="542"/>
      <c r="R78" s="445" t="e">
        <f>+ROUND(E78*Q78,10)</f>
        <v>#REF!</v>
      </c>
      <c r="S78" s="542"/>
      <c r="T78" s="445" t="e">
        <f>+ROUND(E78*S78,10)</f>
        <v>#REF!</v>
      </c>
      <c r="V78" s="581" t="e">
        <f>+'2,4,3 Icopor Aislante ciment. '!I17</f>
        <v>#REF!</v>
      </c>
      <c r="W78" s="582" t="e">
        <f>ROUND(V78*$D78,10)</f>
        <v>#REF!</v>
      </c>
      <c r="X78" s="581">
        <f>+'2,4,3 Icopor Aislante ciment. '!I47</f>
        <v>4320.96</v>
      </c>
      <c r="Y78" s="582">
        <f>ROUND(X78*$D78,10)</f>
        <v>0</v>
      </c>
      <c r="Z78" s="581">
        <f>+'2,4,3 Icopor Aislante ciment. '!I27</f>
        <v>132.5</v>
      </c>
      <c r="AA78" s="582">
        <f>ROUND(Z78*$D78,10)</f>
        <v>0</v>
      </c>
      <c r="AB78" s="581">
        <f>+'2,4,3 Icopor Aislante ciment. '!I38</f>
        <v>0</v>
      </c>
      <c r="AC78" s="582">
        <f>ROUND(AB78*$D78,10)</f>
        <v>0</v>
      </c>
      <c r="AE78" s="769" t="e">
        <f t="shared" si="61"/>
        <v>#REF!</v>
      </c>
    </row>
    <row r="79" spans="1:31" ht="15" hidden="1" customHeight="1" thickBot="1" x14ac:dyDescent="0.25">
      <c r="A79" s="611" t="s">
        <v>686</v>
      </c>
      <c r="B79" s="601" t="s">
        <v>687</v>
      </c>
      <c r="C79" s="611" t="s">
        <v>130</v>
      </c>
      <c r="D79" s="576">
        <f>+I79+K79+M79+O79+Q79+S79</f>
        <v>0</v>
      </c>
      <c r="E79" s="577" t="e">
        <f t="shared" si="37"/>
        <v>#REF!</v>
      </c>
      <c r="F79" s="577" t="e">
        <f>ROUND(D79*E79,10)</f>
        <v>#REF!</v>
      </c>
      <c r="G79" s="578"/>
      <c r="I79" s="602"/>
      <c r="J79" s="603" t="e">
        <f>+ROUND(E79*I79,10)</f>
        <v>#REF!</v>
      </c>
      <c r="K79" s="537"/>
      <c r="L79" s="445" t="e">
        <f>+ROUND(E79*K79,10)</f>
        <v>#REF!</v>
      </c>
      <c r="M79" s="542"/>
      <c r="N79" s="445" t="e">
        <f>+ROUND(E79*M79,10)</f>
        <v>#REF!</v>
      </c>
      <c r="O79" s="542"/>
      <c r="P79" s="445" t="e">
        <f>+ROUND(E79*O79,10)</f>
        <v>#REF!</v>
      </c>
      <c r="Q79" s="542"/>
      <c r="R79" s="445" t="e">
        <f>+ROUND(E79*Q79,10)</f>
        <v>#REF!</v>
      </c>
      <c r="S79" s="542"/>
      <c r="T79" s="445" t="e">
        <f>+ROUND(E79*S79,10)</f>
        <v>#REF!</v>
      </c>
      <c r="V79" s="581" t="e">
        <f>+'2,4,4 Pañete Taludes '!I19</f>
        <v>#REF!</v>
      </c>
      <c r="W79" s="582" t="e">
        <f>ROUND(V79*$D79,10)</f>
        <v>#REF!</v>
      </c>
      <c r="X79" s="581">
        <f>+'2,4,4 Pañete Taludes '!I50</f>
        <v>7316.65</v>
      </c>
      <c r="Y79" s="582">
        <f>ROUND(X79*$D79,10)</f>
        <v>0</v>
      </c>
      <c r="Z79" s="581">
        <f>+'2,4,4 Pañete Taludes '!I30</f>
        <v>111.3</v>
      </c>
      <c r="AA79" s="582">
        <f>ROUND(Z79*$D79,10)</f>
        <v>0</v>
      </c>
      <c r="AB79" s="581">
        <f>+'2,4,4 Pañete Taludes '!I41</f>
        <v>0</v>
      </c>
      <c r="AC79" s="582">
        <f>ROUND(AB79*$D79,10)</f>
        <v>0</v>
      </c>
      <c r="AE79" s="769" t="e">
        <f t="shared" si="61"/>
        <v>#REF!</v>
      </c>
    </row>
    <row r="80" spans="1:31" ht="6" customHeight="1" thickBot="1" x14ac:dyDescent="0.25">
      <c r="A80" s="910"/>
      <c r="B80" s="911"/>
      <c r="C80" s="910"/>
      <c r="G80" s="174"/>
      <c r="I80" s="604"/>
      <c r="J80" s="604"/>
      <c r="K80" s="605"/>
      <c r="L80" s="604"/>
      <c r="M80" s="606"/>
      <c r="N80" s="604"/>
      <c r="O80" s="606"/>
      <c r="P80" s="604"/>
      <c r="Q80" s="606"/>
      <c r="R80" s="604"/>
      <c r="S80" s="606"/>
      <c r="T80" s="604"/>
      <c r="V80" s="615"/>
      <c r="W80" s="615"/>
      <c r="X80" s="615"/>
      <c r="Y80" s="615"/>
      <c r="Z80" s="615"/>
      <c r="AA80" s="615"/>
      <c r="AB80" s="615"/>
      <c r="AC80" s="615"/>
      <c r="AE80" s="769"/>
    </row>
    <row r="81" spans="1:31" s="571" customFormat="1" ht="30" customHeight="1" thickTop="1" thickBot="1" x14ac:dyDescent="0.25">
      <c r="A81" s="564">
        <v>3</v>
      </c>
      <c r="B81" s="1045" t="s">
        <v>688</v>
      </c>
      <c r="C81" s="1045"/>
      <c r="D81" s="1045"/>
      <c r="E81" s="1045"/>
      <c r="F81" s="1045"/>
      <c r="G81" s="180" t="e">
        <f>+ROUND(+F82+F89+F96+F103+F113+F119,10)</f>
        <v>#REF!</v>
      </c>
      <c r="H81" s="568"/>
      <c r="I81" s="616"/>
      <c r="J81" s="439" t="e">
        <f>+ROUND(J82+J89+J96+J103+J113+J119,10)</f>
        <v>#REF!</v>
      </c>
      <c r="K81" s="617"/>
      <c r="L81" s="180" t="e">
        <f>+ROUND(L82+L89+L96+L103+L113+L119,10)</f>
        <v>#REF!</v>
      </c>
      <c r="M81" s="180"/>
      <c r="N81" s="180" t="e">
        <f>+ROUND(N82+N89+N96+N103+N113+N119,10)</f>
        <v>#REF!</v>
      </c>
      <c r="O81" s="180"/>
      <c r="P81" s="180" t="e">
        <f>+ROUND(P82+P89+P96+P103+P113+P119,10)</f>
        <v>#REF!</v>
      </c>
      <c r="Q81" s="180"/>
      <c r="R81" s="180" t="e">
        <f>+ROUND(R82+R89+R96+R103+R113+R119,10)</f>
        <v>#REF!</v>
      </c>
      <c r="S81" s="180"/>
      <c r="T81" s="180" t="e">
        <f>+ROUND(T82+T89+T96+T103+T113+T119,10)</f>
        <v>#REF!</v>
      </c>
      <c r="U81" s="568"/>
      <c r="V81" s="569" t="e">
        <f>W81/$G$81</f>
        <v>#REF!</v>
      </c>
      <c r="W81" s="570" t="e">
        <f>ROUND(W82+W89+W96+W103+W113+W119,10)</f>
        <v>#REF!</v>
      </c>
      <c r="X81" s="569" t="e">
        <f>Y81/$G$81</f>
        <v>#REF!</v>
      </c>
      <c r="Y81" s="570" t="e">
        <f>ROUND(Y82+Y89+Y96+Y103+Y113+Y119,10)</f>
        <v>#REF!</v>
      </c>
      <c r="Z81" s="569" t="e">
        <f>AA81/$G$81</f>
        <v>#REF!</v>
      </c>
      <c r="AA81" s="570" t="e">
        <f>ROUND(AA82+AA89+AA96+AA103+AA113+AA119,10)</f>
        <v>#REF!</v>
      </c>
      <c r="AB81" s="569" t="e">
        <f>AC81/$G$81</f>
        <v>#REF!</v>
      </c>
      <c r="AC81" s="570" t="e">
        <f>ROUND(AC82+AC89+AC96+AC103+AC113+AC119,10)</f>
        <v>#REF!</v>
      </c>
      <c r="AE81" s="769" t="e">
        <f t="shared" si="61"/>
        <v>#REF!</v>
      </c>
    </row>
    <row r="82" spans="1:31" s="571" customFormat="1" ht="18" customHeight="1" thickTop="1" x14ac:dyDescent="0.2">
      <c r="A82" s="572" t="s">
        <v>689</v>
      </c>
      <c r="B82" s="573" t="s">
        <v>690</v>
      </c>
      <c r="C82" s="846"/>
      <c r="D82" s="576"/>
      <c r="E82" s="180"/>
      <c r="F82" s="180" t="e">
        <f>+ROUND(SUM(F83:F88),10)</f>
        <v>#REF!</v>
      </c>
      <c r="G82" s="473"/>
      <c r="H82" s="568"/>
      <c r="I82" s="618"/>
      <c r="J82" s="439" t="e">
        <f>ROUND(SUM(J83:J88),10)</f>
        <v>#REF!</v>
      </c>
      <c r="K82" s="539"/>
      <c r="L82" s="180" t="e">
        <f>ROUND(SUM(L83:L88),10)</f>
        <v>#REF!</v>
      </c>
      <c r="M82" s="544"/>
      <c r="N82" s="180" t="e">
        <f>ROUND(SUM(N83:N88),10)</f>
        <v>#REF!</v>
      </c>
      <c r="O82" s="544"/>
      <c r="P82" s="180" t="e">
        <f>ROUND(SUM(P83:P88),10)</f>
        <v>#REF!</v>
      </c>
      <c r="Q82" s="544"/>
      <c r="R82" s="180" t="e">
        <f>ROUND(SUM(R83:R88),10)</f>
        <v>#REF!</v>
      </c>
      <c r="S82" s="544"/>
      <c r="T82" s="180" t="e">
        <f>ROUND(SUM(T83:T88),10)</f>
        <v>#REF!</v>
      </c>
      <c r="U82" s="568"/>
      <c r="V82" s="575"/>
      <c r="W82" s="570" t="e">
        <f>ROUND(SUM(W83:W88),10)</f>
        <v>#REF!</v>
      </c>
      <c r="X82" s="575"/>
      <c r="Y82" s="570" t="e">
        <f>ROUND(SUM(Y83:Y88),10)</f>
        <v>#REF!</v>
      </c>
      <c r="Z82" s="575"/>
      <c r="AA82" s="570" t="e">
        <f>ROUND(SUM(AA83:AA88),10)</f>
        <v>#REF!</v>
      </c>
      <c r="AB82" s="575"/>
      <c r="AC82" s="570" t="e">
        <f>ROUND(SUM(AC83:AC88),10)</f>
        <v>#REF!</v>
      </c>
      <c r="AE82" s="769" t="e">
        <f t="shared" si="61"/>
        <v>#REF!</v>
      </c>
    </row>
    <row r="83" spans="1:31" ht="15" hidden="1" customHeight="1" x14ac:dyDescent="0.2">
      <c r="A83" s="627" t="s">
        <v>691</v>
      </c>
      <c r="B83" s="610" t="s">
        <v>692</v>
      </c>
      <c r="C83" s="611" t="s">
        <v>114</v>
      </c>
      <c r="D83" s="576">
        <f t="shared" ref="D83:D88" si="62">+I83+K83+M83+O83+Q83+S83</f>
        <v>0</v>
      </c>
      <c r="E83" s="577" t="e">
        <f t="shared" ref="E83:E120" si="63">V83+X83+Z83+AB83</f>
        <v>#REF!</v>
      </c>
      <c r="F83" s="577" t="e">
        <f t="shared" ref="F83:F88" si="64">ROUND(D83*E83,10)</f>
        <v>#REF!</v>
      </c>
      <c r="G83" s="578"/>
      <c r="I83" s="594"/>
      <c r="J83" s="580" t="e">
        <f t="shared" ref="J83:J88" si="65">+ROUND(E83*I83,10)</f>
        <v>#REF!</v>
      </c>
      <c r="K83" s="538"/>
      <c r="L83" s="445" t="e">
        <f t="shared" ref="L83:L88" si="66">+ROUND(E83*K83,10)</f>
        <v>#REF!</v>
      </c>
      <c r="M83" s="542"/>
      <c r="N83" s="445" t="e">
        <f t="shared" ref="N83:N88" si="67">+ROUND(E83*M83,10)</f>
        <v>#REF!</v>
      </c>
      <c r="O83" s="542"/>
      <c r="P83" s="445" t="e">
        <f t="shared" ref="P83:P88" si="68">+ROUND(E83*O83,10)</f>
        <v>#REF!</v>
      </c>
      <c r="Q83" s="542"/>
      <c r="R83" s="445" t="e">
        <f t="shared" ref="R83:R88" si="69">+ROUND(E83*Q83,10)</f>
        <v>#REF!</v>
      </c>
      <c r="S83" s="542"/>
      <c r="T83" s="445" t="e">
        <f t="shared" ref="T83:T88" si="70">+ROUND(E83*S83,10)</f>
        <v>#REF!</v>
      </c>
      <c r="V83" s="581" t="e">
        <f>+'3,1,1 Novafort A.LL. 4" 110mm '!I19</f>
        <v>#REF!</v>
      </c>
      <c r="W83" s="582" t="e">
        <f t="shared" ref="W83:W88" si="71">ROUND(V83*$D83,10)</f>
        <v>#REF!</v>
      </c>
      <c r="X83" s="581">
        <f>+'3,1,1 Novafort A.LL. 4" 110mm '!I50</f>
        <v>13804.82</v>
      </c>
      <c r="Y83" s="582">
        <f t="shared" ref="Y83:Y88" si="72">ROUND(X83*$D83,10)</f>
        <v>0</v>
      </c>
      <c r="Z83" s="581">
        <f>+'3,1,1 Novafort A.LL. 4" 110mm '!I30</f>
        <v>3375.26</v>
      </c>
      <c r="AA83" s="582">
        <f t="shared" ref="AA83:AA88" si="73">ROUND(Z83*$D83,10)</f>
        <v>0</v>
      </c>
      <c r="AB83" s="581">
        <f>+'3,1,1 Novafort A.LL. 4" 110mm '!I41</f>
        <v>0</v>
      </c>
      <c r="AC83" s="582">
        <f t="shared" ref="AC83:AC88" si="74">ROUND(AB83*$D83,10)</f>
        <v>0</v>
      </c>
      <c r="AE83" s="769" t="e">
        <f t="shared" si="61"/>
        <v>#REF!</v>
      </c>
    </row>
    <row r="84" spans="1:31" ht="15" customHeight="1" x14ac:dyDescent="0.2">
      <c r="A84" s="627" t="s">
        <v>693</v>
      </c>
      <c r="B84" s="610" t="s">
        <v>694</v>
      </c>
      <c r="C84" s="611" t="s">
        <v>114</v>
      </c>
      <c r="D84" s="576">
        <f t="shared" si="62"/>
        <v>78.7</v>
      </c>
      <c r="E84" s="577" t="e">
        <f t="shared" si="63"/>
        <v>#REF!</v>
      </c>
      <c r="F84" s="577" t="e">
        <f t="shared" si="64"/>
        <v>#REF!</v>
      </c>
      <c r="G84" s="578"/>
      <c r="I84" s="584"/>
      <c r="J84" s="585" t="e">
        <f t="shared" si="65"/>
        <v>#REF!</v>
      </c>
      <c r="K84" s="537"/>
      <c r="L84" s="445" t="e">
        <f t="shared" si="66"/>
        <v>#REF!</v>
      </c>
      <c r="M84" s="542"/>
      <c r="N84" s="445" t="e">
        <f t="shared" si="67"/>
        <v>#REF!</v>
      </c>
      <c r="O84" s="542"/>
      <c r="P84" s="445" t="e">
        <f t="shared" si="68"/>
        <v>#REF!</v>
      </c>
      <c r="Q84" s="542">
        <v>78.7</v>
      </c>
      <c r="R84" s="445" t="e">
        <f t="shared" si="69"/>
        <v>#REF!</v>
      </c>
      <c r="S84" s="542"/>
      <c r="T84" s="445" t="e">
        <f t="shared" si="70"/>
        <v>#REF!</v>
      </c>
      <c r="V84" s="581" t="e">
        <f>+#REF!</f>
        <v>#REF!</v>
      </c>
      <c r="W84" s="582" t="e">
        <f t="shared" si="71"/>
        <v>#REF!</v>
      </c>
      <c r="X84" s="581" t="e">
        <f>+#REF!</f>
        <v>#REF!</v>
      </c>
      <c r="Y84" s="582" t="e">
        <f t="shared" si="72"/>
        <v>#REF!</v>
      </c>
      <c r="Z84" s="581" t="e">
        <f>+#REF!</f>
        <v>#REF!</v>
      </c>
      <c r="AA84" s="582" t="e">
        <f t="shared" si="73"/>
        <v>#REF!</v>
      </c>
      <c r="AB84" s="581" t="e">
        <f>+#REF!</f>
        <v>#REF!</v>
      </c>
      <c r="AC84" s="582" t="e">
        <f t="shared" si="74"/>
        <v>#REF!</v>
      </c>
      <c r="AE84" s="769" t="e">
        <f t="shared" si="61"/>
        <v>#REF!</v>
      </c>
    </row>
    <row r="85" spans="1:31" ht="15" hidden="1" customHeight="1" x14ac:dyDescent="0.2">
      <c r="A85" s="627" t="s">
        <v>695</v>
      </c>
      <c r="B85" s="610" t="s">
        <v>696</v>
      </c>
      <c r="C85" s="611" t="s">
        <v>114</v>
      </c>
      <c r="D85" s="576">
        <f t="shared" si="62"/>
        <v>0</v>
      </c>
      <c r="E85" s="577" t="e">
        <f t="shared" si="63"/>
        <v>#REF!</v>
      </c>
      <c r="F85" s="577" t="e">
        <f t="shared" si="64"/>
        <v>#REF!</v>
      </c>
      <c r="G85" s="578"/>
      <c r="I85" s="584"/>
      <c r="J85" s="585" t="e">
        <f t="shared" si="65"/>
        <v>#REF!</v>
      </c>
      <c r="K85" s="537"/>
      <c r="L85" s="445" t="e">
        <f t="shared" si="66"/>
        <v>#REF!</v>
      </c>
      <c r="M85" s="542"/>
      <c r="N85" s="445" t="e">
        <f t="shared" si="67"/>
        <v>#REF!</v>
      </c>
      <c r="O85" s="542"/>
      <c r="P85" s="445" t="e">
        <f t="shared" si="68"/>
        <v>#REF!</v>
      </c>
      <c r="Q85" s="542"/>
      <c r="R85" s="445" t="e">
        <f t="shared" si="69"/>
        <v>#REF!</v>
      </c>
      <c r="S85" s="542"/>
      <c r="T85" s="445" t="e">
        <f t="shared" si="70"/>
        <v>#REF!</v>
      </c>
      <c r="V85" s="581" t="e">
        <f>+'3,1,3 Novafort A.LL 8"200 mm   '!I19</f>
        <v>#REF!</v>
      </c>
      <c r="W85" s="582" t="e">
        <f t="shared" si="71"/>
        <v>#REF!</v>
      </c>
      <c r="X85" s="581">
        <f>+'3,1,3 Novafort A.LL 8"200 mm   '!I50</f>
        <v>13804.82</v>
      </c>
      <c r="Y85" s="582">
        <f t="shared" si="72"/>
        <v>0</v>
      </c>
      <c r="Z85" s="581">
        <f>+'3,1,3 Novafort A.LL 8"200 mm   '!I30</f>
        <v>3375.26</v>
      </c>
      <c r="AA85" s="582">
        <f t="shared" si="73"/>
        <v>0</v>
      </c>
      <c r="AB85" s="581">
        <f>+'3,1,3 Novafort A.LL 8"200 mm   '!I41</f>
        <v>0</v>
      </c>
      <c r="AC85" s="582">
        <f t="shared" si="74"/>
        <v>0</v>
      </c>
      <c r="AE85" s="769" t="e">
        <f t="shared" si="61"/>
        <v>#REF!</v>
      </c>
    </row>
    <row r="86" spans="1:31" ht="15" hidden="1" customHeight="1" x14ac:dyDescent="0.2">
      <c r="A86" s="627" t="s">
        <v>697</v>
      </c>
      <c r="B86" s="610" t="s">
        <v>698</v>
      </c>
      <c r="C86" s="611" t="s">
        <v>111</v>
      </c>
      <c r="D86" s="576">
        <f t="shared" si="62"/>
        <v>0</v>
      </c>
      <c r="E86" s="577" t="e">
        <f>V86+X86+Z86+AB86</f>
        <v>#REF!</v>
      </c>
      <c r="F86" s="577" t="e">
        <f t="shared" si="64"/>
        <v>#REF!</v>
      </c>
      <c r="G86" s="578"/>
      <c r="I86" s="584"/>
      <c r="J86" s="585" t="e">
        <f t="shared" si="65"/>
        <v>#REF!</v>
      </c>
      <c r="K86" s="537"/>
      <c r="L86" s="445" t="e">
        <f t="shared" si="66"/>
        <v>#REF!</v>
      </c>
      <c r="M86" s="542"/>
      <c r="N86" s="445" t="e">
        <f t="shared" si="67"/>
        <v>#REF!</v>
      </c>
      <c r="O86" s="542"/>
      <c r="P86" s="445" t="e">
        <f t="shared" si="68"/>
        <v>#REF!</v>
      </c>
      <c r="Q86" s="542"/>
      <c r="R86" s="445" t="e">
        <f t="shared" si="69"/>
        <v>#REF!</v>
      </c>
      <c r="S86" s="542"/>
      <c r="T86" s="445" t="e">
        <f t="shared" si="70"/>
        <v>#REF!</v>
      </c>
      <c r="V86" s="581" t="e">
        <f>+'3,1,4 Novafort 10"A.LL. 255mm '!I19</f>
        <v>#REF!</v>
      </c>
      <c r="W86" s="582" t="e">
        <f t="shared" si="71"/>
        <v>#REF!</v>
      </c>
      <c r="X86" s="581">
        <f>+'3,1,4 Novafort 10"A.LL. 255mm '!I50</f>
        <v>14417</v>
      </c>
      <c r="Y86" s="582">
        <f t="shared" si="72"/>
        <v>0</v>
      </c>
      <c r="Z86" s="581">
        <f>+'3,1,4 Novafort 10"A.LL. 255mm '!I30</f>
        <v>3375.26</v>
      </c>
      <c r="AA86" s="582">
        <f t="shared" si="73"/>
        <v>0</v>
      </c>
      <c r="AB86" s="581">
        <f>+'3,1,4 Novafort 10"A.LL. 255mm '!I41</f>
        <v>0</v>
      </c>
      <c r="AC86" s="582">
        <f t="shared" si="74"/>
        <v>0</v>
      </c>
      <c r="AE86" s="769" t="e">
        <f t="shared" si="61"/>
        <v>#REF!</v>
      </c>
    </row>
    <row r="87" spans="1:31" ht="15.75" hidden="1" customHeight="1" x14ac:dyDescent="0.2">
      <c r="A87" s="627" t="s">
        <v>699</v>
      </c>
      <c r="B87" s="610" t="s">
        <v>700</v>
      </c>
      <c r="C87" s="611" t="s">
        <v>111</v>
      </c>
      <c r="D87" s="576">
        <f t="shared" si="62"/>
        <v>0</v>
      </c>
      <c r="E87" s="577" t="e">
        <f t="shared" si="63"/>
        <v>#REF!</v>
      </c>
      <c r="F87" s="577" t="e">
        <f t="shared" si="64"/>
        <v>#REF!</v>
      </c>
      <c r="G87" s="578"/>
      <c r="I87" s="584"/>
      <c r="J87" s="585" t="e">
        <f t="shared" si="65"/>
        <v>#REF!</v>
      </c>
      <c r="K87" s="537"/>
      <c r="L87" s="445" t="e">
        <f t="shared" si="66"/>
        <v>#REF!</v>
      </c>
      <c r="M87" s="542"/>
      <c r="N87" s="445" t="e">
        <f t="shared" si="67"/>
        <v>#REF!</v>
      </c>
      <c r="O87" s="542"/>
      <c r="P87" s="445" t="e">
        <f t="shared" si="68"/>
        <v>#REF!</v>
      </c>
      <c r="Q87" s="542"/>
      <c r="R87" s="445" t="e">
        <f t="shared" si="69"/>
        <v>#REF!</v>
      </c>
      <c r="S87" s="542"/>
      <c r="T87" s="445" t="e">
        <f t="shared" si="70"/>
        <v>#REF!</v>
      </c>
      <c r="V87" s="581" t="e">
        <f>+'3,1,5 Novafort A.LL.12" 315mm  '!I19</f>
        <v>#REF!</v>
      </c>
      <c r="W87" s="582" t="e">
        <f t="shared" si="71"/>
        <v>#REF!</v>
      </c>
      <c r="X87" s="581">
        <f>+'3,1,5 Novafort A.LL.12" 315mm  '!I50</f>
        <v>17295.150000000001</v>
      </c>
      <c r="Y87" s="582">
        <f t="shared" si="72"/>
        <v>0</v>
      </c>
      <c r="Z87" s="581">
        <f>+'3,1,5 Novafort A.LL.12" 315mm  '!I30</f>
        <v>3375.26</v>
      </c>
      <c r="AA87" s="582">
        <f t="shared" si="73"/>
        <v>0</v>
      </c>
      <c r="AB87" s="581">
        <f>+'3,1,5 Novafort A.LL.12" 315mm  '!I41</f>
        <v>0</v>
      </c>
      <c r="AC87" s="582">
        <f t="shared" si="74"/>
        <v>0</v>
      </c>
      <c r="AE87" s="769" t="e">
        <f t="shared" si="61"/>
        <v>#REF!</v>
      </c>
    </row>
    <row r="88" spans="1:31" ht="15.75" hidden="1" customHeight="1" x14ac:dyDescent="0.2">
      <c r="A88" s="627" t="s">
        <v>701</v>
      </c>
      <c r="B88" s="610" t="s">
        <v>702</v>
      </c>
      <c r="C88" s="611" t="s">
        <v>111</v>
      </c>
      <c r="D88" s="576">
        <f t="shared" si="62"/>
        <v>0</v>
      </c>
      <c r="E88" s="577" t="e">
        <f t="shared" si="63"/>
        <v>#REF!</v>
      </c>
      <c r="F88" s="577" t="e">
        <f t="shared" si="64"/>
        <v>#REF!</v>
      </c>
      <c r="G88" s="578"/>
      <c r="I88" s="597"/>
      <c r="J88" s="598" t="e">
        <f t="shared" si="65"/>
        <v>#REF!</v>
      </c>
      <c r="K88" s="537"/>
      <c r="L88" s="445" t="e">
        <f t="shared" si="66"/>
        <v>#REF!</v>
      </c>
      <c r="M88" s="542"/>
      <c r="N88" s="445" t="e">
        <f t="shared" si="67"/>
        <v>#REF!</v>
      </c>
      <c r="O88" s="542"/>
      <c r="P88" s="445" t="e">
        <f t="shared" si="68"/>
        <v>#REF!</v>
      </c>
      <c r="Q88" s="542"/>
      <c r="R88" s="445" t="e">
        <f t="shared" si="69"/>
        <v>#REF!</v>
      </c>
      <c r="S88" s="542"/>
      <c r="T88" s="445" t="e">
        <f t="shared" si="70"/>
        <v>#REF!</v>
      </c>
      <c r="V88" s="581" t="e">
        <f>+'3,1,6  Acc. Novafort. A.LL'!I19</f>
        <v>#REF!</v>
      </c>
      <c r="W88" s="582" t="e">
        <f t="shared" si="71"/>
        <v>#REF!</v>
      </c>
      <c r="X88" s="581">
        <f>+'3,1,6  Acc. Novafort. A.LL'!I50</f>
        <v>5234.25</v>
      </c>
      <c r="Y88" s="582">
        <f t="shared" si="72"/>
        <v>0</v>
      </c>
      <c r="Z88" s="581">
        <f>+'3,1,6  Acc. Novafort. A.LL'!I30</f>
        <v>97.63</v>
      </c>
      <c r="AA88" s="582">
        <f t="shared" si="73"/>
        <v>0</v>
      </c>
      <c r="AB88" s="581">
        <f>+'3,1,6  Acc. Novafort. A.LL'!I41</f>
        <v>0</v>
      </c>
      <c r="AC88" s="582">
        <f t="shared" si="74"/>
        <v>0</v>
      </c>
      <c r="AE88" s="769" t="e">
        <f t="shared" si="61"/>
        <v>#REF!</v>
      </c>
    </row>
    <row r="89" spans="1:31" s="568" customFormat="1" ht="18" customHeight="1" x14ac:dyDescent="0.2">
      <c r="A89" s="572" t="s">
        <v>703</v>
      </c>
      <c r="B89" s="573" t="s">
        <v>704</v>
      </c>
      <c r="C89" s="846"/>
      <c r="D89" s="576"/>
      <c r="E89" s="577"/>
      <c r="F89" s="180" t="e">
        <f>+ROUND(SUM(F90:F95),10)</f>
        <v>#REF!</v>
      </c>
      <c r="G89" s="473"/>
      <c r="I89" s="621"/>
      <c r="J89" s="440" t="e">
        <f>ROUND(SUM(J90:J95),10)</f>
        <v>#REF!</v>
      </c>
      <c r="K89" s="539"/>
      <c r="L89" s="180" t="e">
        <f>ROUND(SUM(L90:L95),10)</f>
        <v>#REF!</v>
      </c>
      <c r="M89" s="544"/>
      <c r="N89" s="180" t="e">
        <f>ROUND(SUM(N90:N95),10)</f>
        <v>#REF!</v>
      </c>
      <c r="O89" s="544"/>
      <c r="P89" s="180" t="e">
        <f>ROUND(SUM(P90:P95),10)</f>
        <v>#REF!</v>
      </c>
      <c r="Q89" s="544"/>
      <c r="R89" s="180" t="e">
        <f>ROUND(SUM(R90:R95),10)</f>
        <v>#REF!</v>
      </c>
      <c r="S89" s="544"/>
      <c r="T89" s="180" t="e">
        <f>ROUND(SUM(T90:T95),10)</f>
        <v>#REF!</v>
      </c>
      <c r="V89" s="575"/>
      <c r="W89" s="570" t="e">
        <f>ROUND(SUM(W90:W95),10)</f>
        <v>#REF!</v>
      </c>
      <c r="X89" s="575"/>
      <c r="Y89" s="570" t="e">
        <f>ROUND(SUM(Y90:Y95),10)</f>
        <v>#REF!</v>
      </c>
      <c r="Z89" s="575"/>
      <c r="AA89" s="570" t="e">
        <f>ROUND(SUM(AA90:AA95),10)</f>
        <v>#REF!</v>
      </c>
      <c r="AB89" s="575"/>
      <c r="AC89" s="570" t="e">
        <f>ROUND(SUM(AC90:AC95),10)</f>
        <v>#REF!</v>
      </c>
      <c r="AE89" s="769" t="e">
        <f t="shared" si="61"/>
        <v>#REF!</v>
      </c>
    </row>
    <row r="90" spans="1:31" ht="15" customHeight="1" x14ac:dyDescent="0.2">
      <c r="A90" s="611" t="s">
        <v>705</v>
      </c>
      <c r="B90" s="601" t="s">
        <v>706</v>
      </c>
      <c r="C90" s="611" t="s">
        <v>114</v>
      </c>
      <c r="D90" s="576">
        <f t="shared" ref="D90:D95" si="75">+I90+K90+M90+O90+Q90+S90</f>
        <v>22.8</v>
      </c>
      <c r="E90" s="577" t="e">
        <f t="shared" si="63"/>
        <v>#REF!</v>
      </c>
      <c r="F90" s="577" t="e">
        <f t="shared" ref="F90:F95" si="76">ROUND(D90*E90,10)</f>
        <v>#REF!</v>
      </c>
      <c r="G90" s="578"/>
      <c r="I90" s="594"/>
      <c r="J90" s="580" t="e">
        <f t="shared" ref="J90:J95" si="77">+ROUND(E90*I90,10)</f>
        <v>#REF!</v>
      </c>
      <c r="K90" s="537"/>
      <c r="L90" s="445" t="e">
        <f t="shared" ref="L90:L95" si="78">+ROUND(E90*K90,10)</f>
        <v>#REF!</v>
      </c>
      <c r="M90" s="542"/>
      <c r="N90" s="445" t="e">
        <f t="shared" ref="N90:N95" si="79">+ROUND(E90*M90,10)</f>
        <v>#REF!</v>
      </c>
      <c r="O90" s="542"/>
      <c r="P90" s="445" t="e">
        <f t="shared" ref="P90:P95" si="80">+ROUND(E90*O90,10)</f>
        <v>#REF!</v>
      </c>
      <c r="Q90" s="542">
        <v>22.8</v>
      </c>
      <c r="R90" s="445" t="e">
        <f t="shared" ref="R90:R95" si="81">+ROUND(E90*Q90,10)</f>
        <v>#REF!</v>
      </c>
      <c r="S90" s="542"/>
      <c r="T90" s="445" t="e">
        <f t="shared" ref="T90:T95" si="82">+ROUND(E90*S90,10)</f>
        <v>#REF!</v>
      </c>
      <c r="V90" s="581" t="e">
        <f>+#REF!</f>
        <v>#REF!</v>
      </c>
      <c r="W90" s="582" t="e">
        <f t="shared" ref="W90:W95" si="83">ROUND(V90*$D90,10)</f>
        <v>#REF!</v>
      </c>
      <c r="X90" s="581" t="e">
        <f>+#REF!</f>
        <v>#REF!</v>
      </c>
      <c r="Y90" s="582" t="e">
        <f t="shared" ref="Y90:Y95" si="84">ROUND(X90*$D90,10)</f>
        <v>#REF!</v>
      </c>
      <c r="Z90" s="581" t="e">
        <f>+#REF!</f>
        <v>#REF!</v>
      </c>
      <c r="AA90" s="582" t="e">
        <f t="shared" ref="AA90:AA95" si="85">ROUND(Z90*$D90,10)</f>
        <v>#REF!</v>
      </c>
      <c r="AB90" s="581" t="e">
        <f>+#REF!</f>
        <v>#REF!</v>
      </c>
      <c r="AC90" s="582" t="e">
        <f t="shared" ref="AC90:AC95" si="86">ROUND(AB90*$D90,10)</f>
        <v>#REF!</v>
      </c>
      <c r="AE90" s="769" t="e">
        <f t="shared" si="61"/>
        <v>#REF!</v>
      </c>
    </row>
    <row r="91" spans="1:31" ht="15" customHeight="1" x14ac:dyDescent="0.2">
      <c r="A91" s="611" t="s">
        <v>707</v>
      </c>
      <c r="B91" s="601" t="s">
        <v>708</v>
      </c>
      <c r="C91" s="611" t="s">
        <v>114</v>
      </c>
      <c r="D91" s="576">
        <f t="shared" si="75"/>
        <v>174.5</v>
      </c>
      <c r="E91" s="577" t="e">
        <f t="shared" si="63"/>
        <v>#REF!</v>
      </c>
      <c r="F91" s="577" t="e">
        <f t="shared" si="76"/>
        <v>#REF!</v>
      </c>
      <c r="G91" s="578"/>
      <c r="I91" s="584"/>
      <c r="J91" s="585" t="e">
        <f t="shared" si="77"/>
        <v>#REF!</v>
      </c>
      <c r="K91" s="537"/>
      <c r="L91" s="445" t="e">
        <f t="shared" si="78"/>
        <v>#REF!</v>
      </c>
      <c r="M91" s="542"/>
      <c r="N91" s="445" t="e">
        <f t="shared" si="79"/>
        <v>#REF!</v>
      </c>
      <c r="O91" s="542"/>
      <c r="P91" s="445" t="e">
        <f t="shared" si="80"/>
        <v>#REF!</v>
      </c>
      <c r="Q91" s="542">
        <v>174.5</v>
      </c>
      <c r="R91" s="445" t="e">
        <f t="shared" si="81"/>
        <v>#REF!</v>
      </c>
      <c r="S91" s="542"/>
      <c r="T91" s="445" t="e">
        <f t="shared" si="82"/>
        <v>#REF!</v>
      </c>
      <c r="V91" s="581" t="e">
        <f>+#REF!</f>
        <v>#REF!</v>
      </c>
      <c r="W91" s="582" t="e">
        <f t="shared" si="83"/>
        <v>#REF!</v>
      </c>
      <c r="X91" s="581" t="e">
        <f>+#REF!</f>
        <v>#REF!</v>
      </c>
      <c r="Y91" s="582" t="e">
        <f t="shared" si="84"/>
        <v>#REF!</v>
      </c>
      <c r="Z91" s="581" t="e">
        <f>+#REF!</f>
        <v>#REF!</v>
      </c>
      <c r="AA91" s="582" t="e">
        <f t="shared" si="85"/>
        <v>#REF!</v>
      </c>
      <c r="AB91" s="581" t="e">
        <f>+#REF!</f>
        <v>#REF!</v>
      </c>
      <c r="AC91" s="582" t="e">
        <f t="shared" si="86"/>
        <v>#REF!</v>
      </c>
      <c r="AE91" s="769" t="e">
        <f t="shared" si="61"/>
        <v>#REF!</v>
      </c>
    </row>
    <row r="92" spans="1:31" ht="15" hidden="1" customHeight="1" x14ac:dyDescent="0.2">
      <c r="A92" s="611" t="s">
        <v>709</v>
      </c>
      <c r="B92" s="601" t="s">
        <v>710</v>
      </c>
      <c r="C92" s="611" t="s">
        <v>114</v>
      </c>
      <c r="D92" s="576">
        <f t="shared" si="75"/>
        <v>0</v>
      </c>
      <c r="E92" s="577" t="e">
        <f t="shared" si="63"/>
        <v>#REF!</v>
      </c>
      <c r="F92" s="577" t="e">
        <f t="shared" si="76"/>
        <v>#REF!</v>
      </c>
      <c r="G92" s="578"/>
      <c r="I92" s="584"/>
      <c r="J92" s="585" t="e">
        <f t="shared" si="77"/>
        <v>#REF!</v>
      </c>
      <c r="K92" s="537"/>
      <c r="L92" s="445" t="e">
        <f t="shared" si="78"/>
        <v>#REF!</v>
      </c>
      <c r="M92" s="542"/>
      <c r="N92" s="445" t="e">
        <f t="shared" si="79"/>
        <v>#REF!</v>
      </c>
      <c r="O92" s="542"/>
      <c r="P92" s="445" t="e">
        <f t="shared" si="80"/>
        <v>#REF!</v>
      </c>
      <c r="Q92" s="542"/>
      <c r="R92" s="445" t="e">
        <f t="shared" si="81"/>
        <v>#REF!</v>
      </c>
      <c r="S92" s="542"/>
      <c r="T92" s="445" t="e">
        <f t="shared" si="82"/>
        <v>#REF!</v>
      </c>
      <c r="V92" s="581" t="e">
        <f>+'3,2,3 Novafort A.N. 8"200 mm'!I19</f>
        <v>#REF!</v>
      </c>
      <c r="W92" s="582" t="e">
        <f t="shared" si="83"/>
        <v>#REF!</v>
      </c>
      <c r="X92" s="581">
        <f>+'3,2,3 Novafort A.N. 8"200 mm'!I50</f>
        <v>13804.82</v>
      </c>
      <c r="Y92" s="582">
        <f t="shared" si="84"/>
        <v>0</v>
      </c>
      <c r="Z92" s="581">
        <f>+'3,2,3 Novafort A.N. 8"200 mm'!I30</f>
        <v>3375.26</v>
      </c>
      <c r="AA92" s="582">
        <f t="shared" si="85"/>
        <v>0</v>
      </c>
      <c r="AB92" s="581">
        <f>+'3,2,3 Novafort A.N. 8"200 mm'!I41</f>
        <v>0</v>
      </c>
      <c r="AC92" s="582">
        <f t="shared" si="86"/>
        <v>0</v>
      </c>
      <c r="AE92" s="769" t="e">
        <f t="shared" si="61"/>
        <v>#REF!</v>
      </c>
    </row>
    <row r="93" spans="1:31" ht="15" hidden="1" customHeight="1" x14ac:dyDescent="0.2">
      <c r="A93" s="611" t="s">
        <v>711</v>
      </c>
      <c r="B93" s="601" t="s">
        <v>712</v>
      </c>
      <c r="C93" s="611" t="s">
        <v>111</v>
      </c>
      <c r="D93" s="576">
        <f t="shared" si="75"/>
        <v>0</v>
      </c>
      <c r="E93" s="577" t="e">
        <f t="shared" si="63"/>
        <v>#REF!</v>
      </c>
      <c r="F93" s="577" t="e">
        <f t="shared" si="76"/>
        <v>#REF!</v>
      </c>
      <c r="G93" s="578"/>
      <c r="I93" s="584"/>
      <c r="J93" s="585" t="e">
        <f t="shared" si="77"/>
        <v>#REF!</v>
      </c>
      <c r="K93" s="537"/>
      <c r="L93" s="445" t="e">
        <f t="shared" si="78"/>
        <v>#REF!</v>
      </c>
      <c r="M93" s="542"/>
      <c r="N93" s="445" t="e">
        <f t="shared" si="79"/>
        <v>#REF!</v>
      </c>
      <c r="O93" s="542"/>
      <c r="P93" s="445" t="e">
        <f t="shared" si="80"/>
        <v>#REF!</v>
      </c>
      <c r="Q93" s="542"/>
      <c r="R93" s="445" t="e">
        <f t="shared" si="81"/>
        <v>#REF!</v>
      </c>
      <c r="S93" s="542"/>
      <c r="T93" s="445" t="e">
        <f t="shared" si="82"/>
        <v>#REF!</v>
      </c>
      <c r="V93" s="581" t="e">
        <f>+'3,2,4 Novafort 10"A.N. 255 mm'!I19</f>
        <v>#REF!</v>
      </c>
      <c r="W93" s="582" t="e">
        <f t="shared" si="83"/>
        <v>#REF!</v>
      </c>
      <c r="X93" s="581">
        <f>+'3,2,4 Novafort 10"A.N. 255 mm'!I50</f>
        <v>14417</v>
      </c>
      <c r="Y93" s="582">
        <f t="shared" si="84"/>
        <v>0</v>
      </c>
      <c r="Z93" s="581">
        <f>+'3,2,4 Novafort 10"A.N. 255 mm'!I30</f>
        <v>3375.26</v>
      </c>
      <c r="AA93" s="582">
        <f t="shared" si="85"/>
        <v>0</v>
      </c>
      <c r="AB93" s="581">
        <f>+'3,2,4 Novafort 10"A.N. 255 mm'!I41</f>
        <v>0</v>
      </c>
      <c r="AC93" s="582">
        <f t="shared" si="86"/>
        <v>0</v>
      </c>
      <c r="AE93" s="769" t="e">
        <f t="shared" si="61"/>
        <v>#REF!</v>
      </c>
    </row>
    <row r="94" spans="1:31" ht="15" hidden="1" customHeight="1" x14ac:dyDescent="0.2">
      <c r="A94" s="611" t="s">
        <v>713</v>
      </c>
      <c r="B94" s="601" t="s">
        <v>714</v>
      </c>
      <c r="C94" s="611" t="s">
        <v>111</v>
      </c>
      <c r="D94" s="576">
        <f t="shared" si="75"/>
        <v>0</v>
      </c>
      <c r="E94" s="577" t="e">
        <f t="shared" si="63"/>
        <v>#REF!</v>
      </c>
      <c r="F94" s="577" t="e">
        <f t="shared" si="76"/>
        <v>#REF!</v>
      </c>
      <c r="G94" s="578"/>
      <c r="I94" s="584"/>
      <c r="J94" s="585" t="e">
        <f t="shared" si="77"/>
        <v>#REF!</v>
      </c>
      <c r="K94" s="537"/>
      <c r="L94" s="445" t="e">
        <f t="shared" si="78"/>
        <v>#REF!</v>
      </c>
      <c r="M94" s="542"/>
      <c r="N94" s="445" t="e">
        <f t="shared" si="79"/>
        <v>#REF!</v>
      </c>
      <c r="O94" s="542"/>
      <c r="P94" s="445" t="e">
        <f t="shared" si="80"/>
        <v>#REF!</v>
      </c>
      <c r="Q94" s="542"/>
      <c r="R94" s="445" t="e">
        <f t="shared" si="81"/>
        <v>#REF!</v>
      </c>
      <c r="S94" s="542"/>
      <c r="T94" s="445" t="e">
        <f t="shared" si="82"/>
        <v>#REF!</v>
      </c>
      <c r="V94" s="581" t="e">
        <f>+'3,2,5 Novafort A.N.12" 315mm'!I19</f>
        <v>#REF!</v>
      </c>
      <c r="W94" s="582" t="e">
        <f t="shared" si="83"/>
        <v>#REF!</v>
      </c>
      <c r="X94" s="581">
        <f>+'3,2,5 Novafort A.N.12" 315mm'!I50</f>
        <v>17295.150000000001</v>
      </c>
      <c r="Y94" s="582">
        <f t="shared" si="84"/>
        <v>0</v>
      </c>
      <c r="Z94" s="581">
        <f>+'3,2,5 Novafort A.N.12" 315mm'!I30</f>
        <v>3375.26</v>
      </c>
      <c r="AA94" s="582">
        <f t="shared" si="85"/>
        <v>0</v>
      </c>
      <c r="AB94" s="581">
        <f>+'3,2,5 Novafort A.N.12" 315mm'!I41</f>
        <v>0</v>
      </c>
      <c r="AC94" s="582">
        <f t="shared" si="86"/>
        <v>0</v>
      </c>
      <c r="AE94" s="769" t="e">
        <f t="shared" si="61"/>
        <v>#REF!</v>
      </c>
    </row>
    <row r="95" spans="1:31" ht="15.75" hidden="1" customHeight="1" x14ac:dyDescent="0.2">
      <c r="A95" s="611" t="s">
        <v>715</v>
      </c>
      <c r="B95" s="601" t="s">
        <v>716</v>
      </c>
      <c r="C95" s="611" t="s">
        <v>111</v>
      </c>
      <c r="D95" s="576">
        <f t="shared" si="75"/>
        <v>0</v>
      </c>
      <c r="E95" s="577" t="e">
        <f t="shared" si="63"/>
        <v>#REF!</v>
      </c>
      <c r="F95" s="577" t="e">
        <f t="shared" si="76"/>
        <v>#REF!</v>
      </c>
      <c r="G95" s="578"/>
      <c r="I95" s="597"/>
      <c r="J95" s="598" t="e">
        <f t="shared" si="77"/>
        <v>#REF!</v>
      </c>
      <c r="K95" s="537"/>
      <c r="L95" s="445" t="e">
        <f t="shared" si="78"/>
        <v>#REF!</v>
      </c>
      <c r="M95" s="542"/>
      <c r="N95" s="445" t="e">
        <f t="shared" si="79"/>
        <v>#REF!</v>
      </c>
      <c r="O95" s="542"/>
      <c r="P95" s="445" t="e">
        <f t="shared" si="80"/>
        <v>#REF!</v>
      </c>
      <c r="Q95" s="542"/>
      <c r="R95" s="445" t="e">
        <f t="shared" si="81"/>
        <v>#REF!</v>
      </c>
      <c r="S95" s="542"/>
      <c r="T95" s="445" t="e">
        <f t="shared" si="82"/>
        <v>#REF!</v>
      </c>
      <c r="V95" s="581" t="e">
        <f>+'3,2,6  Acc. Novafort. A.N.'!I19</f>
        <v>#REF!</v>
      </c>
      <c r="W95" s="582" t="e">
        <f t="shared" si="83"/>
        <v>#REF!</v>
      </c>
      <c r="X95" s="581">
        <f>+'3,2,6  Acc. Novafort. A.N.'!I50</f>
        <v>5234.25</v>
      </c>
      <c r="Y95" s="582">
        <f t="shared" si="84"/>
        <v>0</v>
      </c>
      <c r="Z95" s="581">
        <f>+'3,2,6  Acc. Novafort. A.N.'!I30</f>
        <v>97.63</v>
      </c>
      <c r="AA95" s="582">
        <f t="shared" si="85"/>
        <v>0</v>
      </c>
      <c r="AB95" s="581">
        <f>+'3,2,6  Acc. Novafort. A.N.'!I41</f>
        <v>0</v>
      </c>
      <c r="AC95" s="582">
        <f t="shared" si="86"/>
        <v>0</v>
      </c>
      <c r="AE95" s="769" t="e">
        <f t="shared" si="61"/>
        <v>#REF!</v>
      </c>
    </row>
    <row r="96" spans="1:31" s="568" customFormat="1" ht="18" hidden="1" customHeight="1" x14ac:dyDescent="0.2">
      <c r="A96" s="572" t="s">
        <v>717</v>
      </c>
      <c r="B96" s="573" t="s">
        <v>718</v>
      </c>
      <c r="C96" s="846"/>
      <c r="D96" s="576"/>
      <c r="E96" s="577"/>
      <c r="F96" s="180" t="e">
        <f>+ROUND(SUM(F97:F102),10)</f>
        <v>#REF!</v>
      </c>
      <c r="G96" s="473"/>
      <c r="I96" s="621"/>
      <c r="J96" s="440" t="e">
        <f>ROUND(SUM(J97:J101),10)</f>
        <v>#REF!</v>
      </c>
      <c r="K96" s="539"/>
      <c r="L96" s="180" t="e">
        <f>ROUND(SUM(L97:N102),10)</f>
        <v>#REF!</v>
      </c>
      <c r="M96" s="544"/>
      <c r="N96" s="180" t="e">
        <f>ROUND(SUM(N97:N101),10)</f>
        <v>#REF!</v>
      </c>
      <c r="O96" s="544"/>
      <c r="P96" s="180" t="e">
        <f>ROUND(SUM(P97:P102),10)</f>
        <v>#REF!</v>
      </c>
      <c r="Q96" s="544"/>
      <c r="R96" s="180" t="e">
        <f>ROUND(SUM(R97:R102),10)</f>
        <v>#REF!</v>
      </c>
      <c r="S96" s="544"/>
      <c r="T96" s="180" t="e">
        <f>ROUND(SUM(T97:T102),10)</f>
        <v>#REF!</v>
      </c>
      <c r="V96" s="575"/>
      <c r="W96" s="570" t="e">
        <f>ROUND(SUM(W97:W102),10)</f>
        <v>#REF!</v>
      </c>
      <c r="X96" s="575"/>
      <c r="Y96" s="570">
        <f>ROUND(SUM(Y97:Y102),10)</f>
        <v>0</v>
      </c>
      <c r="Z96" s="575"/>
      <c r="AA96" s="570">
        <f>ROUND(SUM(AA97:AA102),10)</f>
        <v>0</v>
      </c>
      <c r="AB96" s="575"/>
      <c r="AC96" s="570">
        <f>ROUND(SUM(AC97:AC102),10)</f>
        <v>0</v>
      </c>
      <c r="AE96" s="769" t="e">
        <f t="shared" si="61"/>
        <v>#REF!</v>
      </c>
    </row>
    <row r="97" spans="1:31" ht="15" hidden="1" customHeight="1" x14ac:dyDescent="0.2">
      <c r="A97" s="611" t="s">
        <v>719</v>
      </c>
      <c r="B97" s="601" t="s">
        <v>720</v>
      </c>
      <c r="C97" s="611" t="s">
        <v>114</v>
      </c>
      <c r="D97" s="576">
        <f t="shared" ref="D97:D102" si="87">+I97+K97+M97+O97+Q97+S97</f>
        <v>0</v>
      </c>
      <c r="E97" s="577" t="e">
        <f>V97+X97+Z97+AB97</f>
        <v>#REF!</v>
      </c>
      <c r="F97" s="577" t="e">
        <f t="shared" ref="F97:F102" si="88">ROUND(D97*E97,10)</f>
        <v>#REF!</v>
      </c>
      <c r="G97" s="578"/>
      <c r="I97" s="594"/>
      <c r="J97" s="580" t="e">
        <f t="shared" ref="J97:J102" si="89">+ROUND(E97*I97,10)</f>
        <v>#REF!</v>
      </c>
      <c r="K97" s="537"/>
      <c r="L97" s="445" t="e">
        <f t="shared" ref="L97:L102" si="90">+ROUND(E97*K97,10)</f>
        <v>#REF!</v>
      </c>
      <c r="M97" s="542"/>
      <c r="N97" s="445" t="e">
        <f t="shared" ref="N97:N102" si="91">+ROUND(E97*M97,10)</f>
        <v>#REF!</v>
      </c>
      <c r="O97" s="542"/>
      <c r="P97" s="445" t="e">
        <f t="shared" ref="P97:P102" si="92">+ROUND(E97*O97,10)</f>
        <v>#REF!</v>
      </c>
      <c r="Q97" s="542"/>
      <c r="R97" s="445" t="e">
        <f t="shared" ref="R97:R102" si="93">+ROUND(E97*Q97,10)</f>
        <v>#REF!</v>
      </c>
      <c r="S97" s="542"/>
      <c r="T97" s="445" t="e">
        <f t="shared" ref="T97:T102" si="94">+ROUND(E97*S97,10)</f>
        <v>#REF!</v>
      </c>
      <c r="V97" s="581" t="e">
        <f>+'3,3,1 Tuberia drenaje PVC 4"'!I19</f>
        <v>#REF!</v>
      </c>
      <c r="W97" s="582" t="e">
        <f t="shared" ref="W97:W102" si="95">ROUND(V97*$D97,10)</f>
        <v>#REF!</v>
      </c>
      <c r="X97" s="581">
        <f>+'3,3,1 Tuberia drenaje PVC 4"'!I50</f>
        <v>10934.58</v>
      </c>
      <c r="Y97" s="582">
        <f t="shared" ref="Y97:Y102" si="96">ROUND(X97*$D97,10)</f>
        <v>0</v>
      </c>
      <c r="Z97" s="581">
        <f>+'3,3,1 Tuberia drenaje PVC 4"'!I30</f>
        <v>1361.26</v>
      </c>
      <c r="AA97" s="582">
        <f t="shared" ref="AA97:AA102" si="97">ROUND(Z97*$D97,10)</f>
        <v>0</v>
      </c>
      <c r="AB97" s="581">
        <f>+'3,3,1 Tuberia drenaje PVC 4"'!I41</f>
        <v>0</v>
      </c>
      <c r="AC97" s="582">
        <f t="shared" ref="AC97:AC102" si="98">ROUND(AB97*$D97,10)</f>
        <v>0</v>
      </c>
      <c r="AE97" s="769" t="e">
        <f t="shared" si="61"/>
        <v>#REF!</v>
      </c>
    </row>
    <row r="98" spans="1:31" ht="15" hidden="1" customHeight="1" x14ac:dyDescent="0.2">
      <c r="A98" s="611" t="s">
        <v>721</v>
      </c>
      <c r="B98" s="601" t="s">
        <v>722</v>
      </c>
      <c r="C98" s="611" t="s">
        <v>114</v>
      </c>
      <c r="D98" s="576">
        <f t="shared" si="87"/>
        <v>0</v>
      </c>
      <c r="E98" s="577" t="e">
        <f t="shared" si="63"/>
        <v>#REF!</v>
      </c>
      <c r="F98" s="577" t="e">
        <f t="shared" si="88"/>
        <v>#REF!</v>
      </c>
      <c r="G98" s="578"/>
      <c r="I98" s="584"/>
      <c r="J98" s="585" t="e">
        <f t="shared" si="89"/>
        <v>#REF!</v>
      </c>
      <c r="K98" s="537"/>
      <c r="L98" s="445" t="e">
        <f t="shared" si="90"/>
        <v>#REF!</v>
      </c>
      <c r="M98" s="542"/>
      <c r="N98" s="445" t="e">
        <f t="shared" si="91"/>
        <v>#REF!</v>
      </c>
      <c r="O98" s="542"/>
      <c r="P98" s="445" t="e">
        <f t="shared" si="92"/>
        <v>#REF!</v>
      </c>
      <c r="Q98" s="542"/>
      <c r="R98" s="445" t="e">
        <f t="shared" si="93"/>
        <v>#REF!</v>
      </c>
      <c r="S98" s="542"/>
      <c r="T98" s="445" t="e">
        <f t="shared" si="94"/>
        <v>#REF!</v>
      </c>
      <c r="V98" s="581" t="e">
        <f>+'3,3,2 Tuberia drenaje PVC 4"'!I19</f>
        <v>#REF!</v>
      </c>
      <c r="W98" s="582" t="e">
        <f t="shared" si="95"/>
        <v>#REF!</v>
      </c>
      <c r="X98" s="581">
        <f>+'3,3,2 Tuberia drenaje PVC 4"'!I50</f>
        <v>10934.58</v>
      </c>
      <c r="Y98" s="582">
        <f t="shared" si="96"/>
        <v>0</v>
      </c>
      <c r="Z98" s="581">
        <f>+'3,3,2 Tuberia drenaje PVC 4"'!I30</f>
        <v>1361.26</v>
      </c>
      <c r="AA98" s="582">
        <f t="shared" si="97"/>
        <v>0</v>
      </c>
      <c r="AB98" s="581">
        <f>+'3,3,2 Tuberia drenaje PVC 4"'!I41</f>
        <v>0</v>
      </c>
      <c r="AC98" s="582">
        <f t="shared" si="98"/>
        <v>0</v>
      </c>
      <c r="AE98" s="769" t="e">
        <f t="shared" si="61"/>
        <v>#REF!</v>
      </c>
    </row>
    <row r="99" spans="1:31" ht="15" hidden="1" customHeight="1" x14ac:dyDescent="0.2">
      <c r="A99" s="611" t="s">
        <v>723</v>
      </c>
      <c r="B99" s="601" t="s">
        <v>724</v>
      </c>
      <c r="C99" s="611" t="s">
        <v>111</v>
      </c>
      <c r="D99" s="576">
        <f t="shared" si="87"/>
        <v>0</v>
      </c>
      <c r="E99" s="577" t="e">
        <f t="shared" si="63"/>
        <v>#REF!</v>
      </c>
      <c r="F99" s="577" t="e">
        <f t="shared" si="88"/>
        <v>#REF!</v>
      </c>
      <c r="G99" s="578"/>
      <c r="I99" s="584"/>
      <c r="J99" s="585" t="e">
        <f t="shared" si="89"/>
        <v>#REF!</v>
      </c>
      <c r="K99" s="537"/>
      <c r="L99" s="445" t="e">
        <f t="shared" si="90"/>
        <v>#REF!</v>
      </c>
      <c r="M99" s="542"/>
      <c r="N99" s="445" t="e">
        <f t="shared" si="91"/>
        <v>#REF!</v>
      </c>
      <c r="O99" s="542"/>
      <c r="P99" s="445" t="e">
        <f t="shared" si="92"/>
        <v>#REF!</v>
      </c>
      <c r="Q99" s="542"/>
      <c r="R99" s="445" t="e">
        <f t="shared" si="93"/>
        <v>#REF!</v>
      </c>
      <c r="S99" s="542"/>
      <c r="T99" s="445" t="e">
        <f t="shared" si="94"/>
        <v>#REF!</v>
      </c>
      <c r="V99" s="581" t="e">
        <f>+'3,3,3 Accesorio drenaje PVC 3"'!I19</f>
        <v>#REF!</v>
      </c>
      <c r="W99" s="582" t="e">
        <f t="shared" si="95"/>
        <v>#REF!</v>
      </c>
      <c r="X99" s="581">
        <f>+'3,3,3 Accesorio drenaje PVC 3"'!I50</f>
        <v>3221.07</v>
      </c>
      <c r="Y99" s="582">
        <f t="shared" si="96"/>
        <v>0</v>
      </c>
      <c r="Z99" s="581">
        <f>+'3,3,3 Accesorio drenaje PVC 3"'!I30</f>
        <v>195.26</v>
      </c>
      <c r="AA99" s="582">
        <f t="shared" si="97"/>
        <v>0</v>
      </c>
      <c r="AB99" s="581">
        <f>+'3,3,3 Accesorio drenaje PVC 3"'!I41</f>
        <v>0</v>
      </c>
      <c r="AC99" s="582">
        <f t="shared" si="98"/>
        <v>0</v>
      </c>
      <c r="AE99" s="769" t="e">
        <f t="shared" si="61"/>
        <v>#REF!</v>
      </c>
    </row>
    <row r="100" spans="1:31" ht="15" hidden="1" customHeight="1" x14ac:dyDescent="0.2">
      <c r="A100" s="611" t="s">
        <v>725</v>
      </c>
      <c r="B100" s="601" t="s">
        <v>726</v>
      </c>
      <c r="C100" s="611" t="s">
        <v>111</v>
      </c>
      <c r="D100" s="576">
        <f t="shared" si="87"/>
        <v>0</v>
      </c>
      <c r="E100" s="577" t="e">
        <f t="shared" si="63"/>
        <v>#REF!</v>
      </c>
      <c r="F100" s="577" t="e">
        <f t="shared" si="88"/>
        <v>#REF!</v>
      </c>
      <c r="G100" s="578"/>
      <c r="I100" s="584"/>
      <c r="J100" s="585" t="e">
        <f t="shared" si="89"/>
        <v>#REF!</v>
      </c>
      <c r="K100" s="537"/>
      <c r="L100" s="445" t="e">
        <f t="shared" si="90"/>
        <v>#REF!</v>
      </c>
      <c r="M100" s="542"/>
      <c r="N100" s="445" t="e">
        <f t="shared" si="91"/>
        <v>#REF!</v>
      </c>
      <c r="O100" s="542"/>
      <c r="P100" s="445" t="e">
        <f t="shared" si="92"/>
        <v>#REF!</v>
      </c>
      <c r="Q100" s="542"/>
      <c r="R100" s="445" t="e">
        <f t="shared" si="93"/>
        <v>#REF!</v>
      </c>
      <c r="S100" s="542"/>
      <c r="T100" s="445" t="e">
        <f t="shared" si="94"/>
        <v>#REF!</v>
      </c>
      <c r="V100" s="581" t="e">
        <f>+'3,3,4 Accesorio drenaje PVC 4"'!I19</f>
        <v>#REF!</v>
      </c>
      <c r="W100" s="582" t="e">
        <f t="shared" si="95"/>
        <v>#REF!</v>
      </c>
      <c r="X100" s="581">
        <f>+'3,3,4 Accesorio drenaje PVC 4"'!I50</f>
        <v>19039.060000000001</v>
      </c>
      <c r="Y100" s="582">
        <f t="shared" si="96"/>
        <v>0</v>
      </c>
      <c r="Z100" s="581">
        <f>+'3,3,4 Accesorio drenaje PVC 4"'!I30</f>
        <v>1361.26</v>
      </c>
      <c r="AA100" s="582">
        <f t="shared" si="97"/>
        <v>0</v>
      </c>
      <c r="AB100" s="581">
        <f>+'3,3,4 Accesorio drenaje PVC 4"'!I41</f>
        <v>0</v>
      </c>
      <c r="AC100" s="582">
        <f t="shared" si="98"/>
        <v>0</v>
      </c>
      <c r="AE100" s="769" t="e">
        <f t="shared" si="61"/>
        <v>#REF!</v>
      </c>
    </row>
    <row r="101" spans="1:31" ht="15.75" hidden="1" customHeight="1" x14ac:dyDescent="0.2">
      <c r="A101" s="611" t="s">
        <v>727</v>
      </c>
      <c r="B101" s="601" t="s">
        <v>728</v>
      </c>
      <c r="C101" s="611" t="s">
        <v>155</v>
      </c>
      <c r="D101" s="576">
        <f t="shared" si="87"/>
        <v>0</v>
      </c>
      <c r="E101" s="577" t="e">
        <f t="shared" si="63"/>
        <v>#REF!</v>
      </c>
      <c r="F101" s="577" t="e">
        <f t="shared" si="88"/>
        <v>#REF!</v>
      </c>
      <c r="G101" s="578"/>
      <c r="I101" s="597"/>
      <c r="J101" s="598" t="e">
        <f t="shared" si="89"/>
        <v>#REF!</v>
      </c>
      <c r="K101" s="537"/>
      <c r="L101" s="445" t="e">
        <f t="shared" si="90"/>
        <v>#REF!</v>
      </c>
      <c r="M101" s="542"/>
      <c r="N101" s="445" t="e">
        <f t="shared" si="91"/>
        <v>#REF!</v>
      </c>
      <c r="O101" s="542"/>
      <c r="P101" s="445" t="e">
        <f t="shared" si="92"/>
        <v>#REF!</v>
      </c>
      <c r="Q101" s="542"/>
      <c r="R101" s="445" t="e">
        <f t="shared" si="93"/>
        <v>#REF!</v>
      </c>
      <c r="S101" s="542"/>
      <c r="T101" s="445" t="e">
        <f t="shared" si="94"/>
        <v>#REF!</v>
      </c>
      <c r="V101" s="581" t="e">
        <f>+'3,3,5 Filtros Escorrentias'!I19</f>
        <v>#REF!</v>
      </c>
      <c r="W101" s="582" t="e">
        <f t="shared" si="95"/>
        <v>#REF!</v>
      </c>
      <c r="X101" s="581">
        <f>+'3,3,5 Filtros Escorrentias'!I50</f>
        <v>19039.060000000001</v>
      </c>
      <c r="Y101" s="582">
        <f t="shared" si="96"/>
        <v>0</v>
      </c>
      <c r="Z101" s="581">
        <f>+'3,3,5 Filtros Escorrentias'!I30</f>
        <v>1361.26</v>
      </c>
      <c r="AA101" s="582">
        <f t="shared" si="97"/>
        <v>0</v>
      </c>
      <c r="AB101" s="581">
        <f>+'3,3,5 Filtros Escorrentias'!I41</f>
        <v>0</v>
      </c>
      <c r="AC101" s="582">
        <f t="shared" si="98"/>
        <v>0</v>
      </c>
      <c r="AE101" s="769" t="e">
        <f t="shared" si="61"/>
        <v>#REF!</v>
      </c>
    </row>
    <row r="102" spans="1:31" ht="15.75" hidden="1" customHeight="1" x14ac:dyDescent="0.2">
      <c r="A102" s="627" t="s">
        <v>729</v>
      </c>
      <c r="B102" s="649" t="s">
        <v>730</v>
      </c>
      <c r="C102" s="627" t="s">
        <v>111</v>
      </c>
      <c r="D102" s="576">
        <f t="shared" si="87"/>
        <v>0</v>
      </c>
      <c r="E102" s="577" t="e">
        <f>V102+X102+Z102+AB102</f>
        <v>#REF!</v>
      </c>
      <c r="F102" s="577" t="e">
        <f t="shared" si="88"/>
        <v>#REF!</v>
      </c>
      <c r="G102" s="578"/>
      <c r="I102" s="597"/>
      <c r="J102" s="598" t="e">
        <f t="shared" si="89"/>
        <v>#REF!</v>
      </c>
      <c r="K102" s="537"/>
      <c r="L102" s="445" t="e">
        <f t="shared" si="90"/>
        <v>#REF!</v>
      </c>
      <c r="M102" s="544"/>
      <c r="N102" s="445" t="e">
        <f t="shared" si="91"/>
        <v>#REF!</v>
      </c>
      <c r="O102" s="542"/>
      <c r="P102" s="445" t="e">
        <f t="shared" si="92"/>
        <v>#REF!</v>
      </c>
      <c r="Q102" s="544"/>
      <c r="R102" s="445" t="e">
        <f t="shared" si="93"/>
        <v>#REF!</v>
      </c>
      <c r="S102" s="544"/>
      <c r="T102" s="445" t="e">
        <f t="shared" si="94"/>
        <v>#REF!</v>
      </c>
      <c r="V102" s="581" t="e">
        <f>'3,3,6 POZO INFILTRACIÓN'!I19</f>
        <v>#REF!</v>
      </c>
      <c r="W102" s="582" t="e">
        <f t="shared" si="95"/>
        <v>#REF!</v>
      </c>
      <c r="X102" s="581">
        <f>'3,3,6 POZO INFILTRACIÓN'!I50</f>
        <v>4863906.05</v>
      </c>
      <c r="Y102" s="582">
        <f t="shared" si="96"/>
        <v>0</v>
      </c>
      <c r="Z102" s="581">
        <f>'3,3,6 POZO INFILTRACIÓN'!I30</f>
        <v>734071.2</v>
      </c>
      <c r="AA102" s="582">
        <f t="shared" si="97"/>
        <v>0</v>
      </c>
      <c r="AB102" s="581">
        <f>'3,3,6 POZO INFILTRACIÓN'!I41</f>
        <v>0</v>
      </c>
      <c r="AC102" s="582">
        <f t="shared" si="98"/>
        <v>0</v>
      </c>
      <c r="AE102" s="769" t="e">
        <f t="shared" si="61"/>
        <v>#REF!</v>
      </c>
    </row>
    <row r="103" spans="1:31" s="568" customFormat="1" ht="18" hidden="1" customHeight="1" x14ac:dyDescent="0.2">
      <c r="A103" s="572" t="s">
        <v>731</v>
      </c>
      <c r="B103" s="573" t="s">
        <v>732</v>
      </c>
      <c r="C103" s="846"/>
      <c r="D103" s="576"/>
      <c r="E103" s="577"/>
      <c r="F103" s="180" t="e">
        <f>+ROUND(SUM(F104:F112),10)</f>
        <v>#REF!</v>
      </c>
      <c r="G103" s="473"/>
      <c r="I103" s="597"/>
      <c r="J103" s="440" t="e">
        <f>ROUND(SUM(J104:J112),10)</f>
        <v>#REF!</v>
      </c>
      <c r="K103" s="539"/>
      <c r="L103" s="180" t="e">
        <f>ROUND(SUM(L104:L112),10)</f>
        <v>#REF!</v>
      </c>
      <c r="M103" s="544"/>
      <c r="N103" s="180" t="e">
        <f>ROUND(SUM(N104:N112),10)</f>
        <v>#REF!</v>
      </c>
      <c r="O103" s="544"/>
      <c r="P103" s="180" t="e">
        <f>ROUND(SUM(P104:P112),10)</f>
        <v>#REF!</v>
      </c>
      <c r="Q103" s="544"/>
      <c r="R103" s="180" t="e">
        <f>ROUND(SUM(R104:R112),10)</f>
        <v>#REF!</v>
      </c>
      <c r="S103" s="544"/>
      <c r="T103" s="180" t="e">
        <f>ROUND(SUM(T104:T112),10)</f>
        <v>#REF!</v>
      </c>
      <c r="V103" s="575"/>
      <c r="W103" s="570" t="e">
        <f>ROUND(SUM(W104:W112),10)</f>
        <v>#REF!</v>
      </c>
      <c r="X103" s="575"/>
      <c r="Y103" s="570">
        <f>ROUND(SUM(Y104:Y112),10)</f>
        <v>987747.15</v>
      </c>
      <c r="Z103" s="575"/>
      <c r="AA103" s="570">
        <f>ROUND(SUM(AA104:AA112),10)</f>
        <v>18550.05</v>
      </c>
      <c r="AB103" s="575"/>
      <c r="AC103" s="570" t="e">
        <f>ROUND(SUM(AC104:AC112),10)</f>
        <v>#N/A</v>
      </c>
      <c r="AE103" s="769" t="e">
        <f t="shared" si="61"/>
        <v>#N/A</v>
      </c>
    </row>
    <row r="104" spans="1:31" ht="15" hidden="1" customHeight="1" x14ac:dyDescent="0.2">
      <c r="A104" s="611" t="s">
        <v>733</v>
      </c>
      <c r="B104" s="601" t="s">
        <v>734</v>
      </c>
      <c r="C104" s="611" t="s">
        <v>111</v>
      </c>
      <c r="D104" s="576">
        <f t="shared" ref="D104:D112" si="99">+I104+K104+M104+O104+Q104+S104</f>
        <v>15</v>
      </c>
      <c r="E104" s="577" t="e">
        <f t="shared" si="63"/>
        <v>#REF!</v>
      </c>
      <c r="F104" s="577" t="e">
        <f t="shared" ref="F104:F112" si="100">ROUND(D104*E104,10)</f>
        <v>#REF!</v>
      </c>
      <c r="G104" s="578"/>
      <c r="I104" s="597"/>
      <c r="J104" s="580" t="e">
        <f t="shared" ref="J104:J112" si="101">+ROUND(E104*I104,10)</f>
        <v>#REF!</v>
      </c>
      <c r="K104" s="537"/>
      <c r="L104" s="445" t="e">
        <f t="shared" ref="L104:L112" si="102">+ROUND(E104*K104,10)</f>
        <v>#REF!</v>
      </c>
      <c r="M104" s="542">
        <v>1</v>
      </c>
      <c r="N104" s="445" t="e">
        <f t="shared" ref="N104:N112" si="103">+ROUND(E104*M104,10)</f>
        <v>#REF!</v>
      </c>
      <c r="O104" s="542">
        <v>14</v>
      </c>
      <c r="P104" s="445" t="e">
        <f t="shared" ref="P104:P112" si="104">+ROUND(E104*O104,10)</f>
        <v>#REF!</v>
      </c>
      <c r="Q104" s="542"/>
      <c r="R104" s="445" t="e">
        <f t="shared" ref="R104:R112" si="105">+ROUND(E104*Q104,10)</f>
        <v>#REF!</v>
      </c>
      <c r="S104" s="542"/>
      <c r="T104" s="445" t="e">
        <f t="shared" ref="T104:T112" si="106">+ROUND(E104*S104,10)</f>
        <v>#REF!</v>
      </c>
      <c r="V104" s="581" t="e">
        <f>'3,4,1 Caja inspección 0,60 '!I19</f>
        <v>#REF!</v>
      </c>
      <c r="W104" s="582" t="e">
        <f t="shared" ref="W104:W112" si="107">ROUND(V104*$D104,10)</f>
        <v>#REF!</v>
      </c>
      <c r="X104" s="581">
        <f>+'3,4,1 Caja inspección 0,60 '!I50</f>
        <v>65849.81</v>
      </c>
      <c r="Y104" s="582">
        <f t="shared" ref="Y104:Y112" si="108">ROUND(X104*$D104,10)</f>
        <v>987747.15</v>
      </c>
      <c r="Z104" s="581">
        <f>+'3,4,1 Caja inspección 0,60 '!I30</f>
        <v>1236.67</v>
      </c>
      <c r="AA104" s="582">
        <f t="shared" ref="AA104:AA112" si="109">ROUND(Z104*$D104,10)</f>
        <v>18550.05</v>
      </c>
      <c r="AB104" s="581"/>
      <c r="AC104" s="582">
        <f t="shared" ref="AC104:AC112" si="110">ROUND(AB104*$D104,10)</f>
        <v>0</v>
      </c>
      <c r="AE104" s="769" t="e">
        <f t="shared" si="61"/>
        <v>#REF!</v>
      </c>
    </row>
    <row r="105" spans="1:31" ht="15" hidden="1" customHeight="1" x14ac:dyDescent="0.2">
      <c r="A105" s="611" t="s">
        <v>735</v>
      </c>
      <c r="B105" s="601" t="s">
        <v>736</v>
      </c>
      <c r="C105" s="611" t="s">
        <v>111</v>
      </c>
      <c r="D105" s="576">
        <f t="shared" si="99"/>
        <v>0</v>
      </c>
      <c r="E105" s="577" t="e">
        <f t="shared" si="63"/>
        <v>#REF!</v>
      </c>
      <c r="F105" s="577" t="e">
        <f t="shared" si="100"/>
        <v>#REF!</v>
      </c>
      <c r="G105" s="578"/>
      <c r="I105" s="584"/>
      <c r="J105" s="585" t="e">
        <f t="shared" si="101"/>
        <v>#REF!</v>
      </c>
      <c r="K105" s="537"/>
      <c r="L105" s="445" t="e">
        <f t="shared" si="102"/>
        <v>#REF!</v>
      </c>
      <c r="M105" s="542"/>
      <c r="N105" s="445" t="e">
        <f t="shared" si="103"/>
        <v>#REF!</v>
      </c>
      <c r="O105" s="542"/>
      <c r="P105" s="445" t="e">
        <f t="shared" si="104"/>
        <v>#REF!</v>
      </c>
      <c r="Q105" s="542"/>
      <c r="R105" s="445" t="e">
        <f t="shared" si="105"/>
        <v>#REF!</v>
      </c>
      <c r="S105" s="542"/>
      <c r="T105" s="445" t="e">
        <f t="shared" si="106"/>
        <v>#REF!</v>
      </c>
      <c r="V105" s="581" t="e">
        <f>+'3,4,2 Caja inspección 0,80'!I19</f>
        <v>#REF!</v>
      </c>
      <c r="W105" s="582" t="e">
        <f t="shared" si="107"/>
        <v>#REF!</v>
      </c>
      <c r="X105" s="581">
        <f>+'3,4,2 Caja inspección 0,80'!I50</f>
        <v>65849.81</v>
      </c>
      <c r="Y105" s="582">
        <f t="shared" si="108"/>
        <v>0</v>
      </c>
      <c r="Z105" s="581">
        <f>+'3,4,2 Caja inspección 0,80'!I30</f>
        <v>1236.67</v>
      </c>
      <c r="AA105" s="582">
        <f t="shared" si="109"/>
        <v>0</v>
      </c>
      <c r="AB105" s="581">
        <f>+'3,4,2 Caja inspección 0,80'!I41</f>
        <v>0</v>
      </c>
      <c r="AC105" s="582">
        <f t="shared" si="110"/>
        <v>0</v>
      </c>
      <c r="AE105" s="769" t="e">
        <f t="shared" si="61"/>
        <v>#REF!</v>
      </c>
    </row>
    <row r="106" spans="1:31" ht="15" hidden="1" customHeight="1" x14ac:dyDescent="0.2">
      <c r="A106" s="611" t="s">
        <v>737</v>
      </c>
      <c r="B106" s="601" t="s">
        <v>738</v>
      </c>
      <c r="C106" s="611" t="s">
        <v>111</v>
      </c>
      <c r="D106" s="576">
        <f t="shared" si="99"/>
        <v>0</v>
      </c>
      <c r="E106" s="577" t="e">
        <f t="shared" si="63"/>
        <v>#REF!</v>
      </c>
      <c r="F106" s="577" t="e">
        <f t="shared" si="100"/>
        <v>#REF!</v>
      </c>
      <c r="G106" s="578"/>
      <c r="I106" s="584"/>
      <c r="J106" s="585" t="e">
        <f t="shared" si="101"/>
        <v>#REF!</v>
      </c>
      <c r="K106" s="537"/>
      <c r="L106" s="445" t="e">
        <f t="shared" si="102"/>
        <v>#REF!</v>
      </c>
      <c r="M106" s="542"/>
      <c r="N106" s="445" t="e">
        <f t="shared" si="103"/>
        <v>#REF!</v>
      </c>
      <c r="O106" s="542"/>
      <c r="P106" s="445" t="e">
        <f t="shared" si="104"/>
        <v>#REF!</v>
      </c>
      <c r="Q106" s="542"/>
      <c r="R106" s="445" t="e">
        <f t="shared" si="105"/>
        <v>#REF!</v>
      </c>
      <c r="S106" s="542"/>
      <c r="T106" s="445" t="e">
        <f t="shared" si="106"/>
        <v>#REF!</v>
      </c>
      <c r="V106" s="581" t="e">
        <f>+'3,4,3 Caja inspección 1,00'!I19</f>
        <v>#REF!</v>
      </c>
      <c r="W106" s="582" t="e">
        <f t="shared" si="107"/>
        <v>#REF!</v>
      </c>
      <c r="X106" s="581">
        <f>+'3,4,3 Caja inspección 1,00'!I50</f>
        <v>65849.81</v>
      </c>
      <c r="Y106" s="582">
        <f t="shared" si="108"/>
        <v>0</v>
      </c>
      <c r="Z106" s="581">
        <f>+'3,4,3 Caja inspección 1,00'!I30</f>
        <v>1236.67</v>
      </c>
      <c r="AA106" s="582">
        <f t="shared" si="109"/>
        <v>0</v>
      </c>
      <c r="AB106" s="581">
        <f>+'3,4,3 Caja inspección 1,00'!I41</f>
        <v>0</v>
      </c>
      <c r="AC106" s="582">
        <f t="shared" si="110"/>
        <v>0</v>
      </c>
      <c r="AE106" s="769" t="e">
        <f t="shared" si="61"/>
        <v>#REF!</v>
      </c>
    </row>
    <row r="107" spans="1:31" ht="15" hidden="1" customHeight="1" x14ac:dyDescent="0.2">
      <c r="A107" s="611" t="s">
        <v>739</v>
      </c>
      <c r="B107" s="601" t="s">
        <v>740</v>
      </c>
      <c r="C107" s="627" t="s">
        <v>111</v>
      </c>
      <c r="D107" s="576">
        <f t="shared" si="99"/>
        <v>0</v>
      </c>
      <c r="E107" s="577" t="e">
        <f t="shared" si="63"/>
        <v>#REF!</v>
      </c>
      <c r="F107" s="577" t="e">
        <f t="shared" si="100"/>
        <v>#REF!</v>
      </c>
      <c r="G107" s="578"/>
      <c r="I107" s="584"/>
      <c r="J107" s="585" t="e">
        <f t="shared" si="101"/>
        <v>#REF!</v>
      </c>
      <c r="K107" s="537"/>
      <c r="L107" s="445" t="e">
        <f t="shared" si="102"/>
        <v>#REF!</v>
      </c>
      <c r="M107" s="542"/>
      <c r="N107" s="445" t="e">
        <f t="shared" si="103"/>
        <v>#REF!</v>
      </c>
      <c r="O107" s="542"/>
      <c r="P107" s="445" t="e">
        <f t="shared" si="104"/>
        <v>#REF!</v>
      </c>
      <c r="Q107" s="542"/>
      <c r="R107" s="445" t="e">
        <f t="shared" si="105"/>
        <v>#REF!</v>
      </c>
      <c r="S107" s="542"/>
      <c r="T107" s="445" t="e">
        <f t="shared" si="106"/>
        <v>#REF!</v>
      </c>
      <c r="V107" s="581" t="e">
        <f>'3,4,4 Caja Distribuciòn 0,40  '!I19</f>
        <v>#REF!</v>
      </c>
      <c r="W107" s="582" t="e">
        <f t="shared" si="107"/>
        <v>#REF!</v>
      </c>
      <c r="X107" s="581">
        <f>'3,4,4 Caja Distribuciòn 0,40  '!I50</f>
        <v>73563.319999999992</v>
      </c>
      <c r="Y107" s="582">
        <f t="shared" si="108"/>
        <v>0</v>
      </c>
      <c r="Z107" s="581">
        <f>'3,4,4 Caja Distribuciòn 0,40  '!I30</f>
        <v>1236.67</v>
      </c>
      <c r="AA107" s="582">
        <f t="shared" si="109"/>
        <v>0</v>
      </c>
      <c r="AB107" s="581">
        <f>'3,4,4 Caja Distribuciòn 0,40  '!I41</f>
        <v>0</v>
      </c>
      <c r="AC107" s="582">
        <f t="shared" si="110"/>
        <v>0</v>
      </c>
      <c r="AE107" s="769" t="e">
        <f t="shared" si="61"/>
        <v>#REF!</v>
      </c>
    </row>
    <row r="108" spans="1:31" ht="15" hidden="1" customHeight="1" x14ac:dyDescent="0.2">
      <c r="A108" s="627" t="s">
        <v>739</v>
      </c>
      <c r="B108" s="610" t="s">
        <v>741</v>
      </c>
      <c r="C108" s="627" t="s">
        <v>111</v>
      </c>
      <c r="D108" s="576">
        <f t="shared" si="99"/>
        <v>0</v>
      </c>
      <c r="E108" s="577">
        <f t="shared" si="63"/>
        <v>0</v>
      </c>
      <c r="F108" s="577">
        <f t="shared" si="100"/>
        <v>0</v>
      </c>
      <c r="G108" s="578"/>
      <c r="I108" s="584"/>
      <c r="J108" s="585">
        <f t="shared" si="101"/>
        <v>0</v>
      </c>
      <c r="K108" s="537"/>
      <c r="L108" s="445">
        <f t="shared" si="102"/>
        <v>0</v>
      </c>
      <c r="M108" s="542"/>
      <c r="N108" s="445">
        <f t="shared" si="103"/>
        <v>0</v>
      </c>
      <c r="O108" s="542"/>
      <c r="P108" s="445">
        <f t="shared" si="104"/>
        <v>0</v>
      </c>
      <c r="Q108" s="542"/>
      <c r="R108" s="445">
        <f t="shared" si="105"/>
        <v>0</v>
      </c>
      <c r="S108" s="542"/>
      <c r="T108" s="445">
        <f t="shared" si="106"/>
        <v>0</v>
      </c>
      <c r="V108" s="581"/>
      <c r="W108" s="582">
        <f t="shared" si="107"/>
        <v>0</v>
      </c>
      <c r="X108" s="581"/>
      <c r="Y108" s="582">
        <f t="shared" si="108"/>
        <v>0</v>
      </c>
      <c r="Z108" s="581"/>
      <c r="AA108" s="582">
        <f t="shared" si="109"/>
        <v>0</v>
      </c>
      <c r="AB108" s="581"/>
      <c r="AC108" s="582">
        <f t="shared" si="110"/>
        <v>0</v>
      </c>
      <c r="AE108" s="769">
        <f t="shared" si="61"/>
        <v>0</v>
      </c>
    </row>
    <row r="109" spans="1:31" ht="15" hidden="1" customHeight="1" x14ac:dyDescent="0.2">
      <c r="A109" s="627" t="s">
        <v>742</v>
      </c>
      <c r="B109" s="610" t="s">
        <v>743</v>
      </c>
      <c r="C109" s="627" t="s">
        <v>114</v>
      </c>
      <c r="D109" s="576">
        <f t="shared" si="99"/>
        <v>0</v>
      </c>
      <c r="E109" s="577">
        <f t="shared" si="63"/>
        <v>0</v>
      </c>
      <c r="F109" s="577">
        <f t="shared" si="100"/>
        <v>0</v>
      </c>
      <c r="G109" s="578"/>
      <c r="I109" s="584"/>
      <c r="J109" s="585">
        <f t="shared" si="101"/>
        <v>0</v>
      </c>
      <c r="K109" s="537"/>
      <c r="L109" s="445">
        <f t="shared" si="102"/>
        <v>0</v>
      </c>
      <c r="M109" s="542"/>
      <c r="N109" s="445">
        <f t="shared" si="103"/>
        <v>0</v>
      </c>
      <c r="O109" s="542"/>
      <c r="P109" s="445">
        <f t="shared" si="104"/>
        <v>0</v>
      </c>
      <c r="Q109" s="542"/>
      <c r="R109" s="445">
        <f t="shared" si="105"/>
        <v>0</v>
      </c>
      <c r="S109" s="542"/>
      <c r="T109" s="445">
        <f t="shared" si="106"/>
        <v>0</v>
      </c>
      <c r="V109" s="581"/>
      <c r="W109" s="582">
        <f t="shared" si="107"/>
        <v>0</v>
      </c>
      <c r="X109" s="581"/>
      <c r="Y109" s="582">
        <f t="shared" si="108"/>
        <v>0</v>
      </c>
      <c r="Z109" s="581"/>
      <c r="AA109" s="582">
        <f t="shared" si="109"/>
        <v>0</v>
      </c>
      <c r="AB109" s="581"/>
      <c r="AC109" s="582">
        <f t="shared" si="110"/>
        <v>0</v>
      </c>
      <c r="AE109" s="769">
        <f t="shared" si="61"/>
        <v>0</v>
      </c>
    </row>
    <row r="110" spans="1:31" ht="15" hidden="1" customHeight="1" x14ac:dyDescent="0.2">
      <c r="A110" s="627" t="s">
        <v>744</v>
      </c>
      <c r="B110" s="610" t="s">
        <v>745</v>
      </c>
      <c r="C110" s="627" t="s">
        <v>114</v>
      </c>
      <c r="D110" s="576">
        <f t="shared" si="99"/>
        <v>0</v>
      </c>
      <c r="E110" s="577" t="e">
        <f t="shared" si="63"/>
        <v>#REF!</v>
      </c>
      <c r="F110" s="577" t="e">
        <f t="shared" si="100"/>
        <v>#REF!</v>
      </c>
      <c r="G110" s="578"/>
      <c r="I110" s="584"/>
      <c r="J110" s="585" t="e">
        <f t="shared" si="101"/>
        <v>#REF!</v>
      </c>
      <c r="K110" s="537"/>
      <c r="L110" s="445" t="e">
        <f t="shared" si="102"/>
        <v>#REF!</v>
      </c>
      <c r="M110" s="542"/>
      <c r="N110" s="445" t="e">
        <f t="shared" si="103"/>
        <v>#REF!</v>
      </c>
      <c r="O110" s="542"/>
      <c r="P110" s="445" t="e">
        <f t="shared" si="104"/>
        <v>#REF!</v>
      </c>
      <c r="Q110" s="542"/>
      <c r="R110" s="445" t="e">
        <f t="shared" si="105"/>
        <v>#REF!</v>
      </c>
      <c r="S110" s="542"/>
      <c r="T110" s="445" t="e">
        <f t="shared" si="106"/>
        <v>#REF!</v>
      </c>
      <c r="V110" s="581" t="e">
        <f>+'3,4,6 Carcamo aguas lluvias'!I20</f>
        <v>#REF!</v>
      </c>
      <c r="W110" s="582" t="e">
        <f t="shared" si="107"/>
        <v>#REF!</v>
      </c>
      <c r="X110" s="581">
        <f>+'3,4,6 Carcamo aguas lluvias'!I51</f>
        <v>82312.259999999995</v>
      </c>
      <c r="Y110" s="582">
        <f t="shared" si="108"/>
        <v>0</v>
      </c>
      <c r="Z110" s="581">
        <f>+'3,4,6 Carcamo aguas lluvias'!I31</f>
        <v>1236.67</v>
      </c>
      <c r="AA110" s="582">
        <f t="shared" si="109"/>
        <v>0</v>
      </c>
      <c r="AB110" s="581">
        <f>+'3,4,6 Carcamo aguas lluvias'!I42</f>
        <v>0</v>
      </c>
      <c r="AC110" s="582">
        <f t="shared" si="110"/>
        <v>0</v>
      </c>
      <c r="AE110" s="769" t="e">
        <f t="shared" si="61"/>
        <v>#REF!</v>
      </c>
    </row>
    <row r="111" spans="1:31" ht="15" hidden="1" customHeight="1" x14ac:dyDescent="0.2">
      <c r="A111" s="627" t="s">
        <v>746</v>
      </c>
      <c r="B111" s="610" t="s">
        <v>747</v>
      </c>
      <c r="C111" s="627" t="s">
        <v>111</v>
      </c>
      <c r="D111" s="576">
        <f t="shared" si="99"/>
        <v>0</v>
      </c>
      <c r="E111" s="577" t="e">
        <f t="shared" si="63"/>
        <v>#REF!</v>
      </c>
      <c r="F111" s="577" t="e">
        <f t="shared" si="100"/>
        <v>#REF!</v>
      </c>
      <c r="G111" s="578"/>
      <c r="I111" s="584"/>
      <c r="J111" s="585" t="e">
        <f t="shared" si="101"/>
        <v>#REF!</v>
      </c>
      <c r="K111" s="537"/>
      <c r="L111" s="445" t="e">
        <f t="shared" si="102"/>
        <v>#REF!</v>
      </c>
      <c r="M111" s="542"/>
      <c r="N111" s="445" t="e">
        <f t="shared" si="103"/>
        <v>#REF!</v>
      </c>
      <c r="O111" s="542"/>
      <c r="P111" s="445" t="e">
        <f t="shared" si="104"/>
        <v>#REF!</v>
      </c>
      <c r="Q111" s="542"/>
      <c r="R111" s="445" t="e">
        <f t="shared" si="105"/>
        <v>#REF!</v>
      </c>
      <c r="S111" s="542"/>
      <c r="T111" s="445" t="e">
        <f t="shared" si="106"/>
        <v>#REF!</v>
      </c>
      <c r="V111" s="581" t="e">
        <f>+'3,4,7 Trampa de grasas'!I20</f>
        <v>#REF!</v>
      </c>
      <c r="W111" s="582" t="e">
        <f t="shared" si="107"/>
        <v>#REF!</v>
      </c>
      <c r="X111" s="581">
        <f>+'3,4,7 Trampa de grasas'!I51</f>
        <v>365832.26</v>
      </c>
      <c r="Y111" s="582">
        <f t="shared" si="108"/>
        <v>0</v>
      </c>
      <c r="Z111" s="581">
        <f>+'3,4,7 Trampa de grasas'!I31</f>
        <v>1236.67</v>
      </c>
      <c r="AA111" s="582">
        <f t="shared" si="109"/>
        <v>0</v>
      </c>
      <c r="AB111" s="581">
        <f>+'3,4,7 Trampa de grasas'!I42</f>
        <v>0</v>
      </c>
      <c r="AC111" s="582">
        <f t="shared" si="110"/>
        <v>0</v>
      </c>
      <c r="AE111" s="769" t="e">
        <f t="shared" si="61"/>
        <v>#REF!</v>
      </c>
    </row>
    <row r="112" spans="1:31" ht="15" hidden="1" customHeight="1" x14ac:dyDescent="0.2">
      <c r="A112" s="627" t="s">
        <v>748</v>
      </c>
      <c r="B112" s="610" t="s">
        <v>749</v>
      </c>
      <c r="C112" s="627" t="s">
        <v>111</v>
      </c>
      <c r="D112" s="576">
        <f t="shared" si="99"/>
        <v>0</v>
      </c>
      <c r="E112" s="577" t="e">
        <f>V112+X112+Z112+AB112</f>
        <v>#REF!</v>
      </c>
      <c r="F112" s="577" t="e">
        <f t="shared" si="100"/>
        <v>#REF!</v>
      </c>
      <c r="G112" s="578"/>
      <c r="I112" s="597"/>
      <c r="J112" s="585" t="e">
        <f t="shared" si="101"/>
        <v>#REF!</v>
      </c>
      <c r="K112" s="537"/>
      <c r="L112" s="445" t="e">
        <f t="shared" si="102"/>
        <v>#REF!</v>
      </c>
      <c r="M112" s="542"/>
      <c r="N112" s="445" t="e">
        <f t="shared" si="103"/>
        <v>#REF!</v>
      </c>
      <c r="O112" s="542"/>
      <c r="P112" s="445" t="e">
        <f t="shared" si="104"/>
        <v>#REF!</v>
      </c>
      <c r="Q112" s="542"/>
      <c r="R112" s="445" t="e">
        <f t="shared" si="105"/>
        <v>#REF!</v>
      </c>
      <c r="S112" s="542"/>
      <c r="T112" s="445" t="e">
        <f t="shared" si="106"/>
        <v>#REF!</v>
      </c>
      <c r="V112" s="581" t="e">
        <f>+'3,4,8 Pozo Septico'!I19</f>
        <v>#REF!</v>
      </c>
      <c r="W112" s="582" t="e">
        <f t="shared" si="107"/>
        <v>#REF!</v>
      </c>
      <c r="X112" s="581">
        <f>+'3,4,8 Pozo Septico'!I50</f>
        <v>2160479.2000000002</v>
      </c>
      <c r="Y112" s="582">
        <f t="shared" si="108"/>
        <v>0</v>
      </c>
      <c r="Z112" s="581">
        <f>+'3,4,8 Pozo Septico'!I30</f>
        <v>3523616.67</v>
      </c>
      <c r="AA112" s="582">
        <f t="shared" si="109"/>
        <v>0</v>
      </c>
      <c r="AB112" s="581" t="e">
        <f>+'3,4,8 Pozo Septico'!I41</f>
        <v>#N/A</v>
      </c>
      <c r="AC112" s="582" t="e">
        <f t="shared" si="110"/>
        <v>#N/A</v>
      </c>
      <c r="AE112" s="769" t="e">
        <f t="shared" si="61"/>
        <v>#N/A</v>
      </c>
    </row>
    <row r="113" spans="1:31" s="568" customFormat="1" ht="18" hidden="1" customHeight="1" x14ac:dyDescent="0.2">
      <c r="A113" s="622" t="s">
        <v>750</v>
      </c>
      <c r="B113" s="623" t="s">
        <v>751</v>
      </c>
      <c r="C113" s="846"/>
      <c r="D113" s="576"/>
      <c r="E113" s="577"/>
      <c r="F113" s="180">
        <f>+ROUND(SUM(F114:F118),10)</f>
        <v>0</v>
      </c>
      <c r="G113" s="473"/>
      <c r="I113" s="621"/>
      <c r="J113" s="440">
        <f>ROUND(SUM(J114:J118),10)</f>
        <v>0</v>
      </c>
      <c r="K113" s="539"/>
      <c r="L113" s="180">
        <f>ROUND(SUM(L114:L118),10)</f>
        <v>0</v>
      </c>
      <c r="M113" s="544"/>
      <c r="N113" s="180">
        <f>ROUND(SUM(N114:N118),10)</f>
        <v>0</v>
      </c>
      <c r="O113" s="544"/>
      <c r="P113" s="180">
        <f>ROUND(SUM(P114:P118),10)</f>
        <v>0</v>
      </c>
      <c r="Q113" s="544"/>
      <c r="R113" s="180">
        <f>ROUND(SUM(R114:R118),10)</f>
        <v>0</v>
      </c>
      <c r="S113" s="544"/>
      <c r="T113" s="180">
        <f>ROUND(SUM(T114:T118),10)</f>
        <v>0</v>
      </c>
      <c r="V113" s="575"/>
      <c r="W113" s="570">
        <f>ROUND(SUM(W114:W121),10)</f>
        <v>0</v>
      </c>
      <c r="X113" s="575"/>
      <c r="Y113" s="570">
        <f>ROUND(SUM(Y114:Y121),10)</f>
        <v>0</v>
      </c>
      <c r="Z113" s="575"/>
      <c r="AA113" s="570">
        <f>ROUND(SUM(AA114:AA121),10)</f>
        <v>0</v>
      </c>
      <c r="AB113" s="575"/>
      <c r="AC113" s="570">
        <f>ROUND(SUM(AC114:AC121),10)</f>
        <v>0</v>
      </c>
      <c r="AE113" s="769">
        <f t="shared" si="61"/>
        <v>0</v>
      </c>
    </row>
    <row r="114" spans="1:31" ht="15" hidden="1" customHeight="1" x14ac:dyDescent="0.2">
      <c r="A114" s="627" t="s">
        <v>752</v>
      </c>
      <c r="B114" s="610" t="s">
        <v>621</v>
      </c>
      <c r="C114" s="627" t="s">
        <v>155</v>
      </c>
      <c r="D114" s="576">
        <f>+I114+K114+M114+O114+Q114+S114</f>
        <v>0</v>
      </c>
      <c r="E114" s="577">
        <f t="shared" si="63"/>
        <v>15879.57</v>
      </c>
      <c r="F114" s="577">
        <f>ROUND(D114*E114,10)</f>
        <v>0</v>
      </c>
      <c r="G114" s="578"/>
      <c r="I114" s="594"/>
      <c r="J114" s="580">
        <f>+ROUND(E114*I114,10)</f>
        <v>0</v>
      </c>
      <c r="K114" s="537"/>
      <c r="L114" s="445">
        <f>+ROUND(E114*K114,10)</f>
        <v>0</v>
      </c>
      <c r="M114" s="542"/>
      <c r="N114" s="445">
        <f>+ROUND(E114*M114,10)</f>
        <v>0</v>
      </c>
      <c r="O114" s="542"/>
      <c r="P114" s="445">
        <f>+ROUND(E114*O114,10)</f>
        <v>0</v>
      </c>
      <c r="Q114" s="542"/>
      <c r="R114" s="445">
        <f>+ROUND(E114*Q114,10)</f>
        <v>0</v>
      </c>
      <c r="S114" s="542"/>
      <c r="T114" s="445">
        <f>+ROUND(E114*S114,10)</f>
        <v>0</v>
      </c>
      <c r="V114" s="581">
        <f>+'3,5,1 Exc Man '!I19</f>
        <v>0</v>
      </c>
      <c r="W114" s="582">
        <f>ROUND(V114*$D114,10)</f>
        <v>0</v>
      </c>
      <c r="X114" s="581">
        <f>+'3,5,1 Exc Man '!I50</f>
        <v>14024.57</v>
      </c>
      <c r="Y114" s="582">
        <f>ROUND(X114*$D114,10)</f>
        <v>0</v>
      </c>
      <c r="Z114" s="581">
        <f>+'3,5,1 Exc Man '!I30</f>
        <v>1855</v>
      </c>
      <c r="AA114" s="582">
        <f>ROUND(Z114*$D114,10)</f>
        <v>0</v>
      </c>
      <c r="AB114" s="581">
        <f>+'3,5,1 Exc Man '!I41</f>
        <v>0</v>
      </c>
      <c r="AC114" s="582">
        <f>ROUND(AB114*$D114,10)</f>
        <v>0</v>
      </c>
      <c r="AE114" s="769">
        <f t="shared" si="61"/>
        <v>0</v>
      </c>
    </row>
    <row r="115" spans="1:31" ht="15" hidden="1" customHeight="1" x14ac:dyDescent="0.2">
      <c r="A115" s="627" t="s">
        <v>753</v>
      </c>
      <c r="B115" s="610" t="s">
        <v>754</v>
      </c>
      <c r="C115" s="627" t="s">
        <v>155</v>
      </c>
      <c r="D115" s="576">
        <f>+I115+K115+M115+O115+Q115+S115</f>
        <v>0</v>
      </c>
      <c r="E115" s="577">
        <f t="shared" si="63"/>
        <v>12139.68</v>
      </c>
      <c r="F115" s="577">
        <f>ROUND(D115*E115,10)</f>
        <v>0</v>
      </c>
      <c r="G115" s="578"/>
      <c r="I115" s="584"/>
      <c r="J115" s="585">
        <f>+ROUND(E115*I115,10)</f>
        <v>0</v>
      </c>
      <c r="K115" s="537"/>
      <c r="L115" s="445">
        <f>+ROUND(E115*K115,10)</f>
        <v>0</v>
      </c>
      <c r="M115" s="542"/>
      <c r="N115" s="445">
        <f>+ROUND(E115*M115,10)</f>
        <v>0</v>
      </c>
      <c r="O115" s="542"/>
      <c r="P115" s="445">
        <f>+ROUND(E115*O115,10)</f>
        <v>0</v>
      </c>
      <c r="Q115" s="542"/>
      <c r="R115" s="445">
        <f>+ROUND(E115*Q115,10)</f>
        <v>0</v>
      </c>
      <c r="S115" s="542"/>
      <c r="T115" s="445">
        <f>+ROUND(E115*S115,10)</f>
        <v>0</v>
      </c>
      <c r="V115" s="581">
        <f>+'3,5,2 Exc en recebo comp.'!I19</f>
        <v>0</v>
      </c>
      <c r="W115" s="582">
        <f>ROUND(V115*$D115,10)</f>
        <v>0</v>
      </c>
      <c r="X115" s="581">
        <f>+'3,5,2 Exc en recebo comp.'!I50</f>
        <v>10284.68</v>
      </c>
      <c r="Y115" s="582">
        <f>ROUND(X115*$D115,10)</f>
        <v>0</v>
      </c>
      <c r="Z115" s="581">
        <f>+'3,5,2 Exc en recebo comp.'!I30</f>
        <v>1855</v>
      </c>
      <c r="AA115" s="582">
        <f>ROUND(Z115*$D115,10)</f>
        <v>0</v>
      </c>
      <c r="AB115" s="581">
        <f>+'3,5,2 Exc en recebo comp.'!I41</f>
        <v>0</v>
      </c>
      <c r="AC115" s="582">
        <f>ROUND(AB115*$D115,10)</f>
        <v>0</v>
      </c>
      <c r="AE115" s="769">
        <f t="shared" si="61"/>
        <v>0</v>
      </c>
    </row>
    <row r="116" spans="1:31" ht="15" hidden="1" customHeight="1" x14ac:dyDescent="0.2">
      <c r="A116" s="627" t="s">
        <v>755</v>
      </c>
      <c r="B116" s="610" t="s">
        <v>756</v>
      </c>
      <c r="C116" s="627" t="s">
        <v>155</v>
      </c>
      <c r="D116" s="576">
        <f>+I116+K116+M116+O116+Q116+S116</f>
        <v>0</v>
      </c>
      <c r="E116" s="577">
        <f t="shared" si="63"/>
        <v>25251.439999999999</v>
      </c>
      <c r="F116" s="577">
        <f>ROUND(D116*E116,10)</f>
        <v>0</v>
      </c>
      <c r="G116" s="578"/>
      <c r="I116" s="584"/>
      <c r="J116" s="624">
        <f>+ROUND(E116*I116,10)</f>
        <v>0</v>
      </c>
      <c r="K116" s="537"/>
      <c r="L116" s="445">
        <f>+ROUND(E116*K116,10)</f>
        <v>0</v>
      </c>
      <c r="M116" s="542"/>
      <c r="N116" s="445">
        <f>+ROUND(E116*M116,10)</f>
        <v>0</v>
      </c>
      <c r="O116" s="542"/>
      <c r="P116" s="445">
        <f>+ROUND(E116*O116,10)</f>
        <v>0</v>
      </c>
      <c r="Q116" s="542"/>
      <c r="R116" s="445">
        <f>+ROUND(E116*Q116,10)</f>
        <v>0</v>
      </c>
      <c r="S116" s="542"/>
      <c r="T116" s="445">
        <f>+ROUND(E116*S116,10)</f>
        <v>0</v>
      </c>
      <c r="V116" s="581">
        <f>+'3,5,3  Relleno M seleccionado'!I19</f>
        <v>0</v>
      </c>
      <c r="W116" s="582">
        <f>ROUND(V116*$D116,10)</f>
        <v>0</v>
      </c>
      <c r="X116" s="581">
        <f>+'3,5,3  Relleno M seleccionado'!I50</f>
        <v>18149.439999999999</v>
      </c>
      <c r="Y116" s="582">
        <f>ROUND(X116*$D116,10)</f>
        <v>0</v>
      </c>
      <c r="Z116" s="581">
        <f>+'3,5,3  Relleno M seleccionado'!I30</f>
        <v>7102</v>
      </c>
      <c r="AA116" s="582">
        <f>ROUND(Z116*$D116,10)</f>
        <v>0</v>
      </c>
      <c r="AB116" s="581">
        <f>+'3,5,3  Relleno M seleccionado'!I41</f>
        <v>0</v>
      </c>
      <c r="AC116" s="582">
        <f>ROUND(AB116*$D116,10)</f>
        <v>0</v>
      </c>
      <c r="AE116" s="769">
        <f t="shared" si="61"/>
        <v>0</v>
      </c>
    </row>
    <row r="117" spans="1:31" ht="15" hidden="1" customHeight="1" x14ac:dyDescent="0.2">
      <c r="A117" s="627" t="s">
        <v>757</v>
      </c>
      <c r="B117" s="610" t="s">
        <v>758</v>
      </c>
      <c r="C117" s="627" t="s">
        <v>155</v>
      </c>
      <c r="D117" s="576">
        <f>+I117+K117+M117+O117+Q117+S117</f>
        <v>0</v>
      </c>
      <c r="E117" s="577">
        <f t="shared" si="63"/>
        <v>22529.02</v>
      </c>
      <c r="F117" s="577">
        <f>ROUND(D117*E117,10)</f>
        <v>0</v>
      </c>
      <c r="G117" s="578"/>
      <c r="I117" s="584"/>
      <c r="J117" s="624">
        <f>+ROUND(E117*I117,10)</f>
        <v>0</v>
      </c>
      <c r="K117" s="537"/>
      <c r="L117" s="445">
        <f>+ROUND(E117*K117,10)</f>
        <v>0</v>
      </c>
      <c r="M117" s="542"/>
      <c r="N117" s="445">
        <f>+ROUND(E117*M117,10)</f>
        <v>0</v>
      </c>
      <c r="O117" s="542"/>
      <c r="P117" s="445">
        <f>+ROUND(E117*O117,10)</f>
        <v>0</v>
      </c>
      <c r="Q117" s="542"/>
      <c r="R117" s="445">
        <f>+ROUND(E117*Q117,10)</f>
        <v>0</v>
      </c>
      <c r="S117" s="542"/>
      <c r="T117" s="445">
        <f>+ROUND(E117*S117,10)</f>
        <v>0</v>
      </c>
      <c r="V117" s="581">
        <f>+'3,5,4 Relleno M Común '!I19</f>
        <v>0</v>
      </c>
      <c r="W117" s="582">
        <f>ROUND(V117*$D117,10)</f>
        <v>0</v>
      </c>
      <c r="X117" s="581">
        <f>+'3,5,4 Relleno M Común '!I50</f>
        <v>15427.02</v>
      </c>
      <c r="Y117" s="582">
        <f>ROUND(X117*$D117,10)</f>
        <v>0</v>
      </c>
      <c r="Z117" s="581">
        <f>+'3,5,4 Relleno M Común '!I30</f>
        <v>7102</v>
      </c>
      <c r="AA117" s="582">
        <f>ROUND(Z117*$D117,10)</f>
        <v>0</v>
      </c>
      <c r="AB117" s="581">
        <f>+'3,5,4 Relleno M Común '!I41</f>
        <v>0</v>
      </c>
      <c r="AC117" s="582">
        <f>ROUND(AB117*$D117,10)</f>
        <v>0</v>
      </c>
      <c r="AE117" s="769">
        <f t="shared" si="61"/>
        <v>0</v>
      </c>
    </row>
    <row r="118" spans="1:31" ht="15" hidden="1" customHeight="1" x14ac:dyDescent="0.2">
      <c r="A118" s="627" t="s">
        <v>759</v>
      </c>
      <c r="B118" s="610" t="s">
        <v>760</v>
      </c>
      <c r="C118" s="627" t="s">
        <v>155</v>
      </c>
      <c r="D118" s="576">
        <f>+I118+K118+M118+O118+Q118+S118</f>
        <v>0</v>
      </c>
      <c r="E118" s="577">
        <f t="shared" si="63"/>
        <v>9568.51</v>
      </c>
      <c r="F118" s="577">
        <f>ROUND(D118*E118,10)</f>
        <v>0</v>
      </c>
      <c r="G118" s="578"/>
      <c r="I118" s="597"/>
      <c r="J118" s="625">
        <f>+ROUND(E118*I118,10)</f>
        <v>0</v>
      </c>
      <c r="K118" s="537"/>
      <c r="L118" s="445">
        <f>+ROUND(E118*K118,10)</f>
        <v>0</v>
      </c>
      <c r="M118" s="542"/>
      <c r="N118" s="445">
        <f>+ROUND(E118*M118,10)</f>
        <v>0</v>
      </c>
      <c r="O118" s="542"/>
      <c r="P118" s="445">
        <f>+ROUND(E118*O118,10)</f>
        <v>0</v>
      </c>
      <c r="Q118" s="542"/>
      <c r="R118" s="445">
        <f>+ROUND(E118*Q118,10)</f>
        <v>0</v>
      </c>
      <c r="S118" s="542"/>
      <c r="T118" s="445">
        <f>+ROUND(E118*S118,10)</f>
        <v>0</v>
      </c>
      <c r="V118" s="581">
        <f>+'3,5,5 Retiro sobrantes'!I19</f>
        <v>0</v>
      </c>
      <c r="W118" s="582">
        <f>ROUND(V118*$D118,10)</f>
        <v>0</v>
      </c>
      <c r="X118" s="581">
        <f>+'3,5,5 Retiro sobrantes'!I50</f>
        <v>7713.51</v>
      </c>
      <c r="Y118" s="582">
        <f>ROUND(X118*$D118,10)</f>
        <v>0</v>
      </c>
      <c r="Z118" s="581">
        <f>+'3,5,5 Retiro sobrantes'!I30</f>
        <v>1855</v>
      </c>
      <c r="AA118" s="582">
        <f>ROUND(Z118*$D118,10)</f>
        <v>0</v>
      </c>
      <c r="AB118" s="581">
        <f>+'3,5,5 Retiro sobrantes'!I41</f>
        <v>0</v>
      </c>
      <c r="AC118" s="582">
        <f>ROUND(AB118*$D118,10)</f>
        <v>0</v>
      </c>
      <c r="AE118" s="769">
        <f t="shared" si="61"/>
        <v>0</v>
      </c>
    </row>
    <row r="119" spans="1:31" ht="15" hidden="1" customHeight="1" x14ac:dyDescent="0.2">
      <c r="A119" s="622">
        <v>3.6</v>
      </c>
      <c r="B119" s="623" t="s">
        <v>598</v>
      </c>
      <c r="C119" s="627"/>
      <c r="D119" s="576"/>
      <c r="E119" s="577"/>
      <c r="F119" s="626">
        <f>+ROUND(SUM(F120),10)</f>
        <v>0</v>
      </c>
      <c r="G119" s="578"/>
      <c r="I119" s="613"/>
      <c r="J119" s="440">
        <f>ROUND(SUM(J120),10)</f>
        <v>0</v>
      </c>
      <c r="K119" s="537"/>
      <c r="L119" s="180">
        <f>ROUND(SUM(L120),10)</f>
        <v>0</v>
      </c>
      <c r="M119" s="542"/>
      <c r="N119" s="180">
        <f>ROUND(SUM(N120),10)</f>
        <v>0</v>
      </c>
      <c r="O119" s="542"/>
      <c r="P119" s="180">
        <f>ROUND(SUM(P120),10)</f>
        <v>0</v>
      </c>
      <c r="Q119" s="542"/>
      <c r="R119" s="180">
        <f>ROUND(SUM(R120),10)</f>
        <v>0</v>
      </c>
      <c r="S119" s="542"/>
      <c r="T119" s="180">
        <f>ROUND(SUM(T120),10)</f>
        <v>0</v>
      </c>
      <c r="V119" s="581"/>
      <c r="W119" s="570">
        <f>ROUND(SUM(W120),10)</f>
        <v>0</v>
      </c>
      <c r="X119" s="581"/>
      <c r="Y119" s="570">
        <f>ROUND(SUM(Y120),10)</f>
        <v>0</v>
      </c>
      <c r="Z119" s="581"/>
      <c r="AA119" s="570">
        <f>ROUND(SUM(AA120),10)</f>
        <v>0</v>
      </c>
      <c r="AB119" s="581"/>
      <c r="AC119" s="570">
        <f>ROUND(SUM(AC120),10)</f>
        <v>0</v>
      </c>
      <c r="AE119" s="769">
        <f t="shared" si="61"/>
        <v>0</v>
      </c>
    </row>
    <row r="120" spans="1:31" ht="15" hidden="1" customHeight="1" thickBot="1" x14ac:dyDescent="0.25">
      <c r="A120" s="627" t="s">
        <v>761</v>
      </c>
      <c r="B120" s="610" t="s">
        <v>762</v>
      </c>
      <c r="C120" s="627" t="s">
        <v>111</v>
      </c>
      <c r="D120" s="576">
        <f>+I120+K120+M120+O120+Q120+S120</f>
        <v>0</v>
      </c>
      <c r="E120" s="577">
        <f t="shared" si="63"/>
        <v>0</v>
      </c>
      <c r="F120" s="577">
        <f>ROUND(D120*E120,10)</f>
        <v>0</v>
      </c>
      <c r="G120" s="578"/>
      <c r="I120" s="628"/>
      <c r="J120" s="629">
        <f>+ROUND(E120*I120,10)</f>
        <v>0</v>
      </c>
      <c r="K120" s="537"/>
      <c r="L120" s="445">
        <f>+ROUND(E120*K120,10)</f>
        <v>0</v>
      </c>
      <c r="M120" s="542"/>
      <c r="N120" s="445">
        <f>+ROUND(E120*M120,10)</f>
        <v>0</v>
      </c>
      <c r="O120" s="542"/>
      <c r="P120" s="445">
        <f>+ROUND(E120*O120,10)</f>
        <v>0</v>
      </c>
      <c r="Q120" s="542"/>
      <c r="R120" s="445">
        <f>+ROUND(E120*Q120,10)</f>
        <v>0</v>
      </c>
      <c r="S120" s="542"/>
      <c r="T120" s="445">
        <f>+ROUND(E120*S120,10)</f>
        <v>0</v>
      </c>
      <c r="V120" s="581"/>
      <c r="W120" s="582">
        <f>ROUND(V120*$D120,10)</f>
        <v>0</v>
      </c>
      <c r="X120" s="581"/>
      <c r="Y120" s="582">
        <f>ROUND(X120*$D120,10)</f>
        <v>0</v>
      </c>
      <c r="Z120" s="581"/>
      <c r="AA120" s="582">
        <f>ROUND(Z120*$D120,10)</f>
        <v>0</v>
      </c>
      <c r="AB120" s="581"/>
      <c r="AC120" s="582">
        <f>ROUND(AB120*$D120,10)</f>
        <v>0</v>
      </c>
      <c r="AE120" s="769">
        <f t="shared" si="61"/>
        <v>0</v>
      </c>
    </row>
    <row r="121" spans="1:31" ht="15" hidden="1" customHeight="1" thickTop="1" x14ac:dyDescent="0.2">
      <c r="A121" s="611"/>
      <c r="B121" s="601"/>
      <c r="C121" s="611"/>
      <c r="D121" s="576"/>
      <c r="E121" s="577"/>
      <c r="F121" s="577"/>
      <c r="G121" s="578"/>
      <c r="I121" s="604"/>
      <c r="J121" s="630"/>
      <c r="K121" s="537"/>
      <c r="L121" s="445"/>
      <c r="M121" s="542"/>
      <c r="N121" s="445"/>
      <c r="O121" s="542"/>
      <c r="P121" s="445"/>
      <c r="Q121" s="542"/>
      <c r="R121" s="445"/>
      <c r="S121" s="542"/>
      <c r="T121" s="445"/>
      <c r="V121" s="581"/>
      <c r="W121" s="582"/>
      <c r="X121" s="581"/>
      <c r="Y121" s="582"/>
      <c r="Z121" s="581"/>
      <c r="AA121" s="582"/>
      <c r="AB121" s="581"/>
      <c r="AC121" s="582"/>
      <c r="AE121" s="769">
        <f t="shared" si="61"/>
        <v>0</v>
      </c>
    </row>
    <row r="122" spans="1:31" ht="6" customHeight="1" thickBot="1" x14ac:dyDescent="0.25">
      <c r="A122" s="910"/>
      <c r="B122" s="911"/>
      <c r="C122" s="910"/>
      <c r="G122" s="174"/>
      <c r="I122" s="604"/>
      <c r="J122" s="604"/>
      <c r="K122" s="605"/>
      <c r="L122" s="604"/>
      <c r="M122" s="606"/>
      <c r="N122" s="604"/>
      <c r="O122" s="606"/>
      <c r="P122" s="604"/>
      <c r="Q122" s="606"/>
      <c r="R122" s="604"/>
      <c r="S122" s="606"/>
      <c r="T122" s="604"/>
      <c r="V122" s="615"/>
      <c r="W122" s="615"/>
      <c r="X122" s="615"/>
      <c r="Y122" s="615"/>
      <c r="Z122" s="615"/>
      <c r="AA122" s="615"/>
      <c r="AB122" s="615"/>
      <c r="AC122" s="615"/>
      <c r="AE122" s="769"/>
    </row>
    <row r="123" spans="1:31" s="571" customFormat="1" ht="30" customHeight="1" thickTop="1" thickBot="1" x14ac:dyDescent="0.25">
      <c r="A123" s="564">
        <v>4</v>
      </c>
      <c r="B123" s="1045" t="s">
        <v>763</v>
      </c>
      <c r="C123" s="1045"/>
      <c r="D123" s="1045"/>
      <c r="E123" s="1045"/>
      <c r="F123" s="1045"/>
      <c r="G123" s="180" t="e">
        <f>+ROUND(F124+F128+F132+F142+F147+F151+F166,10)</f>
        <v>#REF!</v>
      </c>
      <c r="H123" s="568"/>
      <c r="I123" s="616"/>
      <c r="J123" s="439" t="e">
        <f>+ROUND(J124+J128+J132+J142+J147+J151+J166,10)</f>
        <v>#REF!</v>
      </c>
      <c r="K123" s="617"/>
      <c r="L123" s="180" t="e">
        <f>+ROUND(L124+L128+L132+L142+L147+L151+L166,10)</f>
        <v>#REF!</v>
      </c>
      <c r="M123" s="180"/>
      <c r="N123" s="180" t="e">
        <f>+ROUND(N124+N128+N132+N142+N147+N151+N166,10)</f>
        <v>#REF!</v>
      </c>
      <c r="O123" s="180"/>
      <c r="P123" s="180" t="e">
        <f>+ROUND(P124+P128+P132+P142+P147+P151+P166,10)</f>
        <v>#REF!</v>
      </c>
      <c r="Q123" s="180"/>
      <c r="R123" s="180" t="e">
        <f>+ROUND(R124+R128+R132+R142+R147+R151+R166,10)</f>
        <v>#REF!</v>
      </c>
      <c r="S123" s="180"/>
      <c r="T123" s="180" t="e">
        <f>+ROUND(T124+T128+T132+T142+T147+T151+T166,10)</f>
        <v>#REF!</v>
      </c>
      <c r="U123" s="568"/>
      <c r="V123" s="569" t="e">
        <f>W123/$G$123</f>
        <v>#REF!</v>
      </c>
      <c r="W123" s="570" t="e">
        <f>ROUND(W124+W128+W132+W142+W147+W151+W166,10)</f>
        <v>#REF!</v>
      </c>
      <c r="X123" s="569" t="e">
        <f>Y123/$G$123</f>
        <v>#REF!</v>
      </c>
      <c r="Y123" s="570" t="e">
        <f>ROUND(Y124+Y128+Y132+Y142+Y147+Y151+Y166,10)</f>
        <v>#REF!</v>
      </c>
      <c r="Z123" s="569" t="e">
        <f>AA123/$G$123</f>
        <v>#REF!</v>
      </c>
      <c r="AA123" s="570" t="e">
        <f>ROUND(AA124+AA128+AA132+AA142+AA147+AA151+AA166,10)</f>
        <v>#REF!</v>
      </c>
      <c r="AB123" s="569" t="e">
        <f>AC123/$G$123</f>
        <v>#REF!</v>
      </c>
      <c r="AC123" s="570" t="e">
        <f>ROUND(AC124+AC128+AC132+AC142+AC147+AC151+AC166,10)</f>
        <v>#REF!</v>
      </c>
      <c r="AE123" s="769" t="e">
        <f t="shared" si="61"/>
        <v>#REF!</v>
      </c>
    </row>
    <row r="124" spans="1:31" s="571" customFormat="1" ht="18" customHeight="1" thickTop="1" x14ac:dyDescent="0.2">
      <c r="A124" s="572" t="s">
        <v>764</v>
      </c>
      <c r="B124" s="573" t="s">
        <v>765</v>
      </c>
      <c r="C124" s="846"/>
      <c r="D124" s="576"/>
      <c r="E124" s="180"/>
      <c r="F124" s="180" t="e">
        <f>+ROUND(SUM(F125:F127),10)</f>
        <v>#REF!</v>
      </c>
      <c r="G124" s="473"/>
      <c r="H124" s="568"/>
      <c r="I124" s="618"/>
      <c r="J124" s="439" t="e">
        <f>ROUND(SUM(J125:J127),10)</f>
        <v>#REF!</v>
      </c>
      <c r="K124" s="619"/>
      <c r="L124" s="180" t="e">
        <f>ROUND(SUM(L125:L127),10)</f>
        <v>#REF!</v>
      </c>
      <c r="M124" s="620"/>
      <c r="N124" s="180" t="e">
        <f>ROUND(SUM(N125:N127),10)</f>
        <v>#REF!</v>
      </c>
      <c r="O124" s="620"/>
      <c r="P124" s="180" t="e">
        <f>ROUND(SUM(P125:P127),10)</f>
        <v>#REF!</v>
      </c>
      <c r="Q124" s="620"/>
      <c r="R124" s="180" t="e">
        <f>ROUND(SUM(R125:R127),10)</f>
        <v>#REF!</v>
      </c>
      <c r="S124" s="620"/>
      <c r="T124" s="180" t="e">
        <f>ROUND(SUM(T125:T127),10)</f>
        <v>#REF!</v>
      </c>
      <c r="U124" s="568"/>
      <c r="V124" s="575"/>
      <c r="W124" s="570" t="e">
        <f>ROUND(SUM(W125:W127),10)</f>
        <v>#REF!</v>
      </c>
      <c r="X124" s="575"/>
      <c r="Y124" s="570" t="e">
        <f>ROUND(SUM(Y125:Y127),10)</f>
        <v>#REF!</v>
      </c>
      <c r="Z124" s="575"/>
      <c r="AA124" s="570" t="e">
        <f>ROUND(SUM(AA125:AA127),10)</f>
        <v>#REF!</v>
      </c>
      <c r="AB124" s="575"/>
      <c r="AC124" s="570" t="e">
        <f>ROUND(SUM(AC125:AC127),10)</f>
        <v>#REF!</v>
      </c>
      <c r="AE124" s="769" t="e">
        <f t="shared" si="61"/>
        <v>#REF!</v>
      </c>
    </row>
    <row r="125" spans="1:31" ht="15" customHeight="1" x14ac:dyDescent="0.2">
      <c r="A125" s="611" t="s">
        <v>766</v>
      </c>
      <c r="B125" s="601" t="s">
        <v>767</v>
      </c>
      <c r="C125" s="611" t="s">
        <v>155</v>
      </c>
      <c r="D125" s="576">
        <f>+I125+K125+M125+O125+Q125+S125</f>
        <v>29.819999999999997</v>
      </c>
      <c r="E125" s="577" t="e">
        <f t="shared" ref="E125:E169" si="111">V125+X125+Z125+AB125</f>
        <v>#REF!</v>
      </c>
      <c r="F125" s="577" t="e">
        <f>ROUND(D125*E125,10)</f>
        <v>#REF!</v>
      </c>
      <c r="G125" s="578"/>
      <c r="I125" s="594"/>
      <c r="J125" s="580" t="e">
        <f>+ROUND(E125*I125,10)</f>
        <v>#REF!</v>
      </c>
      <c r="K125" s="537">
        <f>21.96+0.25</f>
        <v>22.21</v>
      </c>
      <c r="L125" s="445" t="e">
        <f>+ROUND(E125*K125,10)</f>
        <v>#REF!</v>
      </c>
      <c r="M125" s="542">
        <v>2.76</v>
      </c>
      <c r="N125" s="445" t="e">
        <f>+ROUND(E125*M125,10)</f>
        <v>#REF!</v>
      </c>
      <c r="O125" s="537">
        <v>4.47</v>
      </c>
      <c r="P125" s="445" t="e">
        <f>+ROUND(E125*O125,10)</f>
        <v>#REF!</v>
      </c>
      <c r="Q125" s="537"/>
      <c r="R125" s="445" t="e">
        <f>+ROUND(E125*Q125,10)</f>
        <v>#REF!</v>
      </c>
      <c r="S125" s="537">
        <v>0.38</v>
      </c>
      <c r="T125" s="445" t="e">
        <f>+ROUND(E125*S125,10)</f>
        <v>#REF!</v>
      </c>
      <c r="V125" s="581" t="e">
        <f>+#REF!</f>
        <v>#REF!</v>
      </c>
      <c r="W125" s="582" t="e">
        <f>ROUND(V125*$D125,10)</f>
        <v>#REF!</v>
      </c>
      <c r="X125" s="581" t="e">
        <f>+#REF!</f>
        <v>#REF!</v>
      </c>
      <c r="Y125" s="582" t="e">
        <f>ROUND(X125*$D125,10)</f>
        <v>#REF!</v>
      </c>
      <c r="Z125" s="581" t="e">
        <f>+#REF!</f>
        <v>#REF!</v>
      </c>
      <c r="AA125" s="582" t="e">
        <f>ROUND(Z125*$D125,10)</f>
        <v>#REF!</v>
      </c>
      <c r="AB125" s="581" t="e">
        <f>+#REF!</f>
        <v>#REF!</v>
      </c>
      <c r="AC125" s="582" t="e">
        <f>ROUND(AB125*$D125,10)</f>
        <v>#REF!</v>
      </c>
      <c r="AE125" s="769" t="e">
        <f t="shared" si="61"/>
        <v>#REF!</v>
      </c>
    </row>
    <row r="126" spans="1:31" ht="15" hidden="1" customHeight="1" x14ac:dyDescent="0.2">
      <c r="A126" s="611" t="s">
        <v>768</v>
      </c>
      <c r="B126" s="649" t="s">
        <v>769</v>
      </c>
      <c r="C126" s="611" t="s">
        <v>155</v>
      </c>
      <c r="D126" s="576">
        <f>+I126+K126+M126+O126+Q126+S126</f>
        <v>0</v>
      </c>
      <c r="E126" s="577" t="e">
        <f t="shared" si="111"/>
        <v>#REF!</v>
      </c>
      <c r="F126" s="577" t="e">
        <f>ROUND(D126*E126,10)</f>
        <v>#REF!</v>
      </c>
      <c r="G126" s="578"/>
      <c r="I126" s="584"/>
      <c r="J126" s="585" t="e">
        <f>+ROUND(E126*I126,10)</f>
        <v>#REF!</v>
      </c>
      <c r="K126" s="537"/>
      <c r="L126" s="445" t="e">
        <f>+ROUND(E126*K126,10)</f>
        <v>#REF!</v>
      </c>
      <c r="M126" s="542"/>
      <c r="N126" s="445" t="e">
        <f>+ROUND(E126*M126,10)</f>
        <v>#REF!</v>
      </c>
      <c r="O126" s="542"/>
      <c r="P126" s="445" t="e">
        <f>+ROUND(E126*O126,10)</f>
        <v>#REF!</v>
      </c>
      <c r="Q126" s="542"/>
      <c r="R126" s="445" t="e">
        <f>+ROUND(E126*Q126,10)</f>
        <v>#REF!</v>
      </c>
      <c r="S126" s="542"/>
      <c r="T126" s="445" t="e">
        <f>+ROUND(E126*S126,10)</f>
        <v>#REF!</v>
      </c>
      <c r="V126" s="581" t="e">
        <f>+'4,1,2 Pantalla en concreto'!I19</f>
        <v>#REF!</v>
      </c>
      <c r="W126" s="582" t="e">
        <f>ROUND(V126*$D126,10)</f>
        <v>#REF!</v>
      </c>
      <c r="X126" s="581">
        <f>+'4,1,2 Pantalla en concreto'!I50</f>
        <v>258740.02</v>
      </c>
      <c r="Y126" s="582">
        <f>ROUND(X126*$D126,10)</f>
        <v>0</v>
      </c>
      <c r="Z126" s="581">
        <f>+'4,1,2 Pantalla en concreto'!I30</f>
        <v>29828.400000000001</v>
      </c>
      <c r="AA126" s="582">
        <f>ROUND(Z126*$D126,10)</f>
        <v>0</v>
      </c>
      <c r="AB126" s="581">
        <f>+'4,1,2 Pantalla en concreto'!I41</f>
        <v>0</v>
      </c>
      <c r="AC126" s="582">
        <f>ROUND(AB126*$D126,10)</f>
        <v>0</v>
      </c>
      <c r="AE126" s="769" t="e">
        <f t="shared" si="61"/>
        <v>#REF!</v>
      </c>
    </row>
    <row r="127" spans="1:31" ht="15.75" hidden="1" customHeight="1" x14ac:dyDescent="0.2">
      <c r="A127" s="611" t="s">
        <v>770</v>
      </c>
      <c r="B127" s="649" t="s">
        <v>771</v>
      </c>
      <c r="C127" s="611" t="s">
        <v>155</v>
      </c>
      <c r="D127" s="576">
        <f>+I127+K127+M127+O127+Q127+S127</f>
        <v>0</v>
      </c>
      <c r="E127" s="577" t="e">
        <f t="shared" si="111"/>
        <v>#REF!</v>
      </c>
      <c r="F127" s="577" t="e">
        <f>ROUND(D127*E127,10)</f>
        <v>#REF!</v>
      </c>
      <c r="G127" s="578"/>
      <c r="I127" s="597"/>
      <c r="J127" s="598" t="e">
        <f>+ROUND(E127*I127,10)</f>
        <v>#REF!</v>
      </c>
      <c r="K127" s="537"/>
      <c r="L127" s="445" t="e">
        <f>+ROUND(E127*K127,10)</f>
        <v>#REF!</v>
      </c>
      <c r="M127" s="542"/>
      <c r="N127" s="445" t="e">
        <f>+ROUND(E127*M127,10)</f>
        <v>#REF!</v>
      </c>
      <c r="O127" s="542"/>
      <c r="P127" s="445" t="e">
        <f>+ROUND(E127*O127,10)</f>
        <v>#REF!</v>
      </c>
      <c r="Q127" s="542"/>
      <c r="R127" s="445" t="e">
        <f>+ROUND(E127*Q127,10)</f>
        <v>#REF!</v>
      </c>
      <c r="S127" s="542"/>
      <c r="T127" s="445" t="e">
        <f>+ROUND(E127*S127,10)</f>
        <v>#REF!</v>
      </c>
      <c r="V127" s="581" t="e">
        <f>+'4,1,3 Muros'!I19</f>
        <v>#REF!</v>
      </c>
      <c r="W127" s="582" t="e">
        <f>ROUND(V127*$D127,10)</f>
        <v>#REF!</v>
      </c>
      <c r="X127" s="581">
        <f>+'4,1,3 Muros'!I50</f>
        <v>246911.91</v>
      </c>
      <c r="Y127" s="582">
        <f>ROUND(X127*$D127,10)</f>
        <v>0</v>
      </c>
      <c r="Z127" s="581">
        <f>+'4,1,3 Muros'!I30</f>
        <v>12614</v>
      </c>
      <c r="AA127" s="582">
        <f>ROUND(Z127*$D127,10)</f>
        <v>0</v>
      </c>
      <c r="AB127" s="581">
        <f>+'4,1,3 Muros'!I41</f>
        <v>0</v>
      </c>
      <c r="AC127" s="582">
        <f>ROUND(AB127*$D127,10)</f>
        <v>0</v>
      </c>
      <c r="AE127" s="769" t="e">
        <f t="shared" si="61"/>
        <v>#REF!</v>
      </c>
    </row>
    <row r="128" spans="1:31" s="568" customFormat="1" ht="18" customHeight="1" x14ac:dyDescent="0.2">
      <c r="A128" s="572" t="s">
        <v>772</v>
      </c>
      <c r="B128" s="573" t="s">
        <v>773</v>
      </c>
      <c r="C128" s="846"/>
      <c r="D128" s="576"/>
      <c r="E128" s="577"/>
      <c r="F128" s="180" t="e">
        <f>+ROUND(SUM(F129:F131),10)</f>
        <v>#REF!</v>
      </c>
      <c r="G128" s="473"/>
      <c r="I128" s="613"/>
      <c r="J128" s="440" t="e">
        <f>ROUND(SUM(J129:J131),10)</f>
        <v>#REF!</v>
      </c>
      <c r="K128" s="537"/>
      <c r="L128" s="180" t="e">
        <f>ROUND(SUM(L129:L131),10)</f>
        <v>#REF!</v>
      </c>
      <c r="M128" s="542"/>
      <c r="N128" s="180" t="e">
        <f>ROUND(SUM(N129:N131),10)</f>
        <v>#REF!</v>
      </c>
      <c r="O128" s="542"/>
      <c r="P128" s="180" t="e">
        <f>ROUND(SUM(P129:P131),10)</f>
        <v>#REF!</v>
      </c>
      <c r="Q128" s="542"/>
      <c r="R128" s="180" t="e">
        <f>ROUND(SUM(R129:R131),10)</f>
        <v>#REF!</v>
      </c>
      <c r="S128" s="542"/>
      <c r="T128" s="180" t="e">
        <f>ROUND(SUM(T129:T131),10)</f>
        <v>#REF!</v>
      </c>
      <c r="V128" s="575"/>
      <c r="W128" s="570" t="e">
        <f>ROUND(SUM(W129:W131),10)</f>
        <v>#REF!</v>
      </c>
      <c r="X128" s="575"/>
      <c r="Y128" s="570" t="e">
        <f>ROUND(SUM(Y129:Y131),10)</f>
        <v>#REF!</v>
      </c>
      <c r="Z128" s="575"/>
      <c r="AA128" s="570" t="e">
        <f>ROUND(SUM(AA129:AA131),10)</f>
        <v>#REF!</v>
      </c>
      <c r="AB128" s="575"/>
      <c r="AC128" s="570" t="e">
        <f>ROUND(SUM(AC129:AC131),10)</f>
        <v>#REF!</v>
      </c>
      <c r="AE128" s="769" t="e">
        <f t="shared" si="61"/>
        <v>#REF!</v>
      </c>
    </row>
    <row r="129" spans="1:31" ht="15" customHeight="1" x14ac:dyDescent="0.2">
      <c r="A129" s="611" t="s">
        <v>774</v>
      </c>
      <c r="B129" s="601" t="s">
        <v>775</v>
      </c>
      <c r="C129" s="611" t="s">
        <v>155</v>
      </c>
      <c r="D129" s="576">
        <f>+I129+K129+M129+O129+Q129+S129</f>
        <v>19.019999999999996</v>
      </c>
      <c r="E129" s="577" t="e">
        <f t="shared" si="111"/>
        <v>#REF!</v>
      </c>
      <c r="F129" s="577" t="e">
        <f>ROUND(D129*E129,10)</f>
        <v>#REF!</v>
      </c>
      <c r="G129" s="578"/>
      <c r="I129" s="594"/>
      <c r="J129" s="580" t="e">
        <f>+ROUND(E129*I129,10)</f>
        <v>#REF!</v>
      </c>
      <c r="K129" s="537">
        <v>13.62</v>
      </c>
      <c r="L129" s="445" t="e">
        <f>+ROUND(E129*K129,10)</f>
        <v>#REF!</v>
      </c>
      <c r="M129" s="542">
        <v>1.45</v>
      </c>
      <c r="N129" s="445" t="e">
        <f>+ROUND(E129*M129,10)</f>
        <v>#REF!</v>
      </c>
      <c r="O129" s="542"/>
      <c r="P129" s="445" t="e">
        <f>+ROUND(E129*O129,10)</f>
        <v>#REF!</v>
      </c>
      <c r="Q129" s="537">
        <v>2.64</v>
      </c>
      <c r="R129" s="445" t="e">
        <f>+ROUND(E129*Q129,10)</f>
        <v>#REF!</v>
      </c>
      <c r="S129" s="537">
        <v>1.31</v>
      </c>
      <c r="T129" s="445" t="e">
        <f>+ROUND(E129*S129,10)</f>
        <v>#REF!</v>
      </c>
      <c r="V129" s="581" t="e">
        <f>+#REF!</f>
        <v>#REF!</v>
      </c>
      <c r="W129" s="582" t="e">
        <f>ROUND(V129*$D129,10)</f>
        <v>#REF!</v>
      </c>
      <c r="X129" s="581" t="e">
        <f>+#REF!</f>
        <v>#REF!</v>
      </c>
      <c r="Y129" s="582" t="e">
        <f>ROUND(X129*$D129,10)</f>
        <v>#REF!</v>
      </c>
      <c r="Z129" s="581" t="e">
        <f>+#REF!</f>
        <v>#REF!</v>
      </c>
      <c r="AA129" s="582" t="e">
        <f>ROUND(Z129*$D129,10)</f>
        <v>#REF!</v>
      </c>
      <c r="AB129" s="581" t="e">
        <f>+#REF!</f>
        <v>#REF!</v>
      </c>
      <c r="AC129" s="582" t="e">
        <f>ROUND(AB129*$D129,10)</f>
        <v>#REF!</v>
      </c>
      <c r="AE129" s="769" t="e">
        <f t="shared" si="61"/>
        <v>#REF!</v>
      </c>
    </row>
    <row r="130" spans="1:31" ht="15" customHeight="1" x14ac:dyDescent="0.2">
      <c r="A130" s="611" t="s">
        <v>776</v>
      </c>
      <c r="B130" s="649" t="s">
        <v>777</v>
      </c>
      <c r="C130" s="611" t="s">
        <v>155</v>
      </c>
      <c r="D130" s="576">
        <f>+I130+K130+M130+O130+Q130+S130</f>
        <v>13.33</v>
      </c>
      <c r="E130" s="577" t="e">
        <f t="shared" si="111"/>
        <v>#REF!</v>
      </c>
      <c r="F130" s="577" t="e">
        <f>ROUND(D130*E130,10)</f>
        <v>#REF!</v>
      </c>
      <c r="G130" s="578"/>
      <c r="I130" s="584"/>
      <c r="J130" s="585" t="e">
        <f>+ROUND(E130*I130,10)</f>
        <v>#REF!</v>
      </c>
      <c r="K130" s="537">
        <v>11.33</v>
      </c>
      <c r="L130" s="445" t="e">
        <f>+ROUND(E130*K130,10)</f>
        <v>#REF!</v>
      </c>
      <c r="M130" s="542">
        <v>2</v>
      </c>
      <c r="N130" s="445" t="e">
        <f>+ROUND(E130*M130,10)</f>
        <v>#REF!</v>
      </c>
      <c r="O130" s="542"/>
      <c r="P130" s="445" t="e">
        <f>+ROUND(E130*O130,10)</f>
        <v>#REF!</v>
      </c>
      <c r="Q130" s="542"/>
      <c r="R130" s="445" t="e">
        <f>+ROUND(E130*Q130,10)</f>
        <v>#REF!</v>
      </c>
      <c r="S130" s="542"/>
      <c r="T130" s="445" t="e">
        <f>+ROUND(E130*S130,10)</f>
        <v>#REF!</v>
      </c>
      <c r="V130" s="581" t="e">
        <f>#REF!</f>
        <v>#REF!</v>
      </c>
      <c r="W130" s="582" t="e">
        <f>ROUND(V130*$D130,10)</f>
        <v>#REF!</v>
      </c>
      <c r="X130" s="581" t="e">
        <f>#REF!</f>
        <v>#REF!</v>
      </c>
      <c r="Y130" s="582" t="e">
        <f>ROUND(X130*$D130,10)</f>
        <v>#REF!</v>
      </c>
      <c r="Z130" s="581" t="e">
        <f>#REF!</f>
        <v>#REF!</v>
      </c>
      <c r="AA130" s="582" t="e">
        <f>ROUND(Z130*$D130,10)</f>
        <v>#REF!</v>
      </c>
      <c r="AB130" s="581" t="e">
        <f>#REF!</f>
        <v>#REF!</v>
      </c>
      <c r="AC130" s="582" t="e">
        <f>ROUND(AB130*$D130,10)</f>
        <v>#REF!</v>
      </c>
      <c r="AE130" s="769" t="e">
        <f t="shared" si="61"/>
        <v>#REF!</v>
      </c>
    </row>
    <row r="131" spans="1:31" ht="15.75" hidden="1" customHeight="1" x14ac:dyDescent="0.2">
      <c r="A131" s="611" t="s">
        <v>778</v>
      </c>
      <c r="B131" s="601" t="s">
        <v>779</v>
      </c>
      <c r="C131" s="611" t="s">
        <v>155</v>
      </c>
      <c r="D131" s="576">
        <f>+I131+K131+M131+O131+Q131+S131</f>
        <v>0</v>
      </c>
      <c r="E131" s="577" t="e">
        <f t="shared" si="111"/>
        <v>#REF!</v>
      </c>
      <c r="F131" s="577" t="e">
        <f>ROUND(D131*E131,10)</f>
        <v>#REF!</v>
      </c>
      <c r="G131" s="578"/>
      <c r="I131" s="631"/>
      <c r="J131" s="598" t="e">
        <f>+ROUND(E131*I131,10)</f>
        <v>#REF!</v>
      </c>
      <c r="K131" s="539"/>
      <c r="L131" s="445" t="e">
        <f>+ROUND(E131*K131,10)</f>
        <v>#REF!</v>
      </c>
      <c r="M131" s="544"/>
      <c r="N131" s="445" t="e">
        <f>+ROUND(E131*M131,10)</f>
        <v>#REF!</v>
      </c>
      <c r="O131" s="544"/>
      <c r="P131" s="445" t="e">
        <f>+ROUND(E131*O131,10)</f>
        <v>#REF!</v>
      </c>
      <c r="Q131" s="544"/>
      <c r="R131" s="445" t="e">
        <f>+ROUND(E131*Q131,10)</f>
        <v>#REF!</v>
      </c>
      <c r="S131" s="544"/>
      <c r="T131" s="445" t="e">
        <f>+ROUND(E131*S131,10)</f>
        <v>#REF!</v>
      </c>
      <c r="V131" s="581" t="e">
        <f>+'4,2,3  Vigas Prefabricadas'!I18</f>
        <v>#REF!</v>
      </c>
      <c r="W131" s="582" t="e">
        <f>ROUND(V131*$D131,10)</f>
        <v>#REF!</v>
      </c>
      <c r="X131" s="581">
        <f>+'4,2,3  Vigas Prefabricadas'!I49</f>
        <v>216047.92</v>
      </c>
      <c r="Y131" s="582">
        <f>ROUND(X131*$D131,10)</f>
        <v>0</v>
      </c>
      <c r="Z131" s="581">
        <f>+'4,2,3  Vigas Prefabricadas'!I29</f>
        <v>9222</v>
      </c>
      <c r="AA131" s="582">
        <f>ROUND(Z131*$D131,10)</f>
        <v>0</v>
      </c>
      <c r="AB131" s="581">
        <f>+'4,2,3  Vigas Prefabricadas'!I40</f>
        <v>0</v>
      </c>
      <c r="AC131" s="582">
        <f>ROUND(AB131*$D131,10)</f>
        <v>0</v>
      </c>
      <c r="AE131" s="769" t="e">
        <f t="shared" si="61"/>
        <v>#REF!</v>
      </c>
    </row>
    <row r="132" spans="1:31" s="568" customFormat="1" ht="18" customHeight="1" x14ac:dyDescent="0.2">
      <c r="A132" s="572" t="s">
        <v>780</v>
      </c>
      <c r="B132" s="573" t="s">
        <v>781</v>
      </c>
      <c r="C132" s="846"/>
      <c r="D132" s="576"/>
      <c r="E132" s="577"/>
      <c r="F132" s="180" t="e">
        <f>+ROUND(SUM(F133:F141),10)</f>
        <v>#REF!</v>
      </c>
      <c r="G132" s="473"/>
      <c r="I132" s="613"/>
      <c r="J132" s="440" t="e">
        <f>ROUND(SUM(J133:J140),10)</f>
        <v>#REF!</v>
      </c>
      <c r="K132" s="537"/>
      <c r="L132" s="180" t="e">
        <f>ROUND(SUM(L133:L141),10)</f>
        <v>#REF!</v>
      </c>
      <c r="M132" s="542"/>
      <c r="N132" s="180" t="e">
        <f>ROUND(SUM(N133:N140),10)</f>
        <v>#REF!</v>
      </c>
      <c r="O132" s="542"/>
      <c r="P132" s="180" t="e">
        <f>ROUND(SUM(P133:P141),10)</f>
        <v>#REF!</v>
      </c>
      <c r="Q132" s="542"/>
      <c r="R132" s="180" t="e">
        <f>ROUND(SUM(R133:R141),10)</f>
        <v>#REF!</v>
      </c>
      <c r="S132" s="542"/>
      <c r="T132" s="180" t="e">
        <f>ROUND(SUM(T133:T141),10)</f>
        <v>#REF!</v>
      </c>
      <c r="V132" s="575"/>
      <c r="W132" s="570" t="e">
        <f>ROUND(SUM(W133:W141),10)</f>
        <v>#REF!</v>
      </c>
      <c r="X132" s="575"/>
      <c r="Y132" s="570" t="e">
        <f>ROUND(SUM(Y133:Y141),10)</f>
        <v>#REF!</v>
      </c>
      <c r="Z132" s="575"/>
      <c r="AA132" s="570" t="e">
        <f>ROUND(SUM(AA133:AA141),10)</f>
        <v>#REF!</v>
      </c>
      <c r="AB132" s="575"/>
      <c r="AC132" s="570" t="e">
        <f>ROUND(SUM(AC133:AC141),10)</f>
        <v>#REF!</v>
      </c>
      <c r="AE132" s="769" t="e">
        <f t="shared" si="61"/>
        <v>#REF!</v>
      </c>
    </row>
    <row r="133" spans="1:31" ht="15" customHeight="1" x14ac:dyDescent="0.2">
      <c r="A133" s="611" t="s">
        <v>782</v>
      </c>
      <c r="B133" s="601" t="s">
        <v>783</v>
      </c>
      <c r="C133" s="611" t="s">
        <v>130</v>
      </c>
      <c r="D133" s="576">
        <f t="shared" ref="D133:D140" si="112">+I133+K133+M133+O133+Q133+S133</f>
        <v>540.83999999999992</v>
      </c>
      <c r="E133" s="577" t="e">
        <f t="shared" si="111"/>
        <v>#REF!</v>
      </c>
      <c r="F133" s="577" t="e">
        <f t="shared" ref="F133:F141" si="113">ROUND(D133*E133,10)</f>
        <v>#REF!</v>
      </c>
      <c r="G133" s="578"/>
      <c r="I133" s="594"/>
      <c r="J133" s="580" t="e">
        <f t="shared" ref="J133:J141" si="114">+ROUND(E133*I133,10)</f>
        <v>#REF!</v>
      </c>
      <c r="K133" s="537">
        <v>283.61</v>
      </c>
      <c r="L133" s="445" t="e">
        <f t="shared" ref="L133:L141" si="115">+ROUND(E133*K133,10)</f>
        <v>#REF!</v>
      </c>
      <c r="M133" s="542">
        <v>87.45</v>
      </c>
      <c r="N133" s="445" t="e">
        <f t="shared" ref="N133:N141" si="116">+ROUND(E133*M133,10)</f>
        <v>#REF!</v>
      </c>
      <c r="O133" s="542">
        <v>73.959999999999994</v>
      </c>
      <c r="P133" s="445" t="e">
        <f t="shared" ref="P133:P141" si="117">+ROUND(E133*O133,10)</f>
        <v>#REF!</v>
      </c>
      <c r="Q133" s="542">
        <v>95.82</v>
      </c>
      <c r="R133" s="445" t="e">
        <f t="shared" ref="R133:R141" si="118">+ROUND(E133*Q133,10)</f>
        <v>#REF!</v>
      </c>
      <c r="S133" s="542"/>
      <c r="T133" s="445" t="e">
        <f t="shared" ref="T133:T141" si="119">+ROUND(E133*S133,10)</f>
        <v>#REF!</v>
      </c>
      <c r="V133" s="581" t="e">
        <f>+#REF!</f>
        <v>#REF!</v>
      </c>
      <c r="W133" s="582" t="e">
        <f t="shared" ref="W133:W141" si="120">ROUND(V133*$D133,10)</f>
        <v>#REF!</v>
      </c>
      <c r="X133" s="581" t="e">
        <f>+#REF!</f>
        <v>#REF!</v>
      </c>
      <c r="Y133" s="582" t="e">
        <f t="shared" ref="Y133:Y141" si="121">ROUND(X133*$D133,10)</f>
        <v>#REF!</v>
      </c>
      <c r="Z133" s="581" t="e">
        <f>+#REF!</f>
        <v>#REF!</v>
      </c>
      <c r="AA133" s="582" t="e">
        <f t="shared" ref="AA133:AA141" si="122">ROUND(Z133*$D133,10)</f>
        <v>#REF!</v>
      </c>
      <c r="AB133" s="581" t="e">
        <f>+#REF!</f>
        <v>#REF!</v>
      </c>
      <c r="AC133" s="582" t="e">
        <f t="shared" ref="AC133:AC141" si="123">ROUND(AB133*$D133,10)</f>
        <v>#REF!</v>
      </c>
      <c r="AE133" s="769" t="e">
        <f t="shared" si="61"/>
        <v>#REF!</v>
      </c>
    </row>
    <row r="134" spans="1:31" ht="15" customHeight="1" x14ac:dyDescent="0.2">
      <c r="A134" s="611" t="s">
        <v>784</v>
      </c>
      <c r="B134" s="601" t="s">
        <v>785</v>
      </c>
      <c r="C134" s="611" t="s">
        <v>130</v>
      </c>
      <c r="D134" s="576">
        <f t="shared" si="112"/>
        <v>30.96</v>
      </c>
      <c r="E134" s="577" t="e">
        <f t="shared" si="111"/>
        <v>#REF!</v>
      </c>
      <c r="F134" s="577" t="e">
        <f t="shared" si="113"/>
        <v>#REF!</v>
      </c>
      <c r="G134" s="578"/>
      <c r="I134" s="584"/>
      <c r="J134" s="585" t="e">
        <f t="shared" si="114"/>
        <v>#REF!</v>
      </c>
      <c r="K134" s="537"/>
      <c r="L134" s="445" t="e">
        <f t="shared" si="115"/>
        <v>#REF!</v>
      </c>
      <c r="M134" s="542"/>
      <c r="N134" s="445" t="e">
        <f t="shared" si="116"/>
        <v>#REF!</v>
      </c>
      <c r="O134" s="542">
        <v>30.96</v>
      </c>
      <c r="P134" s="445" t="e">
        <f t="shared" si="117"/>
        <v>#REF!</v>
      </c>
      <c r="Q134" s="537"/>
      <c r="R134" s="445" t="e">
        <f t="shared" si="118"/>
        <v>#REF!</v>
      </c>
      <c r="S134" s="542"/>
      <c r="T134" s="445" t="e">
        <f t="shared" si="119"/>
        <v>#REF!</v>
      </c>
      <c r="V134" s="581" t="e">
        <f>+'5,1,6 camara 5,20&lt;=h&lt;6,20'!I19</f>
        <v>#REF!</v>
      </c>
      <c r="W134" s="582" t="e">
        <f t="shared" si="120"/>
        <v>#REF!</v>
      </c>
      <c r="X134" s="581">
        <f>+'5,1,6 camara 5,20&lt;=h&lt;6,20'!I48</f>
        <v>2880638.93</v>
      </c>
      <c r="Y134" s="582">
        <f t="shared" si="121"/>
        <v>89184581.272799999</v>
      </c>
      <c r="Z134" s="581">
        <f>+'5,1,6 camara 5,20&lt;=h&lt;6,20'!I28</f>
        <v>40308.619999999995</v>
      </c>
      <c r="AA134" s="582">
        <f t="shared" si="122"/>
        <v>1247954.8751999999</v>
      </c>
      <c r="AB134" s="581">
        <f>+'5,1,6 camara 5,20&lt;=h&lt;6,20'!I39</f>
        <v>0</v>
      </c>
      <c r="AC134" s="582">
        <f t="shared" si="123"/>
        <v>0</v>
      </c>
      <c r="AE134" s="769" t="e">
        <f t="shared" si="61"/>
        <v>#REF!</v>
      </c>
    </row>
    <row r="135" spans="1:31" ht="15" hidden="1" customHeight="1" x14ac:dyDescent="0.2">
      <c r="A135" s="611" t="s">
        <v>786</v>
      </c>
      <c r="B135" s="601" t="s">
        <v>787</v>
      </c>
      <c r="C135" s="611" t="s">
        <v>130</v>
      </c>
      <c r="D135" s="576">
        <f t="shared" si="112"/>
        <v>0</v>
      </c>
      <c r="E135" s="577" t="e">
        <f t="shared" si="111"/>
        <v>#REF!</v>
      </c>
      <c r="F135" s="577" t="e">
        <f t="shared" si="113"/>
        <v>#REF!</v>
      </c>
      <c r="G135" s="578"/>
      <c r="I135" s="584"/>
      <c r="J135" s="585" t="e">
        <f t="shared" si="114"/>
        <v>#REF!</v>
      </c>
      <c r="K135" s="537"/>
      <c r="L135" s="445" t="e">
        <f t="shared" si="115"/>
        <v>#REF!</v>
      </c>
      <c r="M135" s="542"/>
      <c r="N135" s="445" t="e">
        <f t="shared" si="116"/>
        <v>#REF!</v>
      </c>
      <c r="O135" s="542"/>
      <c r="P135" s="445" t="e">
        <f t="shared" si="117"/>
        <v>#REF!</v>
      </c>
      <c r="Q135" s="542"/>
      <c r="R135" s="445" t="e">
        <f t="shared" si="118"/>
        <v>#REF!</v>
      </c>
      <c r="S135" s="542"/>
      <c r="T135" s="445" t="e">
        <f t="shared" si="119"/>
        <v>#REF!</v>
      </c>
      <c r="V135" s="581" t="e">
        <f>+'4,3,3 Caseton 45 cm'!I18</f>
        <v>#REF!</v>
      </c>
      <c r="W135" s="582" t="e">
        <f t="shared" si="120"/>
        <v>#REF!</v>
      </c>
      <c r="X135" s="581">
        <f>+'4,3,3 Caseton 45 cm'!I48</f>
        <v>36618.29</v>
      </c>
      <c r="Y135" s="582">
        <f t="shared" si="121"/>
        <v>0</v>
      </c>
      <c r="Z135" s="581">
        <f>+'4,3,3 Caseton 45 cm'!I28</f>
        <v>16713.54</v>
      </c>
      <c r="AA135" s="582">
        <f t="shared" si="122"/>
        <v>0</v>
      </c>
      <c r="AB135" s="581">
        <f>+'4,3,3 Caseton 45 cm'!I39</f>
        <v>0</v>
      </c>
      <c r="AC135" s="582">
        <f t="shared" si="123"/>
        <v>0</v>
      </c>
      <c r="AE135" s="769" t="e">
        <f t="shared" si="61"/>
        <v>#REF!</v>
      </c>
    </row>
    <row r="136" spans="1:31" ht="15" customHeight="1" x14ac:dyDescent="0.2">
      <c r="A136" s="611" t="s">
        <v>788</v>
      </c>
      <c r="B136" s="601" t="s">
        <v>789</v>
      </c>
      <c r="C136" s="611" t="s">
        <v>130</v>
      </c>
      <c r="D136" s="576">
        <f t="shared" si="112"/>
        <v>22.56</v>
      </c>
      <c r="E136" s="577" t="e">
        <f t="shared" si="111"/>
        <v>#REF!</v>
      </c>
      <c r="F136" s="577" t="e">
        <f t="shared" si="113"/>
        <v>#REF!</v>
      </c>
      <c r="G136" s="578"/>
      <c r="I136" s="584"/>
      <c r="J136" s="585" t="e">
        <f t="shared" si="114"/>
        <v>#REF!</v>
      </c>
      <c r="K136" s="537"/>
      <c r="L136" s="445" t="e">
        <f t="shared" si="115"/>
        <v>#REF!</v>
      </c>
      <c r="M136" s="542"/>
      <c r="N136" s="445" t="e">
        <f t="shared" si="116"/>
        <v>#REF!</v>
      </c>
      <c r="O136" s="542"/>
      <c r="P136" s="445" t="e">
        <f t="shared" si="117"/>
        <v>#REF!</v>
      </c>
      <c r="Q136" s="542">
        <v>22.56</v>
      </c>
      <c r="R136" s="445" t="e">
        <f t="shared" si="118"/>
        <v>#REF!</v>
      </c>
      <c r="S136" s="542"/>
      <c r="T136" s="445" t="e">
        <f t="shared" si="119"/>
        <v>#REF!</v>
      </c>
      <c r="V136" s="581" t="e">
        <f>+'5,1,7 camara 6,20&lt;=h&lt;7,20'!I19</f>
        <v>#REF!</v>
      </c>
      <c r="W136" s="582" t="e">
        <f t="shared" si="120"/>
        <v>#REF!</v>
      </c>
      <c r="X136" s="581">
        <f>+'5,1,7 camara 6,20&lt;=h&lt;7,20'!I47</f>
        <v>3323814.15</v>
      </c>
      <c r="Y136" s="582">
        <f t="shared" si="121"/>
        <v>74985247.224000007</v>
      </c>
      <c r="Z136" s="581">
        <f>+'5,1,7 camara 6,20&lt;=h&lt;7,20'!I27</f>
        <v>40308.619999999995</v>
      </c>
      <c r="AA136" s="582">
        <f t="shared" si="122"/>
        <v>909362.46719999996</v>
      </c>
      <c r="AB136" s="581">
        <f>+'5,1,7 camara 6,20&lt;=h&lt;7,20'!I38</f>
        <v>0</v>
      </c>
      <c r="AC136" s="582">
        <f t="shared" si="123"/>
        <v>0</v>
      </c>
      <c r="AE136" s="769" t="e">
        <f t="shared" si="61"/>
        <v>#REF!</v>
      </c>
    </row>
    <row r="137" spans="1:31" ht="15" hidden="1" customHeight="1" x14ac:dyDescent="0.2">
      <c r="A137" s="627" t="s">
        <v>790</v>
      </c>
      <c r="B137" s="610" t="s">
        <v>791</v>
      </c>
      <c r="C137" s="627" t="s">
        <v>130</v>
      </c>
      <c r="D137" s="576">
        <f t="shared" si="112"/>
        <v>0</v>
      </c>
      <c r="E137" s="577">
        <f t="shared" si="111"/>
        <v>0</v>
      </c>
      <c r="F137" s="577">
        <f t="shared" si="113"/>
        <v>0</v>
      </c>
      <c r="G137" s="578"/>
      <c r="I137" s="584"/>
      <c r="J137" s="585">
        <f t="shared" si="114"/>
        <v>0</v>
      </c>
      <c r="K137" s="537"/>
      <c r="L137" s="445">
        <f t="shared" si="115"/>
        <v>0</v>
      </c>
      <c r="M137" s="542"/>
      <c r="N137" s="445">
        <f t="shared" si="116"/>
        <v>0</v>
      </c>
      <c r="O137" s="542"/>
      <c r="P137" s="445">
        <f t="shared" si="117"/>
        <v>0</v>
      </c>
      <c r="Q137" s="542"/>
      <c r="R137" s="445">
        <f t="shared" si="118"/>
        <v>0</v>
      </c>
      <c r="S137" s="542"/>
      <c r="T137" s="445">
        <f t="shared" si="119"/>
        <v>0</v>
      </c>
      <c r="V137" s="581"/>
      <c r="W137" s="582">
        <f t="shared" si="120"/>
        <v>0</v>
      </c>
      <c r="X137" s="581"/>
      <c r="Y137" s="582">
        <f t="shared" si="121"/>
        <v>0</v>
      </c>
      <c r="Z137" s="581"/>
      <c r="AA137" s="582">
        <f t="shared" si="122"/>
        <v>0</v>
      </c>
      <c r="AB137" s="581"/>
      <c r="AC137" s="582">
        <f t="shared" si="123"/>
        <v>0</v>
      </c>
      <c r="AE137" s="769">
        <f t="shared" si="61"/>
        <v>0</v>
      </c>
    </row>
    <row r="138" spans="1:31" ht="15" hidden="1" customHeight="1" x14ac:dyDescent="0.2">
      <c r="A138" s="611" t="s">
        <v>792</v>
      </c>
      <c r="B138" s="601" t="s">
        <v>793</v>
      </c>
      <c r="C138" s="611" t="s">
        <v>130</v>
      </c>
      <c r="D138" s="576">
        <f t="shared" si="112"/>
        <v>0</v>
      </c>
      <c r="E138" s="577" t="e">
        <f t="shared" si="111"/>
        <v>#REF!</v>
      </c>
      <c r="F138" s="577" t="e">
        <f t="shared" si="113"/>
        <v>#REF!</v>
      </c>
      <c r="G138" s="578"/>
      <c r="I138" s="632"/>
      <c r="J138" s="585" t="e">
        <f t="shared" si="114"/>
        <v>#REF!</v>
      </c>
      <c r="K138" s="539"/>
      <c r="L138" s="445" t="e">
        <f t="shared" si="115"/>
        <v>#REF!</v>
      </c>
      <c r="M138" s="544"/>
      <c r="N138" s="445" t="e">
        <f t="shared" si="116"/>
        <v>#REF!</v>
      </c>
      <c r="O138" s="544"/>
      <c r="P138" s="445" t="e">
        <f t="shared" si="117"/>
        <v>#REF!</v>
      </c>
      <c r="Q138" s="544"/>
      <c r="R138" s="445" t="e">
        <f t="shared" si="118"/>
        <v>#REF!</v>
      </c>
      <c r="S138" s="544"/>
      <c r="T138" s="445" t="e">
        <f t="shared" si="119"/>
        <v>#REF!</v>
      </c>
      <c r="V138" s="581" t="e">
        <f>+'4,3,6 Placa maciza 0,20'!I19</f>
        <v>#REF!</v>
      </c>
      <c r="W138" s="582" t="e">
        <f t="shared" si="120"/>
        <v>#REF!</v>
      </c>
      <c r="X138" s="581">
        <f>+'4,3,6 Placa maciza 0,20'!I50</f>
        <v>36007.99</v>
      </c>
      <c r="Y138" s="582">
        <f t="shared" si="121"/>
        <v>0</v>
      </c>
      <c r="Z138" s="581">
        <f>+'4,3,6 Placa maciza 0,20'!I30</f>
        <v>75618.77</v>
      </c>
      <c r="AA138" s="582">
        <f t="shared" si="122"/>
        <v>0</v>
      </c>
      <c r="AB138" s="581">
        <f>+'4,3,6 Placa maciza 0,20'!I41</f>
        <v>0</v>
      </c>
      <c r="AC138" s="582">
        <f t="shared" si="123"/>
        <v>0</v>
      </c>
      <c r="AE138" s="769" t="e">
        <f t="shared" si="61"/>
        <v>#REF!</v>
      </c>
    </row>
    <row r="139" spans="1:31" ht="15" hidden="1" customHeight="1" x14ac:dyDescent="0.2">
      <c r="A139" s="611" t="s">
        <v>794</v>
      </c>
      <c r="B139" s="601" t="s">
        <v>795</v>
      </c>
      <c r="C139" s="611" t="s">
        <v>130</v>
      </c>
      <c r="D139" s="576">
        <f t="shared" si="112"/>
        <v>0</v>
      </c>
      <c r="E139" s="577" t="e">
        <f t="shared" si="111"/>
        <v>#REF!</v>
      </c>
      <c r="F139" s="577" t="e">
        <f t="shared" si="113"/>
        <v>#REF!</v>
      </c>
      <c r="G139" s="578"/>
      <c r="I139" s="632"/>
      <c r="J139" s="585" t="e">
        <f t="shared" si="114"/>
        <v>#REF!</v>
      </c>
      <c r="K139" s="537"/>
      <c r="L139" s="445" t="e">
        <f t="shared" si="115"/>
        <v>#REF!</v>
      </c>
      <c r="M139" s="542"/>
      <c r="N139" s="445" t="e">
        <f t="shared" si="116"/>
        <v>#REF!</v>
      </c>
      <c r="O139" s="542"/>
      <c r="P139" s="445" t="e">
        <f t="shared" si="117"/>
        <v>#REF!</v>
      </c>
      <c r="Q139" s="544"/>
      <c r="R139" s="445" t="e">
        <f t="shared" si="118"/>
        <v>#REF!</v>
      </c>
      <c r="S139" s="544"/>
      <c r="T139" s="445" t="e">
        <f t="shared" si="119"/>
        <v>#REF!</v>
      </c>
      <c r="V139" s="581" t="e">
        <f>+'4,3,7 Placa maciza 0,125'!I19</f>
        <v>#REF!</v>
      </c>
      <c r="W139" s="582" t="e">
        <f t="shared" si="120"/>
        <v>#REF!</v>
      </c>
      <c r="X139" s="581">
        <f>+'4,3,7 Placa maciza 0,125'!I50</f>
        <v>37573.550000000003</v>
      </c>
      <c r="Y139" s="582">
        <f t="shared" si="121"/>
        <v>0</v>
      </c>
      <c r="Z139" s="581">
        <f>+'4,3,7 Placa maciza 0,125'!I30</f>
        <v>75710.5</v>
      </c>
      <c r="AA139" s="582">
        <f t="shared" si="122"/>
        <v>0</v>
      </c>
      <c r="AB139" s="581">
        <f>+'4,3,7 Placa maciza 0,125'!I41</f>
        <v>0</v>
      </c>
      <c r="AC139" s="582">
        <f t="shared" si="123"/>
        <v>0</v>
      </c>
      <c r="AE139" s="769" t="e">
        <f t="shared" si="61"/>
        <v>#REF!</v>
      </c>
    </row>
    <row r="140" spans="1:31" ht="15" customHeight="1" x14ac:dyDescent="0.2">
      <c r="A140" s="611" t="s">
        <v>796</v>
      </c>
      <c r="B140" s="601" t="s">
        <v>797</v>
      </c>
      <c r="C140" s="611" t="s">
        <v>130</v>
      </c>
      <c r="D140" s="576">
        <f t="shared" si="112"/>
        <v>24.79</v>
      </c>
      <c r="E140" s="577" t="e">
        <f t="shared" si="111"/>
        <v>#REF!</v>
      </c>
      <c r="F140" s="577" t="e">
        <f t="shared" si="113"/>
        <v>#REF!</v>
      </c>
      <c r="G140" s="578"/>
      <c r="I140" s="584"/>
      <c r="J140" s="585" t="e">
        <f t="shared" si="114"/>
        <v>#REF!</v>
      </c>
      <c r="K140" s="537">
        <v>8.48</v>
      </c>
      <c r="L140" s="445" t="e">
        <f t="shared" si="115"/>
        <v>#REF!</v>
      </c>
      <c r="M140" s="542">
        <v>13.59</v>
      </c>
      <c r="N140" s="445" t="e">
        <f t="shared" si="116"/>
        <v>#REF!</v>
      </c>
      <c r="O140" s="542">
        <v>2.72</v>
      </c>
      <c r="P140" s="445" t="e">
        <f t="shared" si="117"/>
        <v>#REF!</v>
      </c>
      <c r="Q140" s="542"/>
      <c r="R140" s="445" t="e">
        <f t="shared" si="118"/>
        <v>#REF!</v>
      </c>
      <c r="S140" s="542"/>
      <c r="T140" s="445" t="e">
        <f t="shared" si="119"/>
        <v>#REF!</v>
      </c>
      <c r="V140" s="581" t="e">
        <f>+'5,1,8 camara 7,20&lt;=h&lt;8,20'!I19</f>
        <v>#REF!</v>
      </c>
      <c r="W140" s="582" t="e">
        <f t="shared" si="120"/>
        <v>#REF!</v>
      </c>
      <c r="X140" s="581">
        <f>+'5,1,8 camara 7,20&lt;=h&lt;8,20'!I50</f>
        <v>3600798.67</v>
      </c>
      <c r="Y140" s="582">
        <f t="shared" si="121"/>
        <v>89263799.029300004</v>
      </c>
      <c r="Z140" s="581">
        <f>+'5,1,8 camara 7,20&lt;=h&lt;8,20'!I30</f>
        <v>40308.619999999995</v>
      </c>
      <c r="AA140" s="582">
        <f t="shared" si="122"/>
        <v>999250.68980000005</v>
      </c>
      <c r="AB140" s="581">
        <f>+'5,1,8 camara 7,20&lt;=h&lt;8,20'!I41</f>
        <v>0</v>
      </c>
      <c r="AC140" s="582">
        <f t="shared" si="123"/>
        <v>0</v>
      </c>
      <c r="AE140" s="769" t="e">
        <f t="shared" ref="AE140:AE203" si="124">SUM(AC140,AA140,Y140,W140)-SUM(T140,R140,P140,N140,L140)</f>
        <v>#REF!</v>
      </c>
    </row>
    <row r="141" spans="1:31" ht="15" hidden="1" customHeight="1" x14ac:dyDescent="0.2">
      <c r="A141" s="611" t="s">
        <v>798</v>
      </c>
      <c r="B141" s="601" t="s">
        <v>799</v>
      </c>
      <c r="C141" s="611" t="s">
        <v>130</v>
      </c>
      <c r="D141" s="576">
        <f>+I141+K141+M141+O141+Q141+S141</f>
        <v>0</v>
      </c>
      <c r="E141" s="577" t="e">
        <f>V141+X141+Z141+AB141</f>
        <v>#REF!</v>
      </c>
      <c r="F141" s="577" t="e">
        <f t="shared" si="113"/>
        <v>#REF!</v>
      </c>
      <c r="G141" s="578"/>
      <c r="I141" s="633"/>
      <c r="J141" s="585" t="e">
        <f t="shared" si="114"/>
        <v>#REF!</v>
      </c>
      <c r="K141" s="537"/>
      <c r="L141" s="445" t="e">
        <f t="shared" si="115"/>
        <v>#REF!</v>
      </c>
      <c r="M141" s="542"/>
      <c r="N141" s="445" t="e">
        <f t="shared" si="116"/>
        <v>#REF!</v>
      </c>
      <c r="O141" s="542"/>
      <c r="P141" s="445" t="e">
        <f t="shared" si="117"/>
        <v>#REF!</v>
      </c>
      <c r="Q141" s="542"/>
      <c r="R141" s="445" t="e">
        <f t="shared" si="118"/>
        <v>#REF!</v>
      </c>
      <c r="S141" s="542"/>
      <c r="T141" s="445" t="e">
        <f t="shared" si="119"/>
        <v>#REF!</v>
      </c>
      <c r="V141" s="581" t="e">
        <f>+'4,3,9 Placa maciza 0,15'!I19</f>
        <v>#REF!</v>
      </c>
      <c r="W141" s="582" t="e">
        <f t="shared" si="120"/>
        <v>#REF!</v>
      </c>
      <c r="X141" s="581">
        <f>+'4,3,9 Placa maciza 0,15'!I50</f>
        <v>36007.99</v>
      </c>
      <c r="Y141" s="582">
        <f t="shared" si="121"/>
        <v>0</v>
      </c>
      <c r="Z141" s="581">
        <f>+'4,3,9 Placa maciza 0,15'!I30</f>
        <v>75710.5</v>
      </c>
      <c r="AA141" s="582">
        <f t="shared" si="122"/>
        <v>0</v>
      </c>
      <c r="AB141" s="581">
        <f>+'4,3,9 Placa maciza 0,15'!I41</f>
        <v>0</v>
      </c>
      <c r="AC141" s="582">
        <f t="shared" si="123"/>
        <v>0</v>
      </c>
      <c r="AE141" s="769" t="e">
        <f t="shared" si="124"/>
        <v>#REF!</v>
      </c>
    </row>
    <row r="142" spans="1:31" s="568" customFormat="1" ht="15.75" x14ac:dyDescent="0.2">
      <c r="A142" s="572" t="s">
        <v>800</v>
      </c>
      <c r="B142" s="573" t="s">
        <v>801</v>
      </c>
      <c r="C142" s="846"/>
      <c r="D142" s="576"/>
      <c r="E142" s="180"/>
      <c r="F142" s="180" t="e">
        <f>+ROUND(SUM(F143:F146),10)</f>
        <v>#REF!</v>
      </c>
      <c r="G142" s="473"/>
      <c r="I142" s="613"/>
      <c r="J142" s="440" t="e">
        <f>ROUND(SUM(J143:J146),10)</f>
        <v>#REF!</v>
      </c>
      <c r="K142" s="537"/>
      <c r="L142" s="180" t="e">
        <f>ROUND(SUM(L143:L146),10)</f>
        <v>#REF!</v>
      </c>
      <c r="M142" s="542"/>
      <c r="N142" s="180" t="e">
        <f>ROUND(SUM(N143:N146),10)</f>
        <v>#REF!</v>
      </c>
      <c r="O142" s="542"/>
      <c r="P142" s="180" t="e">
        <f>ROUND(SUM(P143:P146),10)</f>
        <v>#REF!</v>
      </c>
      <c r="Q142" s="542"/>
      <c r="R142" s="180" t="e">
        <f>ROUND(SUM(R143:R146),10)</f>
        <v>#REF!</v>
      </c>
      <c r="S142" s="542"/>
      <c r="T142" s="180" t="e">
        <f>ROUND(SUM(T143:T146),10)</f>
        <v>#REF!</v>
      </c>
      <c r="V142" s="575"/>
      <c r="W142" s="570" t="e">
        <f>ROUND(SUM(W143:W146),10)</f>
        <v>#REF!</v>
      </c>
      <c r="X142" s="575"/>
      <c r="Y142" s="570" t="e">
        <f>ROUND(SUM(Y143:Y146),10)</f>
        <v>#REF!</v>
      </c>
      <c r="Z142" s="575"/>
      <c r="AA142" s="570" t="e">
        <f>ROUND(SUM(AA143:AA146),10)</f>
        <v>#REF!</v>
      </c>
      <c r="AB142" s="575"/>
      <c r="AC142" s="570" t="e">
        <f>ROUND(SUM(AC143:AC146),10)</f>
        <v>#REF!</v>
      </c>
      <c r="AE142" s="769" t="e">
        <f t="shared" si="124"/>
        <v>#REF!</v>
      </c>
    </row>
    <row r="143" spans="1:31" ht="15" customHeight="1" x14ac:dyDescent="0.2">
      <c r="A143" s="611" t="s">
        <v>802</v>
      </c>
      <c r="B143" s="601" t="s">
        <v>803</v>
      </c>
      <c r="C143" s="611" t="s">
        <v>155</v>
      </c>
      <c r="D143" s="576">
        <f>+I143+K143+M143+O143+Q143+S143</f>
        <v>9.1199999999999992</v>
      </c>
      <c r="E143" s="577" t="e">
        <f t="shared" si="111"/>
        <v>#REF!</v>
      </c>
      <c r="F143" s="577" t="e">
        <f>ROUND(D143*E143,10)</f>
        <v>#REF!</v>
      </c>
      <c r="G143" s="578"/>
      <c r="I143" s="594"/>
      <c r="J143" s="580" t="e">
        <f>+ROUND(E143*I143,10)</f>
        <v>#REF!</v>
      </c>
      <c r="K143" s="537"/>
      <c r="L143" s="445" t="e">
        <f>+ROUND(E143*K143,10)</f>
        <v>#REF!</v>
      </c>
      <c r="M143" s="542"/>
      <c r="N143" s="445" t="e">
        <f>+ROUND(E143*M143,10)</f>
        <v>#REF!</v>
      </c>
      <c r="O143" s="542"/>
      <c r="P143" s="445" t="e">
        <f>+ROUND(E143*O143,10)</f>
        <v>#REF!</v>
      </c>
      <c r="Q143" s="542"/>
      <c r="R143" s="445" t="e">
        <f>+ROUND(E143*Q143,10)</f>
        <v>#REF!</v>
      </c>
      <c r="S143" s="542">
        <v>9.1199999999999992</v>
      </c>
      <c r="T143" s="445" t="e">
        <f>+ROUND(E143*S143,10)</f>
        <v>#REF!</v>
      </c>
      <c r="V143" s="581" t="e">
        <f>+#REF!</f>
        <v>#REF!</v>
      </c>
      <c r="W143" s="582" t="e">
        <f>ROUND(V143*$D143,10)</f>
        <v>#REF!</v>
      </c>
      <c r="X143" s="581" t="e">
        <f>+#REF!</f>
        <v>#REF!</v>
      </c>
      <c r="Y143" s="582" t="e">
        <f>ROUND(X143*$D143,10)</f>
        <v>#REF!</v>
      </c>
      <c r="Z143" s="581" t="e">
        <f>+#REF!</f>
        <v>#REF!</v>
      </c>
      <c r="AA143" s="582" t="e">
        <f>ROUND(Z143*$D143,10)</f>
        <v>#REF!</v>
      </c>
      <c r="AB143" s="581" t="e">
        <f>+#REF!</f>
        <v>#REF!</v>
      </c>
      <c r="AC143" s="582" t="e">
        <f>ROUND(AB143*$D143,10)</f>
        <v>#REF!</v>
      </c>
      <c r="AE143" s="769" t="e">
        <f t="shared" si="124"/>
        <v>#REF!</v>
      </c>
    </row>
    <row r="144" spans="1:31" ht="15" hidden="1" customHeight="1" x14ac:dyDescent="0.2">
      <c r="A144" s="611" t="s">
        <v>804</v>
      </c>
      <c r="B144" s="601" t="s">
        <v>805</v>
      </c>
      <c r="C144" s="611" t="s">
        <v>155</v>
      </c>
      <c r="D144" s="576">
        <f>+I144+K144+M144+O144+Q144+S144</f>
        <v>0</v>
      </c>
      <c r="E144" s="577" t="e">
        <f t="shared" si="111"/>
        <v>#REF!</v>
      </c>
      <c r="F144" s="577" t="e">
        <f>ROUND(D144*E144,10)</f>
        <v>#REF!</v>
      </c>
      <c r="G144" s="578"/>
      <c r="I144" s="584"/>
      <c r="J144" s="585" t="e">
        <f>+ROUND(E144*I144,10)</f>
        <v>#REF!</v>
      </c>
      <c r="K144" s="537"/>
      <c r="L144" s="445" t="e">
        <f>+ROUND(E144*K144,10)</f>
        <v>#REF!</v>
      </c>
      <c r="M144" s="542"/>
      <c r="N144" s="445" t="e">
        <f>+ROUND(E144*M144,10)</f>
        <v>#REF!</v>
      </c>
      <c r="O144" s="542"/>
      <c r="P144" s="445" t="e">
        <f>+ROUND(E144*O144,10)</f>
        <v>#REF!</v>
      </c>
      <c r="Q144" s="542"/>
      <c r="R144" s="445" t="e">
        <f>+ROUND(E144*Q144,10)</f>
        <v>#REF!</v>
      </c>
      <c r="S144" s="542"/>
      <c r="T144" s="445" t="e">
        <f>+ROUND(E144*S144,10)</f>
        <v>#REF!</v>
      </c>
      <c r="V144" s="581" t="e">
        <f>+'4,4,2 Rampas'!I19</f>
        <v>#REF!</v>
      </c>
      <c r="W144" s="582" t="e">
        <f>ROUND(V144*$D144,10)</f>
        <v>#REF!</v>
      </c>
      <c r="X144" s="581">
        <f>+'4,4,2 Rampas'!I50</f>
        <v>193764.95</v>
      </c>
      <c r="Y144" s="582">
        <f>ROUND(X144*$D144,10)</f>
        <v>0</v>
      </c>
      <c r="Z144" s="581">
        <f>+'4,4,2 Rampas'!I30</f>
        <v>49820</v>
      </c>
      <c r="AA144" s="582">
        <f>ROUND(Z144*$D144,10)</f>
        <v>0</v>
      </c>
      <c r="AB144" s="581">
        <f>+'4,4,2 Rampas'!I41</f>
        <v>0</v>
      </c>
      <c r="AC144" s="582">
        <f>ROUND(AB144*$D144,10)</f>
        <v>0</v>
      </c>
      <c r="AE144" s="769" t="e">
        <f t="shared" si="124"/>
        <v>#REF!</v>
      </c>
    </row>
    <row r="145" spans="1:31" ht="15" hidden="1" customHeight="1" x14ac:dyDescent="0.2">
      <c r="A145" s="627" t="s">
        <v>806</v>
      </c>
      <c r="B145" s="610" t="s">
        <v>807</v>
      </c>
      <c r="C145" s="627" t="s">
        <v>111</v>
      </c>
      <c r="D145" s="576">
        <f>+I145+K145+M145+O145+Q145+S145</f>
        <v>0</v>
      </c>
      <c r="E145" s="577" t="e">
        <f>V145+X145+Z145+AB145</f>
        <v>#REF!</v>
      </c>
      <c r="F145" s="577" t="e">
        <f>ROUND(D145*E145,10)</f>
        <v>#REF!</v>
      </c>
      <c r="G145" s="578"/>
      <c r="I145" s="584"/>
      <c r="J145" s="585"/>
      <c r="K145" s="537"/>
      <c r="L145" s="445" t="e">
        <f>+ROUND(E145*K145,10)</f>
        <v>#REF!</v>
      </c>
      <c r="M145" s="542"/>
      <c r="N145" s="445"/>
      <c r="O145" s="542"/>
      <c r="P145" s="445" t="e">
        <f>+ROUND(E145*O145,10)</f>
        <v>#REF!</v>
      </c>
      <c r="Q145" s="542"/>
      <c r="R145" s="445" t="e">
        <f>+ROUND(E145*Q145,10)</f>
        <v>#REF!</v>
      </c>
      <c r="S145" s="542"/>
      <c r="T145" s="445" t="e">
        <f>+ROUND(E145*S145,10)</f>
        <v>#REF!</v>
      </c>
      <c r="V145" s="581" t="e">
        <f>+'4,4,3 POZO CONCRETO 20 M3'!I19</f>
        <v>#REF!</v>
      </c>
      <c r="W145" s="582" t="e">
        <f>ROUND(V145*$D145,10)</f>
        <v>#REF!</v>
      </c>
      <c r="X145" s="581">
        <f>+'4,4,3 POZO CONCRETO 20 M3'!I50</f>
        <v>4863906.05</v>
      </c>
      <c r="Y145" s="582">
        <f>ROUND(X145*$D145,10)</f>
        <v>0</v>
      </c>
      <c r="Z145" s="581">
        <f>+'4,4,3 POZO CONCRETO 20 M3'!I30</f>
        <v>734071.2</v>
      </c>
      <c r="AA145" s="582">
        <f>ROUND(Z145*$D145,10)</f>
        <v>0</v>
      </c>
      <c r="AB145" s="581">
        <f>+'4,4,3 POZO CONCRETO 20 M3'!I41</f>
        <v>0</v>
      </c>
      <c r="AC145" s="582">
        <f>ROUND(AB145*$D145,10)</f>
        <v>0</v>
      </c>
      <c r="AE145" s="769" t="e">
        <f t="shared" si="124"/>
        <v>#REF!</v>
      </c>
    </row>
    <row r="146" spans="1:31" ht="15" hidden="1" customHeight="1" x14ac:dyDescent="0.2">
      <c r="A146" s="611" t="s">
        <v>808</v>
      </c>
      <c r="B146" s="649" t="s">
        <v>809</v>
      </c>
      <c r="C146" s="611" t="s">
        <v>111</v>
      </c>
      <c r="D146" s="576">
        <f>+I146+K146+M146+O146+Q146+S146</f>
        <v>0</v>
      </c>
      <c r="E146" s="577" t="e">
        <f>V146+X146+Z146+AB146</f>
        <v>#REF!</v>
      </c>
      <c r="F146" s="577" t="e">
        <f>ROUND(D146*E146,10)</f>
        <v>#REF!</v>
      </c>
      <c r="G146" s="578"/>
      <c r="I146" s="584"/>
      <c r="J146" s="585" t="e">
        <f>+ROUND(E146*I146,10)</f>
        <v>#REF!</v>
      </c>
      <c r="K146" s="537"/>
      <c r="L146" s="445" t="e">
        <f>+ROUND(E146*K146,10)</f>
        <v>#REF!</v>
      </c>
      <c r="M146" s="542"/>
      <c r="N146" s="445" t="e">
        <f>+ROUND(E146*M146,10)</f>
        <v>#REF!</v>
      </c>
      <c r="O146" s="542"/>
      <c r="P146" s="445" t="e">
        <f>+ROUND(E146*O146,10)</f>
        <v>#REF!</v>
      </c>
      <c r="Q146" s="544"/>
      <c r="R146" s="445" t="e">
        <f>+ROUND(E146*Q146,10)</f>
        <v>#REF!</v>
      </c>
      <c r="S146" s="544"/>
      <c r="T146" s="445" t="e">
        <f>+ROUND(E146*S146,10)</f>
        <v>#REF!</v>
      </c>
      <c r="V146" s="581" t="e">
        <f>'4,4,4 POZO CONCRETO'!I19</f>
        <v>#REF!</v>
      </c>
      <c r="W146" s="582" t="e">
        <f>ROUND(V146*$D146,10)</f>
        <v>#REF!</v>
      </c>
      <c r="X146" s="581">
        <f>'4,4,4 POZO CONCRETO'!I50</f>
        <v>4863906.05</v>
      </c>
      <c r="Y146" s="582">
        <f>ROUND(X146*$D146,10)</f>
        <v>0</v>
      </c>
      <c r="Z146" s="581">
        <f>'4,4,4 POZO CONCRETO'!I30</f>
        <v>734071.2</v>
      </c>
      <c r="AA146" s="582">
        <f>ROUND(Z146*$D146,10)</f>
        <v>0</v>
      </c>
      <c r="AB146" s="581">
        <f>'4,4,4 POZO CONCRETO'!I41</f>
        <v>0</v>
      </c>
      <c r="AC146" s="582">
        <f>ROUND(AB146*$D146,10)</f>
        <v>0</v>
      </c>
      <c r="AE146" s="769" t="e">
        <f t="shared" si="124"/>
        <v>#REF!</v>
      </c>
    </row>
    <row r="147" spans="1:31" s="568" customFormat="1" ht="18" customHeight="1" x14ac:dyDescent="0.2">
      <c r="A147" s="572" t="s">
        <v>810</v>
      </c>
      <c r="B147" s="573" t="s">
        <v>811</v>
      </c>
      <c r="C147" s="846"/>
      <c r="D147" s="576"/>
      <c r="E147" s="577"/>
      <c r="F147" s="180" t="e">
        <f>+ROUND(SUM(F148:F150),10)</f>
        <v>#REF!</v>
      </c>
      <c r="G147" s="473"/>
      <c r="I147" s="613"/>
      <c r="J147" s="440" t="e">
        <f>ROUND(SUM(J148:J150),10)</f>
        <v>#REF!</v>
      </c>
      <c r="K147" s="537"/>
      <c r="L147" s="180" t="e">
        <f>ROUND(SUM(L148:L150),10)</f>
        <v>#REF!</v>
      </c>
      <c r="M147" s="544"/>
      <c r="N147" s="180" t="e">
        <f>ROUND(SUM(N148:N150),10)</f>
        <v>#REF!</v>
      </c>
      <c r="O147" s="544"/>
      <c r="P147" s="180" t="e">
        <f>ROUND(SUM(P148:P150),10)</f>
        <v>#REF!</v>
      </c>
      <c r="Q147" s="544"/>
      <c r="R147" s="180" t="e">
        <f>ROUND(SUM(R148:R150),10)</f>
        <v>#REF!</v>
      </c>
      <c r="S147" s="544"/>
      <c r="T147" s="180" t="e">
        <f>ROUND(SUM(T148:T150),10)</f>
        <v>#REF!</v>
      </c>
      <c r="V147" s="575"/>
      <c r="W147" s="570" t="e">
        <f>ROUND(SUM(W148:W150),10)</f>
        <v>#REF!</v>
      </c>
      <c r="X147" s="575"/>
      <c r="Y147" s="570">
        <f>ROUND(SUM(Y148:Y150),10)</f>
        <v>5426307228.0180998</v>
      </c>
      <c r="Z147" s="575"/>
      <c r="AA147" s="570">
        <f>ROUND(SUM(AA148:AA150),10)</f>
        <v>65285234.550899997</v>
      </c>
      <c r="AB147" s="575"/>
      <c r="AC147" s="570">
        <f>ROUND(SUM(AC148:AC150),10)</f>
        <v>0</v>
      </c>
      <c r="AE147" s="769" t="e">
        <f t="shared" si="124"/>
        <v>#REF!</v>
      </c>
    </row>
    <row r="148" spans="1:31" ht="15" customHeight="1" x14ac:dyDescent="0.2">
      <c r="A148" s="611" t="s">
        <v>812</v>
      </c>
      <c r="B148" s="601" t="s">
        <v>674</v>
      </c>
      <c r="C148" s="611" t="s">
        <v>119</v>
      </c>
      <c r="D148" s="576">
        <f>+I148+K148+M148+O148+Q148+S148</f>
        <v>6944.2900000000009</v>
      </c>
      <c r="E148" s="577" t="e">
        <f t="shared" si="111"/>
        <v>#REF!</v>
      </c>
      <c r="F148" s="577" t="e">
        <f>ROUND(D148*E148,10)</f>
        <v>#REF!</v>
      </c>
      <c r="G148" s="578"/>
      <c r="I148" s="594"/>
      <c r="J148" s="580" t="e">
        <f>+ROUND(E148*I148,10)</f>
        <v>#REF!</v>
      </c>
      <c r="K148" s="537">
        <f>6944.29*TA</f>
        <v>3063.748528078429</v>
      </c>
      <c r="L148" s="445" t="e">
        <f>+ROUND(E148*K148,10)</f>
        <v>#REF!</v>
      </c>
      <c r="M148" s="537">
        <f>6944.29*TL</f>
        <v>409.99342182128203</v>
      </c>
      <c r="N148" s="445" t="e">
        <f>+ROUND(E148*M148,10)</f>
        <v>#REF!</v>
      </c>
      <c r="O148" s="537">
        <f>6944.29*TB</f>
        <v>557.85220211887304</v>
      </c>
      <c r="P148" s="445" t="e">
        <f>+ROUND(E148*O148,10)</f>
        <v>#REF!</v>
      </c>
      <c r="Q148" s="537">
        <f>6944.29*TC</f>
        <v>1578.2092977612569</v>
      </c>
      <c r="R148" s="445" t="e">
        <f>+ROUND(E148*Q148,10)</f>
        <v>#REF!</v>
      </c>
      <c r="S148" s="537">
        <f>6944.29*TE</f>
        <v>1334.486550220159</v>
      </c>
      <c r="T148" s="445" t="e">
        <f>+ROUND(E148*S148,10)</f>
        <v>#REF!</v>
      </c>
      <c r="V148" s="581" t="e">
        <f>+'4,5,1 Acero 37000  '!I19</f>
        <v>#REF!</v>
      </c>
      <c r="W148" s="582" t="e">
        <f>ROUND(V148*$D148,10)</f>
        <v>#REF!</v>
      </c>
      <c r="X148" s="581">
        <f>+'4,5,1 Acero 37000  '!I50</f>
        <v>360.08</v>
      </c>
      <c r="Y148" s="582">
        <f>ROUND(X148*$D148,10)</f>
        <v>2500499.9432000001</v>
      </c>
      <c r="Z148" s="581">
        <f>+'4,5,1 Acero 37000  '!I30</f>
        <v>20.61</v>
      </c>
      <c r="AA148" s="582">
        <f>ROUND(Z148*$D148,10)</f>
        <v>143121.81690000001</v>
      </c>
      <c r="AB148" s="581">
        <f>+'4,5,1 Acero 37000  '!I41</f>
        <v>0</v>
      </c>
      <c r="AC148" s="582">
        <f>ROUND(AB148*$D148,10)</f>
        <v>0</v>
      </c>
      <c r="AE148" s="769" t="e">
        <f t="shared" si="124"/>
        <v>#REF!</v>
      </c>
    </row>
    <row r="149" spans="1:31" ht="15" customHeight="1" x14ac:dyDescent="0.2">
      <c r="A149" s="611" t="s">
        <v>813</v>
      </c>
      <c r="B149" s="601" t="s">
        <v>814</v>
      </c>
      <c r="C149" s="611" t="s">
        <v>119</v>
      </c>
      <c r="D149" s="576">
        <f>+I149+K149+M149+O149+Q149+S149</f>
        <v>12345.89</v>
      </c>
      <c r="E149" s="577" t="e">
        <f t="shared" si="111"/>
        <v>#REF!</v>
      </c>
      <c r="F149" s="577" t="e">
        <f>ROUND(D149*E149,10)</f>
        <v>#REF!</v>
      </c>
      <c r="G149" s="578"/>
      <c r="I149" s="584"/>
      <c r="J149" s="585" t="e">
        <f>+ROUND(E149*I149,10)</f>
        <v>#REF!</v>
      </c>
      <c r="K149" s="537">
        <f>12345.89*TA</f>
        <v>5446.8782719785886</v>
      </c>
      <c r="L149" s="445" t="e">
        <f>+ROUND(E149*K149,10)</f>
        <v>#REF!</v>
      </c>
      <c r="M149" s="537">
        <f>12345.89*TL</f>
        <v>728.90586172656197</v>
      </c>
      <c r="N149" s="445" t="e">
        <f>+ROUND(E149*M149,10)</f>
        <v>#REF!</v>
      </c>
      <c r="O149" s="537">
        <f>12345.89*TB</f>
        <v>991.776254104793</v>
      </c>
      <c r="P149" s="445" t="e">
        <f>+ROUND(E149*O149,10)</f>
        <v>#REF!</v>
      </c>
      <c r="Q149" s="537">
        <f>12345.89*TC</f>
        <v>2805.8157690905368</v>
      </c>
      <c r="R149" s="445" t="e">
        <f>+ROUND(E149*Q149,10)</f>
        <v>#REF!</v>
      </c>
      <c r="S149" s="537">
        <f>12345.89*TE</f>
        <v>2372.5138430995189</v>
      </c>
      <c r="T149" s="445" t="e">
        <f>+ROUND(E149*S149,10)</f>
        <v>#REF!</v>
      </c>
      <c r="V149" s="581" t="e">
        <f>+'4,5,2 Acero 60000 est'!I19</f>
        <v>#REF!</v>
      </c>
      <c r="W149" s="582" t="e">
        <f>ROUND(V149*$D149,10)</f>
        <v>#REF!</v>
      </c>
      <c r="X149" s="581">
        <f>+'4,5,2 Acero 60000 est'!I50</f>
        <v>392.81</v>
      </c>
      <c r="Y149" s="582">
        <f>ROUND(X149*$D149,10)</f>
        <v>4849589.0509000001</v>
      </c>
      <c r="Z149" s="581">
        <f>+'4,5,2 Acero 60000 est'!I30</f>
        <v>20.61</v>
      </c>
      <c r="AA149" s="582">
        <f>ROUND(Z149*$D149,10)</f>
        <v>254448.7929</v>
      </c>
      <c r="AB149" s="581">
        <f>+'4,5,2 Acero 60000 est'!I41</f>
        <v>0</v>
      </c>
      <c r="AC149" s="582">
        <f>ROUND(AB149*$D149,10)</f>
        <v>0</v>
      </c>
      <c r="AE149" s="769" t="e">
        <f t="shared" si="124"/>
        <v>#REF!</v>
      </c>
    </row>
    <row r="150" spans="1:31" ht="15.75" customHeight="1" x14ac:dyDescent="0.2">
      <c r="A150" s="611" t="s">
        <v>815</v>
      </c>
      <c r="B150" s="601" t="s">
        <v>678</v>
      </c>
      <c r="C150" s="611" t="s">
        <v>119</v>
      </c>
      <c r="D150" s="576">
        <f>+I150+K150+M150+O150+Q150+S150</f>
        <v>1254.1099999999999</v>
      </c>
      <c r="E150" s="577" t="e">
        <f t="shared" si="111"/>
        <v>#REF!</v>
      </c>
      <c r="F150" s="577" t="e">
        <f>ROUND(D150*E150,10)</f>
        <v>#REF!</v>
      </c>
      <c r="G150" s="578"/>
      <c r="I150" s="597"/>
      <c r="J150" s="598" t="e">
        <f>+ROUND(E150*I150,10)</f>
        <v>#REF!</v>
      </c>
      <c r="K150" s="537">
        <f>283.61+314.81</f>
        <v>598.42000000000007</v>
      </c>
      <c r="L150" s="445" t="e">
        <f>+ROUND(E150*K150,10)</f>
        <v>#REF!</v>
      </c>
      <c r="M150" s="542">
        <f>34.37+30.96+97.07+87.45</f>
        <v>249.84999999999997</v>
      </c>
      <c r="N150" s="445" t="e">
        <f>+ROUND(E150*M150,10)</f>
        <v>#REF!</v>
      </c>
      <c r="O150" s="537">
        <f>73.96+82.1</f>
        <v>156.06</v>
      </c>
      <c r="P150" s="445" t="e">
        <f>+ROUND(E150*O150,10)</f>
        <v>#REF!</v>
      </c>
      <c r="Q150" s="537">
        <f>118.38+131.4</f>
        <v>249.78</v>
      </c>
      <c r="R150" s="445" t="e">
        <f>+ROUND(E150*Q150,10)</f>
        <v>#REF!</v>
      </c>
      <c r="S150" s="537"/>
      <c r="T150" s="445" t="e">
        <f>+ROUND(E150*S150,10)</f>
        <v>#REF!</v>
      </c>
      <c r="V150" s="581" t="e">
        <f>+'5,1,10 camara 8,20&lt;=h&lt;9,20'!I18</f>
        <v>#REF!</v>
      </c>
      <c r="W150" s="582" t="e">
        <f>ROUND(V150*$D150,10)</f>
        <v>#REF!</v>
      </c>
      <c r="X150" s="581">
        <f>+'5,1,10 camara 8,20&lt;=h&lt;9,20'!I49</f>
        <v>4320958.4000000004</v>
      </c>
      <c r="Y150" s="582">
        <f>ROUND(X150*$D150,10)</f>
        <v>5418957139.0240002</v>
      </c>
      <c r="Z150" s="581">
        <f>+'5,1,10 camara 8,20&lt;=h&lt;9,20'!I29</f>
        <v>51740.01</v>
      </c>
      <c r="AA150" s="582">
        <f>ROUND(Z150*$D150,10)</f>
        <v>64887663.941100001</v>
      </c>
      <c r="AB150" s="581">
        <f>+'5,1,10 camara 8,20&lt;=h&lt;9,20'!I40</f>
        <v>0</v>
      </c>
      <c r="AC150" s="582">
        <f>ROUND(AB150*$D150,10)</f>
        <v>0</v>
      </c>
      <c r="AE150" s="769" t="e">
        <f t="shared" si="124"/>
        <v>#REF!</v>
      </c>
    </row>
    <row r="151" spans="1:31" s="568" customFormat="1" ht="18" customHeight="1" x14ac:dyDescent="0.2">
      <c r="A151" s="572" t="s">
        <v>816</v>
      </c>
      <c r="B151" s="573" t="s">
        <v>817</v>
      </c>
      <c r="C151" s="846"/>
      <c r="D151" s="576"/>
      <c r="E151" s="577"/>
      <c r="F151" s="180" t="e">
        <f>+ROUND(SUM(F152:F165),10)</f>
        <v>#REF!</v>
      </c>
      <c r="G151" s="473"/>
      <c r="I151" s="613"/>
      <c r="J151" s="440" t="e">
        <f>ROUND(SUM(J152:J165),10)</f>
        <v>#REF!</v>
      </c>
      <c r="K151" s="537"/>
      <c r="L151" s="180" t="e">
        <f>ROUND(SUM(L152:L165),10)</f>
        <v>#REF!</v>
      </c>
      <c r="M151" s="537"/>
      <c r="N151" s="180" t="e">
        <f>ROUND(SUM(N152:N165),10)</f>
        <v>#REF!</v>
      </c>
      <c r="O151" s="537"/>
      <c r="P151" s="180" t="e">
        <f>ROUND(SUM(P152:P165),10)</f>
        <v>#REF!</v>
      </c>
      <c r="Q151" s="537"/>
      <c r="R151" s="180" t="e">
        <f>ROUND(SUM(R152:R165),10)</f>
        <v>#REF!</v>
      </c>
      <c r="S151" s="537"/>
      <c r="T151" s="180" t="e">
        <f>ROUND(SUM(T152:T165),10)</f>
        <v>#REF!</v>
      </c>
      <c r="U151" s="634"/>
      <c r="V151" s="575"/>
      <c r="W151" s="570" t="e">
        <f>ROUND(SUM(W152:W165),10)</f>
        <v>#REF!</v>
      </c>
      <c r="X151" s="575"/>
      <c r="Y151" s="570" t="e">
        <f>ROUND(SUM(Y152:Y165),10)</f>
        <v>#REF!</v>
      </c>
      <c r="Z151" s="575"/>
      <c r="AA151" s="570" t="e">
        <f>ROUND(SUM(AA152:AA165),10)</f>
        <v>#REF!</v>
      </c>
      <c r="AB151" s="575"/>
      <c r="AC151" s="570" t="e">
        <f>ROUND(SUM(AC152:AC165),10)</f>
        <v>#REF!</v>
      </c>
      <c r="AE151" s="769" t="e">
        <f t="shared" si="124"/>
        <v>#REF!</v>
      </c>
    </row>
    <row r="152" spans="1:31" ht="15" hidden="1" customHeight="1" x14ac:dyDescent="0.2">
      <c r="A152" s="572" t="s">
        <v>818</v>
      </c>
      <c r="B152" s="573" t="s">
        <v>819</v>
      </c>
      <c r="C152" s="611"/>
      <c r="D152" s="576"/>
      <c r="E152" s="577"/>
      <c r="F152" s="577"/>
      <c r="G152" s="578"/>
      <c r="I152" s="594"/>
      <c r="J152" s="580">
        <f t="shared" ref="J152:J165" si="125">+ROUND(E152*I152,10)</f>
        <v>0</v>
      </c>
      <c r="K152" s="537"/>
      <c r="L152" s="445">
        <f t="shared" ref="L152:L165" si="126">+ROUND(E152*K152,10)</f>
        <v>0</v>
      </c>
      <c r="M152" s="544"/>
      <c r="N152" s="445">
        <f t="shared" ref="N152:N165" si="127">+ROUND(E152*M152,10)</f>
        <v>0</v>
      </c>
      <c r="O152" s="544"/>
      <c r="P152" s="445">
        <f t="shared" ref="P152:P165" si="128">+ROUND(E152*O152,10)</f>
        <v>0</v>
      </c>
      <c r="Q152" s="544"/>
      <c r="R152" s="445">
        <f t="shared" ref="R152:R165" si="129">+ROUND(E152*Q152,10)</f>
        <v>0</v>
      </c>
      <c r="S152" s="544"/>
      <c r="T152" s="445">
        <f t="shared" ref="T152:T165" si="130">+ROUND(E152*S152,10)</f>
        <v>0</v>
      </c>
      <c r="V152" s="581"/>
      <c r="W152" s="582"/>
      <c r="X152" s="581"/>
      <c r="Y152" s="582"/>
      <c r="Z152" s="581"/>
      <c r="AA152" s="582"/>
      <c r="AB152" s="581"/>
      <c r="AC152" s="582"/>
      <c r="AE152" s="769">
        <f t="shared" si="124"/>
        <v>0</v>
      </c>
    </row>
    <row r="153" spans="1:31" ht="15" hidden="1" customHeight="1" x14ac:dyDescent="0.2">
      <c r="A153" s="611" t="s">
        <v>820</v>
      </c>
      <c r="B153" s="601" t="s">
        <v>821</v>
      </c>
      <c r="C153" s="611" t="s">
        <v>119</v>
      </c>
      <c r="D153" s="576">
        <f t="shared" ref="D153:D158" si="131">+I153+K153+M153+O153+Q153+S153</f>
        <v>0</v>
      </c>
      <c r="E153" s="577">
        <f t="shared" si="111"/>
        <v>0</v>
      </c>
      <c r="F153" s="577">
        <f t="shared" ref="F153:F158" si="132">ROUND(D153*E153,10)</f>
        <v>0</v>
      </c>
      <c r="G153" s="578"/>
      <c r="I153" s="584"/>
      <c r="J153" s="585">
        <f t="shared" si="125"/>
        <v>0</v>
      </c>
      <c r="K153" s="537"/>
      <c r="L153" s="445">
        <f t="shared" si="126"/>
        <v>0</v>
      </c>
      <c r="M153" s="544"/>
      <c r="N153" s="445">
        <f t="shared" si="127"/>
        <v>0</v>
      </c>
      <c r="O153" s="544"/>
      <c r="P153" s="445">
        <f t="shared" si="128"/>
        <v>0</v>
      </c>
      <c r="Q153" s="544"/>
      <c r="R153" s="445">
        <f t="shared" si="129"/>
        <v>0</v>
      </c>
      <c r="S153" s="544"/>
      <c r="T153" s="445">
        <f t="shared" si="130"/>
        <v>0</v>
      </c>
      <c r="V153" s="581"/>
      <c r="W153" s="582">
        <f t="shared" ref="W153:W158" si="133">ROUND(V153*$D153,10)</f>
        <v>0</v>
      </c>
      <c r="X153" s="581"/>
      <c r="Y153" s="582">
        <f t="shared" ref="Y153:Y158" si="134">ROUND(X153*$D153,10)</f>
        <v>0</v>
      </c>
      <c r="Z153" s="581"/>
      <c r="AA153" s="582">
        <f t="shared" ref="AA153:AA158" si="135">ROUND(Z153*$D153,10)</f>
        <v>0</v>
      </c>
      <c r="AB153" s="581"/>
      <c r="AC153" s="582">
        <f t="shared" ref="AC153:AC158" si="136">ROUND(AB153*$D153,10)</f>
        <v>0</v>
      </c>
      <c r="AE153" s="769">
        <f t="shared" si="124"/>
        <v>0</v>
      </c>
    </row>
    <row r="154" spans="1:31" ht="15" hidden="1" customHeight="1" x14ac:dyDescent="0.2">
      <c r="A154" s="611" t="s">
        <v>822</v>
      </c>
      <c r="B154" s="601" t="s">
        <v>823</v>
      </c>
      <c r="C154" s="611" t="s">
        <v>119</v>
      </c>
      <c r="D154" s="576">
        <f t="shared" si="131"/>
        <v>0</v>
      </c>
      <c r="E154" s="577">
        <f t="shared" si="111"/>
        <v>0</v>
      </c>
      <c r="F154" s="577">
        <f t="shared" si="132"/>
        <v>0</v>
      </c>
      <c r="G154" s="578"/>
      <c r="I154" s="584"/>
      <c r="J154" s="585">
        <f t="shared" si="125"/>
        <v>0</v>
      </c>
      <c r="K154" s="537"/>
      <c r="L154" s="445">
        <f t="shared" si="126"/>
        <v>0</v>
      </c>
      <c r="M154" s="544"/>
      <c r="N154" s="445">
        <f t="shared" si="127"/>
        <v>0</v>
      </c>
      <c r="O154" s="544"/>
      <c r="P154" s="445">
        <f t="shared" si="128"/>
        <v>0</v>
      </c>
      <c r="Q154" s="544"/>
      <c r="R154" s="445">
        <f t="shared" si="129"/>
        <v>0</v>
      </c>
      <c r="S154" s="544"/>
      <c r="T154" s="445">
        <f t="shared" si="130"/>
        <v>0</v>
      </c>
      <c r="V154" s="581"/>
      <c r="W154" s="582">
        <f t="shared" si="133"/>
        <v>0</v>
      </c>
      <c r="X154" s="581"/>
      <c r="Y154" s="582">
        <f t="shared" si="134"/>
        <v>0</v>
      </c>
      <c r="Z154" s="581"/>
      <c r="AA154" s="582">
        <f t="shared" si="135"/>
        <v>0</v>
      </c>
      <c r="AB154" s="581"/>
      <c r="AC154" s="582">
        <f t="shared" si="136"/>
        <v>0</v>
      </c>
      <c r="AE154" s="769">
        <f t="shared" si="124"/>
        <v>0</v>
      </c>
    </row>
    <row r="155" spans="1:31" ht="15" hidden="1" customHeight="1" x14ac:dyDescent="0.2">
      <c r="A155" s="611" t="s">
        <v>824</v>
      </c>
      <c r="B155" s="601" t="s">
        <v>825</v>
      </c>
      <c r="C155" s="611" t="s">
        <v>119</v>
      </c>
      <c r="D155" s="576">
        <f t="shared" si="131"/>
        <v>0</v>
      </c>
      <c r="E155" s="577">
        <f t="shared" si="111"/>
        <v>0</v>
      </c>
      <c r="F155" s="577">
        <f t="shared" si="132"/>
        <v>0</v>
      </c>
      <c r="G155" s="578"/>
      <c r="I155" s="584"/>
      <c r="J155" s="585">
        <f t="shared" si="125"/>
        <v>0</v>
      </c>
      <c r="K155" s="537"/>
      <c r="L155" s="445">
        <f t="shared" si="126"/>
        <v>0</v>
      </c>
      <c r="M155" s="544"/>
      <c r="N155" s="445">
        <f t="shared" si="127"/>
        <v>0</v>
      </c>
      <c r="O155" s="544"/>
      <c r="P155" s="445">
        <f t="shared" si="128"/>
        <v>0</v>
      </c>
      <c r="Q155" s="544"/>
      <c r="R155" s="445">
        <f t="shared" si="129"/>
        <v>0</v>
      </c>
      <c r="S155" s="544"/>
      <c r="T155" s="445">
        <f t="shared" si="130"/>
        <v>0</v>
      </c>
      <c r="V155" s="581"/>
      <c r="W155" s="582">
        <f t="shared" si="133"/>
        <v>0</v>
      </c>
      <c r="X155" s="581"/>
      <c r="Y155" s="582">
        <f t="shared" si="134"/>
        <v>0</v>
      </c>
      <c r="Z155" s="581"/>
      <c r="AA155" s="582">
        <f t="shared" si="135"/>
        <v>0</v>
      </c>
      <c r="AB155" s="581"/>
      <c r="AC155" s="582">
        <f t="shared" si="136"/>
        <v>0</v>
      </c>
      <c r="AE155" s="769">
        <f t="shared" si="124"/>
        <v>0</v>
      </c>
    </row>
    <row r="156" spans="1:31" ht="15" hidden="1" customHeight="1" x14ac:dyDescent="0.2">
      <c r="A156" s="611" t="s">
        <v>826</v>
      </c>
      <c r="B156" s="601" t="s">
        <v>827</v>
      </c>
      <c r="C156" s="611" t="s">
        <v>119</v>
      </c>
      <c r="D156" s="576">
        <f t="shared" si="131"/>
        <v>0</v>
      </c>
      <c r="E156" s="577">
        <f t="shared" si="111"/>
        <v>0</v>
      </c>
      <c r="F156" s="577">
        <f t="shared" si="132"/>
        <v>0</v>
      </c>
      <c r="G156" s="578"/>
      <c r="I156" s="584"/>
      <c r="J156" s="585">
        <f t="shared" si="125"/>
        <v>0</v>
      </c>
      <c r="K156" s="537"/>
      <c r="L156" s="445">
        <f t="shared" si="126"/>
        <v>0</v>
      </c>
      <c r="M156" s="544"/>
      <c r="N156" s="445">
        <f t="shared" si="127"/>
        <v>0</v>
      </c>
      <c r="O156" s="544"/>
      <c r="P156" s="445">
        <f t="shared" si="128"/>
        <v>0</v>
      </c>
      <c r="Q156" s="544"/>
      <c r="R156" s="445">
        <f t="shared" si="129"/>
        <v>0</v>
      </c>
      <c r="S156" s="544"/>
      <c r="T156" s="445">
        <f t="shared" si="130"/>
        <v>0</v>
      </c>
      <c r="V156" s="581"/>
      <c r="W156" s="582">
        <f t="shared" si="133"/>
        <v>0</v>
      </c>
      <c r="X156" s="581"/>
      <c r="Y156" s="582">
        <f t="shared" si="134"/>
        <v>0</v>
      </c>
      <c r="Z156" s="581"/>
      <c r="AA156" s="582">
        <f t="shared" si="135"/>
        <v>0</v>
      </c>
      <c r="AB156" s="581"/>
      <c r="AC156" s="582">
        <f t="shared" si="136"/>
        <v>0</v>
      </c>
      <c r="AE156" s="769">
        <f t="shared" si="124"/>
        <v>0</v>
      </c>
    </row>
    <row r="157" spans="1:31" ht="15" hidden="1" customHeight="1" x14ac:dyDescent="0.2">
      <c r="A157" s="611" t="s">
        <v>828</v>
      </c>
      <c r="B157" s="601" t="s">
        <v>829</v>
      </c>
      <c r="C157" s="611" t="s">
        <v>119</v>
      </c>
      <c r="D157" s="576">
        <f t="shared" si="131"/>
        <v>0</v>
      </c>
      <c r="E157" s="577">
        <f t="shared" si="111"/>
        <v>0</v>
      </c>
      <c r="F157" s="577">
        <f t="shared" si="132"/>
        <v>0</v>
      </c>
      <c r="G157" s="578"/>
      <c r="I157" s="584"/>
      <c r="J157" s="585">
        <f t="shared" si="125"/>
        <v>0</v>
      </c>
      <c r="K157" s="537"/>
      <c r="L157" s="445">
        <f t="shared" si="126"/>
        <v>0</v>
      </c>
      <c r="M157" s="544"/>
      <c r="N157" s="445">
        <f t="shared" si="127"/>
        <v>0</v>
      </c>
      <c r="O157" s="544"/>
      <c r="P157" s="445">
        <f t="shared" si="128"/>
        <v>0</v>
      </c>
      <c r="Q157" s="544"/>
      <c r="R157" s="445">
        <f t="shared" si="129"/>
        <v>0</v>
      </c>
      <c r="S157" s="544"/>
      <c r="T157" s="445">
        <f t="shared" si="130"/>
        <v>0</v>
      </c>
      <c r="V157" s="581"/>
      <c r="W157" s="582">
        <f t="shared" si="133"/>
        <v>0</v>
      </c>
      <c r="X157" s="581"/>
      <c r="Y157" s="582">
        <f t="shared" si="134"/>
        <v>0</v>
      </c>
      <c r="Z157" s="581"/>
      <c r="AA157" s="582">
        <f t="shared" si="135"/>
        <v>0</v>
      </c>
      <c r="AB157" s="581"/>
      <c r="AC157" s="582">
        <f t="shared" si="136"/>
        <v>0</v>
      </c>
      <c r="AE157" s="769">
        <f t="shared" si="124"/>
        <v>0</v>
      </c>
    </row>
    <row r="158" spans="1:31" ht="15" hidden="1" customHeight="1" x14ac:dyDescent="0.2">
      <c r="A158" s="611" t="s">
        <v>830</v>
      </c>
      <c r="B158" s="601" t="s">
        <v>831</v>
      </c>
      <c r="C158" s="611" t="s">
        <v>119</v>
      </c>
      <c r="D158" s="576">
        <f t="shared" si="131"/>
        <v>0</v>
      </c>
      <c r="E158" s="577">
        <f t="shared" si="111"/>
        <v>0</v>
      </c>
      <c r="F158" s="577">
        <f t="shared" si="132"/>
        <v>0</v>
      </c>
      <c r="G158" s="578"/>
      <c r="I158" s="584"/>
      <c r="J158" s="585">
        <f t="shared" si="125"/>
        <v>0</v>
      </c>
      <c r="K158" s="537"/>
      <c r="L158" s="445">
        <f t="shared" si="126"/>
        <v>0</v>
      </c>
      <c r="M158" s="544"/>
      <c r="N158" s="445">
        <f t="shared" si="127"/>
        <v>0</v>
      </c>
      <c r="O158" s="544"/>
      <c r="P158" s="445">
        <f t="shared" si="128"/>
        <v>0</v>
      </c>
      <c r="Q158" s="544"/>
      <c r="R158" s="445">
        <f t="shared" si="129"/>
        <v>0</v>
      </c>
      <c r="S158" s="544"/>
      <c r="T158" s="445">
        <f t="shared" si="130"/>
        <v>0</v>
      </c>
      <c r="V158" s="581"/>
      <c r="W158" s="582">
        <f t="shared" si="133"/>
        <v>0</v>
      </c>
      <c r="X158" s="581"/>
      <c r="Y158" s="582">
        <f t="shared" si="134"/>
        <v>0</v>
      </c>
      <c r="Z158" s="581"/>
      <c r="AA158" s="582">
        <f t="shared" si="135"/>
        <v>0</v>
      </c>
      <c r="AB158" s="581"/>
      <c r="AC158" s="582">
        <f t="shared" si="136"/>
        <v>0</v>
      </c>
      <c r="AE158" s="769">
        <f t="shared" si="124"/>
        <v>0</v>
      </c>
    </row>
    <row r="159" spans="1:31" ht="15" customHeight="1" x14ac:dyDescent="0.2">
      <c r="A159" s="572" t="s">
        <v>832</v>
      </c>
      <c r="B159" s="573" t="s">
        <v>833</v>
      </c>
      <c r="C159" s="611"/>
      <c r="D159" s="576"/>
      <c r="E159" s="577"/>
      <c r="F159" s="577"/>
      <c r="G159" s="578"/>
      <c r="I159" s="584"/>
      <c r="J159" s="585">
        <f t="shared" si="125"/>
        <v>0</v>
      </c>
      <c r="K159" s="537"/>
      <c r="L159" s="445">
        <f t="shared" si="126"/>
        <v>0</v>
      </c>
      <c r="M159" s="544"/>
      <c r="N159" s="445">
        <f t="shared" si="127"/>
        <v>0</v>
      </c>
      <c r="O159" s="544"/>
      <c r="P159" s="445">
        <f t="shared" si="128"/>
        <v>0</v>
      </c>
      <c r="Q159" s="544"/>
      <c r="R159" s="445">
        <f t="shared" si="129"/>
        <v>0</v>
      </c>
      <c r="S159" s="544"/>
      <c r="T159" s="445">
        <f t="shared" si="130"/>
        <v>0</v>
      </c>
      <c r="V159" s="581"/>
      <c r="W159" s="582"/>
      <c r="X159" s="581"/>
      <c r="Y159" s="582"/>
      <c r="Z159" s="581"/>
      <c r="AA159" s="582"/>
      <c r="AB159" s="581"/>
      <c r="AC159" s="582"/>
      <c r="AE159" s="769">
        <f t="shared" si="124"/>
        <v>0</v>
      </c>
    </row>
    <row r="160" spans="1:31" ht="15" hidden="1" customHeight="1" x14ac:dyDescent="0.2">
      <c r="A160" s="611" t="s">
        <v>834</v>
      </c>
      <c r="B160" s="601" t="s">
        <v>821</v>
      </c>
      <c r="C160" s="611" t="s">
        <v>119</v>
      </c>
      <c r="D160" s="576">
        <f t="shared" ref="D160:D165" si="137">+I160+K160+M160+O160+Q160+S160</f>
        <v>0</v>
      </c>
      <c r="E160" s="577">
        <f t="shared" si="111"/>
        <v>0</v>
      </c>
      <c r="F160" s="577">
        <f t="shared" ref="F160:F165" si="138">ROUND(D160*E160,10)</f>
        <v>0</v>
      </c>
      <c r="G160" s="578"/>
      <c r="I160" s="584"/>
      <c r="J160" s="585">
        <f t="shared" si="125"/>
        <v>0</v>
      </c>
      <c r="K160" s="537"/>
      <c r="L160" s="445">
        <f t="shared" si="126"/>
        <v>0</v>
      </c>
      <c r="M160" s="544"/>
      <c r="N160" s="445">
        <f t="shared" si="127"/>
        <v>0</v>
      </c>
      <c r="O160" s="544"/>
      <c r="P160" s="445">
        <f t="shared" si="128"/>
        <v>0</v>
      </c>
      <c r="Q160" s="544"/>
      <c r="R160" s="445">
        <f t="shared" si="129"/>
        <v>0</v>
      </c>
      <c r="S160" s="544"/>
      <c r="T160" s="445">
        <f t="shared" si="130"/>
        <v>0</v>
      </c>
      <c r="V160" s="581"/>
      <c r="W160" s="582">
        <f t="shared" ref="W160:W165" si="139">ROUND(V160*$D160,10)</f>
        <v>0</v>
      </c>
      <c r="X160" s="581"/>
      <c r="Y160" s="582">
        <f t="shared" ref="Y160:Y165" si="140">ROUND(X160*$D160,10)</f>
        <v>0</v>
      </c>
      <c r="Z160" s="581"/>
      <c r="AA160" s="582">
        <f t="shared" ref="AA160:AA165" si="141">ROUND(Z160*$D160,10)</f>
        <v>0</v>
      </c>
      <c r="AB160" s="581"/>
      <c r="AC160" s="582">
        <f t="shared" ref="AC160:AC165" si="142">ROUND(AB160*$D160,10)</f>
        <v>0</v>
      </c>
      <c r="AE160" s="769">
        <f t="shared" si="124"/>
        <v>0</v>
      </c>
    </row>
    <row r="161" spans="1:31" ht="15" hidden="1" customHeight="1" x14ac:dyDescent="0.2">
      <c r="A161" s="611" t="s">
        <v>835</v>
      </c>
      <c r="B161" s="601" t="s">
        <v>823</v>
      </c>
      <c r="C161" s="611" t="s">
        <v>119</v>
      </c>
      <c r="D161" s="576">
        <f t="shared" si="137"/>
        <v>0</v>
      </c>
      <c r="E161" s="577">
        <f t="shared" si="111"/>
        <v>0</v>
      </c>
      <c r="F161" s="577">
        <f t="shared" si="138"/>
        <v>0</v>
      </c>
      <c r="G161" s="578"/>
      <c r="I161" s="584"/>
      <c r="J161" s="585">
        <f t="shared" si="125"/>
        <v>0</v>
      </c>
      <c r="K161" s="537"/>
      <c r="L161" s="445">
        <f t="shared" si="126"/>
        <v>0</v>
      </c>
      <c r="M161" s="544"/>
      <c r="N161" s="445">
        <f t="shared" si="127"/>
        <v>0</v>
      </c>
      <c r="O161" s="544"/>
      <c r="P161" s="445">
        <f t="shared" si="128"/>
        <v>0</v>
      </c>
      <c r="Q161" s="544"/>
      <c r="R161" s="445">
        <f t="shared" si="129"/>
        <v>0</v>
      </c>
      <c r="S161" s="544"/>
      <c r="T161" s="445">
        <f t="shared" si="130"/>
        <v>0</v>
      </c>
      <c r="V161" s="581"/>
      <c r="W161" s="582">
        <f t="shared" si="139"/>
        <v>0</v>
      </c>
      <c r="X161" s="581"/>
      <c r="Y161" s="582">
        <f t="shared" si="140"/>
        <v>0</v>
      </c>
      <c r="Z161" s="581"/>
      <c r="AA161" s="582">
        <f t="shared" si="141"/>
        <v>0</v>
      </c>
      <c r="AB161" s="581"/>
      <c r="AC161" s="582">
        <f t="shared" si="142"/>
        <v>0</v>
      </c>
      <c r="AE161" s="769">
        <f t="shared" si="124"/>
        <v>0</v>
      </c>
    </row>
    <row r="162" spans="1:31" ht="15" hidden="1" customHeight="1" x14ac:dyDescent="0.2">
      <c r="A162" s="611" t="s">
        <v>836</v>
      </c>
      <c r="B162" s="601" t="s">
        <v>837</v>
      </c>
      <c r="C162" s="611" t="s">
        <v>119</v>
      </c>
      <c r="D162" s="576">
        <f t="shared" si="137"/>
        <v>0</v>
      </c>
      <c r="E162" s="577" t="e">
        <f t="shared" si="111"/>
        <v>#REF!</v>
      </c>
      <c r="F162" s="577" t="e">
        <f t="shared" si="138"/>
        <v>#REF!</v>
      </c>
      <c r="G162" s="578"/>
      <c r="I162" s="584"/>
      <c r="J162" s="585" t="e">
        <f t="shared" si="125"/>
        <v>#REF!</v>
      </c>
      <c r="K162" s="537"/>
      <c r="L162" s="445" t="e">
        <f t="shared" si="126"/>
        <v>#REF!</v>
      </c>
      <c r="M162" s="544"/>
      <c r="N162" s="445" t="e">
        <f t="shared" si="127"/>
        <v>#REF!</v>
      </c>
      <c r="O162" s="544"/>
      <c r="P162" s="445" t="e">
        <f t="shared" si="128"/>
        <v>#REF!</v>
      </c>
      <c r="Q162" s="544"/>
      <c r="R162" s="445" t="e">
        <f t="shared" si="129"/>
        <v>#REF!</v>
      </c>
      <c r="S162" s="544"/>
      <c r="T162" s="445" t="e">
        <f t="shared" si="130"/>
        <v>#REF!</v>
      </c>
      <c r="V162" s="581" t="e">
        <f>'4,6,2,3 Cerrchas  Metàlica'!I18</f>
        <v>#REF!</v>
      </c>
      <c r="W162" s="582" t="e">
        <f t="shared" si="139"/>
        <v>#REF!</v>
      </c>
      <c r="X162" s="581">
        <f>'4,6,2,3 Cerrchas  Metàlica'!I49</f>
        <v>8641.92</v>
      </c>
      <c r="Y162" s="582">
        <f t="shared" si="140"/>
        <v>0</v>
      </c>
      <c r="Z162" s="581">
        <f>'4,6,2,3 Cerrchas  Metàlica'!I29</f>
        <v>435.71000000000004</v>
      </c>
      <c r="AA162" s="582">
        <f t="shared" si="141"/>
        <v>0</v>
      </c>
      <c r="AB162" s="581">
        <f>'4,6,2,3 Cerrchas  Metàlica'!I40</f>
        <v>0</v>
      </c>
      <c r="AC162" s="582">
        <f t="shared" si="142"/>
        <v>0</v>
      </c>
      <c r="AE162" s="769" t="e">
        <f t="shared" si="124"/>
        <v>#REF!</v>
      </c>
    </row>
    <row r="163" spans="1:31" ht="45.75" customHeight="1" x14ac:dyDescent="0.2">
      <c r="A163" s="611" t="s">
        <v>838</v>
      </c>
      <c r="B163" s="601" t="s">
        <v>839</v>
      </c>
      <c r="C163" s="611" t="s">
        <v>119</v>
      </c>
      <c r="D163" s="576">
        <f t="shared" si="137"/>
        <v>3326.63</v>
      </c>
      <c r="E163" s="577" t="e">
        <f t="shared" si="111"/>
        <v>#REF!</v>
      </c>
      <c r="F163" s="577" t="e">
        <f t="shared" si="138"/>
        <v>#REF!</v>
      </c>
      <c r="G163" s="578"/>
      <c r="I163" s="584"/>
      <c r="J163" s="585" t="e">
        <f t="shared" si="125"/>
        <v>#REF!</v>
      </c>
      <c r="K163" s="537">
        <v>1825.58</v>
      </c>
      <c r="L163" s="445" t="e">
        <f t="shared" si="126"/>
        <v>#REF!</v>
      </c>
      <c r="M163" s="542">
        <v>269.01</v>
      </c>
      <c r="N163" s="445" t="e">
        <f t="shared" si="127"/>
        <v>#REF!</v>
      </c>
      <c r="O163" s="537">
        <v>457.08</v>
      </c>
      <c r="P163" s="445" t="e">
        <f t="shared" si="128"/>
        <v>#REF!</v>
      </c>
      <c r="Q163" s="537">
        <v>774.96</v>
      </c>
      <c r="R163" s="445" t="e">
        <f t="shared" si="129"/>
        <v>#REF!</v>
      </c>
      <c r="S163" s="537"/>
      <c r="T163" s="445" t="e">
        <f t="shared" si="130"/>
        <v>#REF!</v>
      </c>
      <c r="V163" s="581" t="e">
        <f>+#REF!</f>
        <v>#REF!</v>
      </c>
      <c r="W163" s="582" t="e">
        <f t="shared" si="139"/>
        <v>#REF!</v>
      </c>
      <c r="X163" s="581" t="e">
        <f>+#REF!</f>
        <v>#REF!</v>
      </c>
      <c r="Y163" s="582" t="e">
        <f t="shared" si="140"/>
        <v>#REF!</v>
      </c>
      <c r="Z163" s="581" t="e">
        <f>#REF!</f>
        <v>#REF!</v>
      </c>
      <c r="AA163" s="582" t="e">
        <f t="shared" si="141"/>
        <v>#REF!</v>
      </c>
      <c r="AB163" s="581" t="e">
        <f>#REF!</f>
        <v>#REF!</v>
      </c>
      <c r="AC163" s="582" t="e">
        <f t="shared" si="142"/>
        <v>#REF!</v>
      </c>
      <c r="AE163" s="769" t="e">
        <f t="shared" si="124"/>
        <v>#REF!</v>
      </c>
    </row>
    <row r="164" spans="1:31" ht="15" customHeight="1" x14ac:dyDescent="0.2">
      <c r="A164" s="611" t="s">
        <v>840</v>
      </c>
      <c r="B164" s="610" t="s">
        <v>841</v>
      </c>
      <c r="C164" s="611" t="s">
        <v>119</v>
      </c>
      <c r="D164" s="576">
        <f t="shared" si="137"/>
        <v>63.779999999999994</v>
      </c>
      <c r="E164" s="577" t="e">
        <f t="shared" si="111"/>
        <v>#REF!</v>
      </c>
      <c r="F164" s="577" t="e">
        <f t="shared" si="138"/>
        <v>#REF!</v>
      </c>
      <c r="G164" s="578"/>
      <c r="I164" s="584"/>
      <c r="J164" s="585" t="e">
        <f t="shared" si="125"/>
        <v>#REF!</v>
      </c>
      <c r="K164" s="537">
        <v>39.65</v>
      </c>
      <c r="L164" s="445" t="e">
        <f t="shared" si="126"/>
        <v>#REF!</v>
      </c>
      <c r="M164" s="542">
        <v>4.97</v>
      </c>
      <c r="N164" s="445" t="e">
        <f t="shared" si="127"/>
        <v>#REF!</v>
      </c>
      <c r="O164" s="537">
        <v>9.9499999999999993</v>
      </c>
      <c r="P164" s="445" t="e">
        <f t="shared" si="128"/>
        <v>#REF!</v>
      </c>
      <c r="Q164" s="537">
        <v>9.2100000000000009</v>
      </c>
      <c r="R164" s="445" t="e">
        <f t="shared" si="129"/>
        <v>#REF!</v>
      </c>
      <c r="S164" s="537"/>
      <c r="T164" s="445" t="e">
        <f t="shared" si="130"/>
        <v>#REF!</v>
      </c>
      <c r="V164" s="581" t="e">
        <f>+#REF!</f>
        <v>#REF!</v>
      </c>
      <c r="W164" s="582" t="e">
        <f t="shared" si="139"/>
        <v>#REF!</v>
      </c>
      <c r="X164" s="581" t="e">
        <f>+#REF!</f>
        <v>#REF!</v>
      </c>
      <c r="Y164" s="582" t="e">
        <f t="shared" si="140"/>
        <v>#REF!</v>
      </c>
      <c r="Z164" s="581" t="e">
        <f>+#REF!</f>
        <v>#REF!</v>
      </c>
      <c r="AA164" s="582" t="e">
        <f t="shared" si="141"/>
        <v>#REF!</v>
      </c>
      <c r="AB164" s="581" t="e">
        <f>+#REF!</f>
        <v>#REF!</v>
      </c>
      <c r="AC164" s="582" t="e">
        <f t="shared" si="142"/>
        <v>#REF!</v>
      </c>
      <c r="AE164" s="769" t="e">
        <f t="shared" si="124"/>
        <v>#REF!</v>
      </c>
    </row>
    <row r="165" spans="1:31" ht="15" hidden="1" customHeight="1" x14ac:dyDescent="0.2">
      <c r="A165" s="611" t="s">
        <v>842</v>
      </c>
      <c r="B165" s="601" t="s">
        <v>831</v>
      </c>
      <c r="C165" s="611" t="s">
        <v>119</v>
      </c>
      <c r="D165" s="576">
        <f t="shared" si="137"/>
        <v>0</v>
      </c>
      <c r="E165" s="577">
        <f t="shared" si="111"/>
        <v>0</v>
      </c>
      <c r="F165" s="577">
        <f t="shared" si="138"/>
        <v>0</v>
      </c>
      <c r="G165" s="578"/>
      <c r="I165" s="597"/>
      <c r="J165" s="598">
        <f t="shared" si="125"/>
        <v>0</v>
      </c>
      <c r="K165" s="537"/>
      <c r="L165" s="445">
        <f t="shared" si="126"/>
        <v>0</v>
      </c>
      <c r="M165" s="544"/>
      <c r="N165" s="445">
        <f t="shared" si="127"/>
        <v>0</v>
      </c>
      <c r="O165" s="544"/>
      <c r="P165" s="445">
        <f t="shared" si="128"/>
        <v>0</v>
      </c>
      <c r="Q165" s="544"/>
      <c r="R165" s="445">
        <f t="shared" si="129"/>
        <v>0</v>
      </c>
      <c r="S165" s="544"/>
      <c r="T165" s="445">
        <f t="shared" si="130"/>
        <v>0</v>
      </c>
      <c r="V165" s="581"/>
      <c r="W165" s="582">
        <f t="shared" si="139"/>
        <v>0</v>
      </c>
      <c r="X165" s="581"/>
      <c r="Y165" s="582">
        <f t="shared" si="140"/>
        <v>0</v>
      </c>
      <c r="Z165" s="581"/>
      <c r="AA165" s="582">
        <f t="shared" si="141"/>
        <v>0</v>
      </c>
      <c r="AB165" s="581"/>
      <c r="AC165" s="582">
        <f t="shared" si="142"/>
        <v>0</v>
      </c>
      <c r="AE165" s="769">
        <f t="shared" si="124"/>
        <v>0</v>
      </c>
    </row>
    <row r="166" spans="1:31" ht="15" hidden="1" customHeight="1" x14ac:dyDescent="0.2">
      <c r="A166" s="572">
        <v>4.7</v>
      </c>
      <c r="B166" s="573" t="s">
        <v>843</v>
      </c>
      <c r="C166" s="611"/>
      <c r="D166" s="576"/>
      <c r="E166" s="577"/>
      <c r="F166" s="626">
        <f>+ROUND(SUM(F168:F169),10)</f>
        <v>0</v>
      </c>
      <c r="G166" s="578"/>
      <c r="I166" s="613"/>
      <c r="J166" s="440">
        <f>ROUND(SUM(J167:J169),10)</f>
        <v>0</v>
      </c>
      <c r="K166" s="537"/>
      <c r="L166" s="180">
        <f>ROUND(SUM(L167:L169),10)</f>
        <v>0</v>
      </c>
      <c r="M166" s="544"/>
      <c r="N166" s="180">
        <f>ROUND(SUM(N167:N169),10)</f>
        <v>0</v>
      </c>
      <c r="O166" s="544"/>
      <c r="P166" s="180">
        <f>ROUND(SUM(P167:P169),10)</f>
        <v>0</v>
      </c>
      <c r="Q166" s="544"/>
      <c r="R166" s="180">
        <f>ROUND(SUM(R167:R169),10)</f>
        <v>0</v>
      </c>
      <c r="S166" s="544"/>
      <c r="T166" s="180">
        <f>ROUND(SUM(T167:T169),10)</f>
        <v>0</v>
      </c>
      <c r="V166" s="581"/>
      <c r="W166" s="570">
        <f>ROUND(SUM(W168:W169),10)</f>
        <v>0</v>
      </c>
      <c r="X166" s="581"/>
      <c r="Y166" s="570">
        <f>ROUND(SUM(Y168:Y169),10)</f>
        <v>0</v>
      </c>
      <c r="Z166" s="581"/>
      <c r="AA166" s="570">
        <f>ROUND(SUM(AA168:AA169),10)</f>
        <v>0</v>
      </c>
      <c r="AB166" s="581"/>
      <c r="AC166" s="570">
        <f>ROUND(SUM(AC168:AC169),10)</f>
        <v>0</v>
      </c>
      <c r="AE166" s="769">
        <f t="shared" si="124"/>
        <v>0</v>
      </c>
    </row>
    <row r="167" spans="1:31" ht="15" hidden="1" customHeight="1" x14ac:dyDescent="0.2">
      <c r="A167" s="611" t="s">
        <v>844</v>
      </c>
      <c r="B167" s="601" t="s">
        <v>845</v>
      </c>
      <c r="C167" s="611"/>
      <c r="D167" s="576"/>
      <c r="E167" s="577"/>
      <c r="F167" s="577"/>
      <c r="G167" s="578"/>
      <c r="I167" s="594"/>
      <c r="J167" s="580"/>
      <c r="K167" s="537"/>
      <c r="L167" s="445"/>
      <c r="M167" s="544"/>
      <c r="N167" s="445"/>
      <c r="O167" s="544"/>
      <c r="P167" s="445"/>
      <c r="Q167" s="544"/>
      <c r="R167" s="445"/>
      <c r="S167" s="544"/>
      <c r="T167" s="445"/>
      <c r="V167" s="581"/>
      <c r="W167" s="582"/>
      <c r="X167" s="581"/>
      <c r="Y167" s="582"/>
      <c r="Z167" s="581"/>
      <c r="AA167" s="582"/>
      <c r="AB167" s="581"/>
      <c r="AC167" s="582"/>
      <c r="AE167" s="769">
        <f t="shared" si="124"/>
        <v>0</v>
      </c>
    </row>
    <row r="168" spans="1:31" ht="15" hidden="1" customHeight="1" x14ac:dyDescent="0.2">
      <c r="A168" s="611" t="s">
        <v>846</v>
      </c>
      <c r="B168" s="601" t="s">
        <v>847</v>
      </c>
      <c r="C168" s="611" t="s">
        <v>114</v>
      </c>
      <c r="D168" s="576">
        <f>+I168+K168+M168+O168+Q168+S168</f>
        <v>0</v>
      </c>
      <c r="E168" s="577">
        <f t="shared" si="111"/>
        <v>0</v>
      </c>
      <c r="F168" s="577">
        <f>ROUND(D168*E168,10)</f>
        <v>0</v>
      </c>
      <c r="G168" s="578"/>
      <c r="I168" s="584"/>
      <c r="J168" s="585">
        <f>+ROUND(E168*I168,10)</f>
        <v>0</v>
      </c>
      <c r="K168" s="537"/>
      <c r="L168" s="445">
        <f>+ROUND(E168*K168,10)</f>
        <v>0</v>
      </c>
      <c r="M168" s="544"/>
      <c r="N168" s="445">
        <f>+ROUND(E168*M168,10)</f>
        <v>0</v>
      </c>
      <c r="O168" s="544"/>
      <c r="P168" s="445">
        <f>+ROUND(E168*O168,10)</f>
        <v>0</v>
      </c>
      <c r="Q168" s="544"/>
      <c r="R168" s="445">
        <f>+ROUND(E168*Q168,10)</f>
        <v>0</v>
      </c>
      <c r="S168" s="544"/>
      <c r="T168" s="445">
        <f>+ROUND(E168*S168,10)</f>
        <v>0</v>
      </c>
      <c r="V168" s="581"/>
      <c r="W168" s="582">
        <f>ROUND(V168*$D168,10)</f>
        <v>0</v>
      </c>
      <c r="X168" s="581"/>
      <c r="Y168" s="582">
        <f>ROUND(X168*$D168,10)</f>
        <v>0</v>
      </c>
      <c r="Z168" s="581"/>
      <c r="AA168" s="582">
        <f>ROUND(Z168*$D168,10)</f>
        <v>0</v>
      </c>
      <c r="AB168" s="581"/>
      <c r="AC168" s="582">
        <f>ROUND(AB168*$D168,10)</f>
        <v>0</v>
      </c>
      <c r="AE168" s="769">
        <f t="shared" si="124"/>
        <v>0</v>
      </c>
    </row>
    <row r="169" spans="1:31" ht="15" hidden="1" customHeight="1" thickBot="1" x14ac:dyDescent="0.25">
      <c r="A169" s="611" t="s">
        <v>848</v>
      </c>
      <c r="B169" s="601" t="s">
        <v>849</v>
      </c>
      <c r="C169" s="611" t="s">
        <v>114</v>
      </c>
      <c r="D169" s="576">
        <f>+I169+K169+M169+O169+Q169+S169</f>
        <v>0</v>
      </c>
      <c r="E169" s="577">
        <f t="shared" si="111"/>
        <v>0</v>
      </c>
      <c r="F169" s="577">
        <f>ROUND(D169*E169,10)</f>
        <v>0</v>
      </c>
      <c r="G169" s="578"/>
      <c r="I169" s="602"/>
      <c r="J169" s="603">
        <f>+ROUND(E169*I169,10)</f>
        <v>0</v>
      </c>
      <c r="K169" s="537"/>
      <c r="L169" s="445">
        <f>+ROUND(E169*K169,10)</f>
        <v>0</v>
      </c>
      <c r="M169" s="544"/>
      <c r="N169" s="445">
        <f>+ROUND(E169*M169,10)</f>
        <v>0</v>
      </c>
      <c r="O169" s="544"/>
      <c r="P169" s="445">
        <f>+ROUND(E169*O169,10)</f>
        <v>0</v>
      </c>
      <c r="Q169" s="544"/>
      <c r="R169" s="445">
        <f>+ROUND(E169*Q169,10)</f>
        <v>0</v>
      </c>
      <c r="S169" s="544"/>
      <c r="T169" s="445">
        <f>+ROUND(E169*S169,10)</f>
        <v>0</v>
      </c>
      <c r="V169" s="581"/>
      <c r="W169" s="582">
        <f>ROUND(V169*$D169,10)</f>
        <v>0</v>
      </c>
      <c r="X169" s="581"/>
      <c r="Y169" s="582">
        <f>ROUND(X169*$D169,10)</f>
        <v>0</v>
      </c>
      <c r="Z169" s="581"/>
      <c r="AA169" s="582">
        <f>ROUND(Z169*$D169,10)</f>
        <v>0</v>
      </c>
      <c r="AB169" s="581"/>
      <c r="AC169" s="582">
        <f>ROUND(AB169*$D169,10)</f>
        <v>0</v>
      </c>
      <c r="AE169" s="769">
        <f t="shared" si="124"/>
        <v>0</v>
      </c>
    </row>
    <row r="170" spans="1:31" ht="13.5" hidden="1" customHeight="1" thickTop="1" x14ac:dyDescent="0.2">
      <c r="A170" s="611"/>
      <c r="B170" s="601"/>
      <c r="C170" s="611"/>
      <c r="D170" s="576"/>
      <c r="E170" s="577"/>
      <c r="F170" s="577"/>
      <c r="G170" s="578"/>
      <c r="I170" s="604"/>
      <c r="J170" s="635"/>
      <c r="K170" s="537"/>
      <c r="L170" s="445"/>
      <c r="M170" s="544"/>
      <c r="N170" s="445"/>
      <c r="O170" s="544"/>
      <c r="P170" s="445"/>
      <c r="Q170" s="544"/>
      <c r="R170" s="445"/>
      <c r="S170" s="544"/>
      <c r="T170" s="445"/>
      <c r="V170" s="581"/>
      <c r="W170" s="582"/>
      <c r="X170" s="581"/>
      <c r="Y170" s="582"/>
      <c r="Z170" s="581"/>
      <c r="AA170" s="582"/>
      <c r="AB170" s="581"/>
      <c r="AC170" s="582"/>
      <c r="AE170" s="769">
        <f t="shared" si="124"/>
        <v>0</v>
      </c>
    </row>
    <row r="171" spans="1:31" ht="6" customHeight="1" thickBot="1" x14ac:dyDescent="0.25">
      <c r="A171" s="910"/>
      <c r="B171" s="911"/>
      <c r="C171" s="910"/>
      <c r="G171" s="174"/>
      <c r="I171" s="604"/>
      <c r="J171" s="604"/>
      <c r="K171" s="605"/>
      <c r="L171" s="604"/>
      <c r="M171" s="606"/>
      <c r="N171" s="604"/>
      <c r="O171" s="606"/>
      <c r="P171" s="604"/>
      <c r="Q171" s="606"/>
      <c r="R171" s="604"/>
      <c r="S171" s="606"/>
      <c r="T171" s="604"/>
      <c r="V171" s="615"/>
      <c r="W171" s="615"/>
      <c r="X171" s="615"/>
      <c r="Y171" s="615"/>
      <c r="Z171" s="615"/>
      <c r="AA171" s="615"/>
      <c r="AB171" s="615"/>
      <c r="AC171" s="615"/>
      <c r="AE171" s="769"/>
    </row>
    <row r="172" spans="1:31" s="571" customFormat="1" ht="30" customHeight="1" thickTop="1" thickBot="1" x14ac:dyDescent="0.25">
      <c r="A172" s="564">
        <v>5</v>
      </c>
      <c r="B172" s="1045" t="s">
        <v>850</v>
      </c>
      <c r="C172" s="1045"/>
      <c r="D172" s="1045"/>
      <c r="E172" s="1045"/>
      <c r="F172" s="1045"/>
      <c r="G172" s="180" t="e">
        <f>+ROUND(F173+F181+F188+F194+F197+F202,10)</f>
        <v>#REF!</v>
      </c>
      <c r="H172" s="568"/>
      <c r="I172" s="616"/>
      <c r="J172" s="439" t="e">
        <f>+ROUND(J173+J181+J188+J194+J197+J202,10)</f>
        <v>#REF!</v>
      </c>
      <c r="K172" s="617"/>
      <c r="L172" s="180" t="e">
        <f>+ROUND(L173+L188+L181++L194+L197+L202,10)</f>
        <v>#REF!</v>
      </c>
      <c r="M172" s="180"/>
      <c r="N172" s="180" t="e">
        <f>+ROUND(N173+N188+N181+N188+N194+N197+N202,10)</f>
        <v>#REF!</v>
      </c>
      <c r="O172" s="180"/>
      <c r="P172" s="180" t="e">
        <f>+ROUND(P173+P188+P181+P194+P197+P202,10)</f>
        <v>#REF!</v>
      </c>
      <c r="Q172" s="180"/>
      <c r="R172" s="180" t="e">
        <f>+ROUND(R173+R181+R188+R194+R197+R202,10)</f>
        <v>#REF!</v>
      </c>
      <c r="S172" s="180"/>
      <c r="T172" s="180" t="e">
        <f>+ROUND(T173+T181+T188+T194+T197+T202,10)</f>
        <v>#REF!</v>
      </c>
      <c r="U172" s="568"/>
      <c r="V172" s="569" t="e">
        <f>W172/$G$172</f>
        <v>#REF!</v>
      </c>
      <c r="W172" s="570" t="e">
        <f>ROUND(W173+W181+W188+W194+W197+W202,10)</f>
        <v>#REF!</v>
      </c>
      <c r="X172" s="569" t="e">
        <f>Y172/$G$172</f>
        <v>#REF!</v>
      </c>
      <c r="Y172" s="570" t="e">
        <f>ROUND(Y173+Y181+Y188+Y194+Y197+Y202,10)</f>
        <v>#REF!</v>
      </c>
      <c r="Z172" s="569" t="e">
        <f>AA172/$G$172</f>
        <v>#REF!</v>
      </c>
      <c r="AA172" s="570" t="e">
        <f>ROUND(AA173+AA181+AA188+AA194+AA197+AA202,10)</f>
        <v>#REF!</v>
      </c>
      <c r="AB172" s="569" t="e">
        <f>AC172/$G$172</f>
        <v>#REF!</v>
      </c>
      <c r="AC172" s="570" t="e">
        <f>ROUND(AC173+AC181+AC188+AC194+AC197+AC202,10)</f>
        <v>#REF!</v>
      </c>
      <c r="AE172" s="769" t="e">
        <f t="shared" si="124"/>
        <v>#REF!</v>
      </c>
    </row>
    <row r="173" spans="1:31" s="571" customFormat="1" ht="27" customHeight="1" thickTop="1" x14ac:dyDescent="0.2">
      <c r="A173" s="572" t="s">
        <v>851</v>
      </c>
      <c r="B173" s="573" t="s">
        <v>852</v>
      </c>
      <c r="C173" s="846"/>
      <c r="D173" s="576"/>
      <c r="E173" s="180"/>
      <c r="F173" s="180" t="e">
        <f>+ROUND(SUM(F174:F180),10)</f>
        <v>#REF!</v>
      </c>
      <c r="G173" s="472"/>
      <c r="H173" s="568"/>
      <c r="I173" s="618"/>
      <c r="J173" s="439" t="e">
        <f>ROUND(SUM(J174:J180),10)</f>
        <v>#REF!</v>
      </c>
      <c r="K173" s="619"/>
      <c r="L173" s="180" t="e">
        <f>ROUND(SUM(L174:L180),10)</f>
        <v>#REF!</v>
      </c>
      <c r="M173" s="620"/>
      <c r="N173" s="180" t="e">
        <f>ROUND(SUM(N174:N180),10)</f>
        <v>#REF!</v>
      </c>
      <c r="O173" s="620"/>
      <c r="P173" s="180" t="e">
        <f>ROUND(SUM(P174:P180),10)</f>
        <v>#REF!</v>
      </c>
      <c r="Q173" s="620"/>
      <c r="R173" s="180" t="e">
        <f>ROUND(SUM(R174:R180),10)</f>
        <v>#REF!</v>
      </c>
      <c r="S173" s="620"/>
      <c r="T173" s="180" t="e">
        <f>ROUND(SUM(T174:T180),10)</f>
        <v>#REF!</v>
      </c>
      <c r="U173" s="568"/>
      <c r="V173" s="575"/>
      <c r="W173" s="570" t="e">
        <f>ROUND(SUM(W174:W180),10)</f>
        <v>#REF!</v>
      </c>
      <c r="X173" s="575"/>
      <c r="Y173" s="570">
        <f>ROUND(SUM(Y174:Y180),10)</f>
        <v>15086320.819599999</v>
      </c>
      <c r="Z173" s="575"/>
      <c r="AA173" s="570">
        <f>ROUND(SUM(AA174:AA180),10)</f>
        <v>114364.0693</v>
      </c>
      <c r="AB173" s="575"/>
      <c r="AC173" s="570">
        <f>ROUND(SUM(AC174:AC180),10)</f>
        <v>0</v>
      </c>
      <c r="AE173" s="769" t="e">
        <f t="shared" si="124"/>
        <v>#REF!</v>
      </c>
    </row>
    <row r="174" spans="1:31" ht="15" hidden="1" customHeight="1" x14ac:dyDescent="0.2">
      <c r="A174" s="611" t="s">
        <v>853</v>
      </c>
      <c r="B174" s="601" t="s">
        <v>854</v>
      </c>
      <c r="C174" s="611" t="s">
        <v>130</v>
      </c>
      <c r="D174" s="576">
        <f t="shared" ref="D174:D180" si="143">+I174+K174+M174+O174+Q174+S174</f>
        <v>0</v>
      </c>
      <c r="E174" s="577" t="e">
        <f t="shared" ref="E174:E203" si="144">V174+X174+Z174+AB174</f>
        <v>#REF!</v>
      </c>
      <c r="F174" s="577" t="e">
        <f t="shared" ref="F174:F180" si="145">ROUND(D174*E174,10)</f>
        <v>#REF!</v>
      </c>
      <c r="G174" s="914"/>
      <c r="I174" s="594"/>
      <c r="J174" s="580" t="e">
        <f t="shared" ref="J174:J180" si="146">+ROUND(E174*I174,10)</f>
        <v>#REF!</v>
      </c>
      <c r="K174" s="538"/>
      <c r="L174" s="445" t="e">
        <f t="shared" ref="L174:L180" si="147">+ROUND(E174*K174,10)</f>
        <v>#REF!</v>
      </c>
      <c r="M174" s="542"/>
      <c r="N174" s="445" t="e">
        <f t="shared" ref="N174:N180" si="148">+ROUND(E174*M174,10)</f>
        <v>#REF!</v>
      </c>
      <c r="O174" s="542"/>
      <c r="P174" s="445" t="e">
        <f t="shared" ref="P174:P180" si="149">+ROUND(E174*O174,10)</f>
        <v>#REF!</v>
      </c>
      <c r="Q174" s="542"/>
      <c r="R174" s="445" t="e">
        <f t="shared" ref="R174:R180" si="150">+ROUND(E174*Q174,10)</f>
        <v>#REF!</v>
      </c>
      <c r="S174" s="542"/>
      <c r="T174" s="445" t="e">
        <f t="shared" ref="T174:T180" si="151">+ROUND(E174*S174,10)</f>
        <v>#REF!</v>
      </c>
      <c r="V174" s="581" t="e">
        <f>+'5,1,1 Bloq Conc Estruc 0,12'!I19</f>
        <v>#REF!</v>
      </c>
      <c r="W174" s="582" t="e">
        <f t="shared" ref="W174:W180" si="152">ROUND(V174*$D174,10)</f>
        <v>#REF!</v>
      </c>
      <c r="X174" s="581">
        <f>+'5,1,1 Bloq Conc Estruc 0,12'!I50</f>
        <v>13169.96</v>
      </c>
      <c r="Y174" s="582">
        <f t="shared" ref="Y174:Y180" si="153">ROUND(X174*$D174,10)</f>
        <v>0</v>
      </c>
      <c r="Z174" s="581">
        <f>+'5,1,1 Bloq Conc Estruc 0,12'!I30</f>
        <v>103.88</v>
      </c>
      <c r="AA174" s="582">
        <f t="shared" ref="AA174:AA180" si="154">ROUND(Z174*$D174,10)</f>
        <v>0</v>
      </c>
      <c r="AB174" s="581">
        <f>+'5,1,1 Bloq Conc Estruc 0,12'!I41</f>
        <v>0</v>
      </c>
      <c r="AC174" s="582">
        <f t="shared" ref="AC174:AC180" si="155">ROUND(AB174*$D174,10)</f>
        <v>0</v>
      </c>
      <c r="AE174" s="769" t="e">
        <f t="shared" si="124"/>
        <v>#REF!</v>
      </c>
    </row>
    <row r="175" spans="1:31" ht="15" customHeight="1" x14ac:dyDescent="0.2">
      <c r="A175" s="611" t="s">
        <v>855</v>
      </c>
      <c r="B175" s="601" t="s">
        <v>856</v>
      </c>
      <c r="C175" s="611" t="s">
        <v>130</v>
      </c>
      <c r="D175" s="576">
        <f t="shared" si="143"/>
        <v>1108.01</v>
      </c>
      <c r="E175" s="577" t="e">
        <f t="shared" si="144"/>
        <v>#REF!</v>
      </c>
      <c r="F175" s="577" t="e">
        <f t="shared" si="145"/>
        <v>#REF!</v>
      </c>
      <c r="G175" s="914"/>
      <c r="I175" s="584"/>
      <c r="J175" s="585" t="e">
        <f t="shared" si="146"/>
        <v>#REF!</v>
      </c>
      <c r="K175" s="538">
        <f>1108.01*TA</f>
        <v>488.84248880680104</v>
      </c>
      <c r="L175" s="445" t="e">
        <f t="shared" si="147"/>
        <v>#REF!</v>
      </c>
      <c r="M175" s="538">
        <f>1108.01*TL</f>
        <v>65.417315710058006</v>
      </c>
      <c r="N175" s="445" t="e">
        <f t="shared" si="148"/>
        <v>#REF!</v>
      </c>
      <c r="O175" s="538">
        <f>1108.01*TB</f>
        <v>89.009217424637001</v>
      </c>
      <c r="P175" s="445" t="e">
        <f t="shared" si="149"/>
        <v>#REF!</v>
      </c>
      <c r="Q175" s="538">
        <f>1108.01*TC</f>
        <v>251.81432284833301</v>
      </c>
      <c r="R175" s="445" t="e">
        <f t="shared" si="150"/>
        <v>#REF!</v>
      </c>
      <c r="S175" s="538">
        <f>1108.01*TE</f>
        <v>212.92665521017099</v>
      </c>
      <c r="T175" s="445" t="e">
        <f t="shared" si="151"/>
        <v>#REF!</v>
      </c>
      <c r="U175" s="552">
        <v>31.2</v>
      </c>
      <c r="V175" s="581" t="e">
        <f>+'5,1,2 Bloque concreto divisorio'!I19</f>
        <v>#REF!</v>
      </c>
      <c r="W175" s="582" t="e">
        <f t="shared" si="152"/>
        <v>#REF!</v>
      </c>
      <c r="X175" s="581">
        <f>+'5,1,2 Bloque concreto divisorio'!I50</f>
        <v>13169.96</v>
      </c>
      <c r="Y175" s="582">
        <f t="shared" si="153"/>
        <v>14592447.3796</v>
      </c>
      <c r="Z175" s="581">
        <f>+'5,1,2 Bloque concreto divisorio'!I30</f>
        <v>98.93</v>
      </c>
      <c r="AA175" s="582">
        <f t="shared" si="154"/>
        <v>109615.4293</v>
      </c>
      <c r="AB175" s="581">
        <f>+'5,1,2 Bloque concreto divisorio'!I41</f>
        <v>0</v>
      </c>
      <c r="AC175" s="582">
        <f t="shared" si="155"/>
        <v>0</v>
      </c>
      <c r="AE175" s="769" t="e">
        <f t="shared" si="124"/>
        <v>#REF!</v>
      </c>
    </row>
    <row r="176" spans="1:31" ht="15" hidden="1" customHeight="1" x14ac:dyDescent="0.2">
      <c r="A176" s="611" t="s">
        <v>857</v>
      </c>
      <c r="B176" s="601" t="s">
        <v>858</v>
      </c>
      <c r="C176" s="611" t="s">
        <v>130</v>
      </c>
      <c r="D176" s="576">
        <f t="shared" si="143"/>
        <v>0</v>
      </c>
      <c r="E176" s="577">
        <f t="shared" si="144"/>
        <v>0</v>
      </c>
      <c r="F176" s="577">
        <f t="shared" si="145"/>
        <v>0</v>
      </c>
      <c r="G176" s="914"/>
      <c r="H176" s="636"/>
      <c r="I176" s="637"/>
      <c r="J176" s="585">
        <f t="shared" si="146"/>
        <v>0</v>
      </c>
      <c r="K176" s="537"/>
      <c r="L176" s="445">
        <f t="shared" si="147"/>
        <v>0</v>
      </c>
      <c r="M176" s="542"/>
      <c r="N176" s="445">
        <f t="shared" si="148"/>
        <v>0</v>
      </c>
      <c r="O176" s="542"/>
      <c r="P176" s="445">
        <f t="shared" si="149"/>
        <v>0</v>
      </c>
      <c r="Q176" s="542"/>
      <c r="R176" s="445">
        <f t="shared" si="150"/>
        <v>0</v>
      </c>
      <c r="S176" s="542"/>
      <c r="T176" s="445">
        <f t="shared" si="151"/>
        <v>0</v>
      </c>
      <c r="V176" s="581"/>
      <c r="W176" s="582">
        <f t="shared" si="152"/>
        <v>0</v>
      </c>
      <c r="X176" s="581"/>
      <c r="Y176" s="582">
        <f t="shared" si="153"/>
        <v>0</v>
      </c>
      <c r="Z176" s="581"/>
      <c r="AA176" s="582">
        <f t="shared" si="154"/>
        <v>0</v>
      </c>
      <c r="AB176" s="581"/>
      <c r="AC176" s="582">
        <f t="shared" si="155"/>
        <v>0</v>
      </c>
      <c r="AE176" s="769">
        <f t="shared" si="124"/>
        <v>0</v>
      </c>
    </row>
    <row r="177" spans="1:31" ht="15" hidden="1" customHeight="1" x14ac:dyDescent="0.2">
      <c r="A177" s="611" t="s">
        <v>859</v>
      </c>
      <c r="B177" s="601" t="s">
        <v>860</v>
      </c>
      <c r="C177" s="611" t="s">
        <v>130</v>
      </c>
      <c r="D177" s="576">
        <f t="shared" si="143"/>
        <v>0</v>
      </c>
      <c r="E177" s="577">
        <f t="shared" si="144"/>
        <v>0</v>
      </c>
      <c r="F177" s="577">
        <f t="shared" si="145"/>
        <v>0</v>
      </c>
      <c r="G177" s="914"/>
      <c r="H177" s="636"/>
      <c r="I177" s="637"/>
      <c r="J177" s="585">
        <f t="shared" si="146"/>
        <v>0</v>
      </c>
      <c r="K177" s="537"/>
      <c r="L177" s="445">
        <f t="shared" si="147"/>
        <v>0</v>
      </c>
      <c r="M177" s="542"/>
      <c r="N177" s="445">
        <f t="shared" si="148"/>
        <v>0</v>
      </c>
      <c r="O177" s="542"/>
      <c r="P177" s="445">
        <f t="shared" si="149"/>
        <v>0</v>
      </c>
      <c r="Q177" s="542"/>
      <c r="R177" s="445">
        <f t="shared" si="150"/>
        <v>0</v>
      </c>
      <c r="S177" s="542"/>
      <c r="T177" s="445">
        <f t="shared" si="151"/>
        <v>0</v>
      </c>
      <c r="V177" s="581"/>
      <c r="W177" s="582">
        <f t="shared" si="152"/>
        <v>0</v>
      </c>
      <c r="X177" s="581"/>
      <c r="Y177" s="582">
        <f t="shared" si="153"/>
        <v>0</v>
      </c>
      <c r="Z177" s="581"/>
      <c r="AA177" s="582">
        <f t="shared" si="154"/>
        <v>0</v>
      </c>
      <c r="AB177" s="581"/>
      <c r="AC177" s="582">
        <f t="shared" si="155"/>
        <v>0</v>
      </c>
      <c r="AE177" s="769">
        <f t="shared" si="124"/>
        <v>0</v>
      </c>
    </row>
    <row r="178" spans="1:31" ht="31.5" customHeight="1" x14ac:dyDescent="0.2">
      <c r="A178" s="611" t="s">
        <v>861</v>
      </c>
      <c r="B178" s="601" t="s">
        <v>862</v>
      </c>
      <c r="C178" s="611" t="s">
        <v>111</v>
      </c>
      <c r="D178" s="576">
        <f t="shared" si="143"/>
        <v>48</v>
      </c>
      <c r="E178" s="577" t="e">
        <f t="shared" si="144"/>
        <v>#REF!</v>
      </c>
      <c r="F178" s="577" t="e">
        <f t="shared" si="145"/>
        <v>#REF!</v>
      </c>
      <c r="G178" s="914"/>
      <c r="H178" s="636"/>
      <c r="I178" s="637"/>
      <c r="J178" s="585" t="e">
        <f t="shared" si="146"/>
        <v>#REF!</v>
      </c>
      <c r="K178" s="537">
        <v>32</v>
      </c>
      <c r="L178" s="445" t="e">
        <f t="shared" si="147"/>
        <v>#REF!</v>
      </c>
      <c r="M178" s="542">
        <v>8</v>
      </c>
      <c r="N178" s="445" t="e">
        <f t="shared" si="148"/>
        <v>#REF!</v>
      </c>
      <c r="O178" s="542">
        <v>8</v>
      </c>
      <c r="P178" s="445" t="e">
        <f t="shared" si="149"/>
        <v>#REF!</v>
      </c>
      <c r="Q178" s="542"/>
      <c r="R178" s="445" t="e">
        <f t="shared" si="150"/>
        <v>#REF!</v>
      </c>
      <c r="S178" s="542"/>
      <c r="T178" s="445" t="e">
        <f t="shared" si="151"/>
        <v>#REF!</v>
      </c>
      <c r="V178" s="581" t="e">
        <f>+'5,1,5  Calados en Concreto'!I19</f>
        <v>#REF!</v>
      </c>
      <c r="W178" s="582" t="e">
        <f t="shared" si="152"/>
        <v>#REF!</v>
      </c>
      <c r="X178" s="581">
        <f>+'5,1,5  Calados en Concreto'!I50</f>
        <v>10289.030000000001</v>
      </c>
      <c r="Y178" s="582">
        <f t="shared" si="153"/>
        <v>493873.44</v>
      </c>
      <c r="Z178" s="581">
        <f>+'5,1,5  Calados en Concreto'!I30</f>
        <v>98.93</v>
      </c>
      <c r="AA178" s="582">
        <f t="shared" si="154"/>
        <v>4748.6400000000003</v>
      </c>
      <c r="AB178" s="581">
        <f>+'5,1,5  Calados en Concreto'!I41</f>
        <v>0</v>
      </c>
      <c r="AC178" s="582">
        <f t="shared" si="155"/>
        <v>0</v>
      </c>
      <c r="AE178" s="769" t="e">
        <f t="shared" si="124"/>
        <v>#REF!</v>
      </c>
    </row>
    <row r="179" spans="1:31" ht="33.75" hidden="1" customHeight="1" x14ac:dyDescent="0.2">
      <c r="A179" s="611" t="s">
        <v>863</v>
      </c>
      <c r="B179" s="601" t="s">
        <v>864</v>
      </c>
      <c r="C179" s="611" t="s">
        <v>130</v>
      </c>
      <c r="D179" s="576">
        <f t="shared" si="143"/>
        <v>0</v>
      </c>
      <c r="E179" s="577" t="e">
        <f t="shared" si="144"/>
        <v>#REF!</v>
      </c>
      <c r="F179" s="577" t="e">
        <f t="shared" si="145"/>
        <v>#REF!</v>
      </c>
      <c r="G179" s="914"/>
      <c r="H179" s="636"/>
      <c r="I179" s="637"/>
      <c r="J179" s="585" t="e">
        <f t="shared" si="146"/>
        <v>#REF!</v>
      </c>
      <c r="K179" s="537"/>
      <c r="L179" s="445" t="e">
        <f t="shared" si="147"/>
        <v>#REF!</v>
      </c>
      <c r="M179" s="542"/>
      <c r="N179" s="445" t="e">
        <f t="shared" si="148"/>
        <v>#REF!</v>
      </c>
      <c r="O179" s="542"/>
      <c r="P179" s="445" t="e">
        <f t="shared" si="149"/>
        <v>#REF!</v>
      </c>
      <c r="Q179" s="542"/>
      <c r="R179" s="445" t="e">
        <f t="shared" si="150"/>
        <v>#REF!</v>
      </c>
      <c r="S179" s="542"/>
      <c r="T179" s="445" t="e">
        <f t="shared" si="151"/>
        <v>#REF!</v>
      </c>
      <c r="V179" s="581" t="e">
        <f>+'5,1,6 Bloq Conc Estruc 014'!I19</f>
        <v>#REF!</v>
      </c>
      <c r="W179" s="582" t="e">
        <f t="shared" si="152"/>
        <v>#REF!</v>
      </c>
      <c r="X179" s="581">
        <f>+'5,1,6 Bloq Conc Estruc 014'!I50</f>
        <v>13169.96</v>
      </c>
      <c r="Y179" s="582">
        <f t="shared" si="153"/>
        <v>0</v>
      </c>
      <c r="Z179" s="581">
        <f>+'5,1,6 Bloq Conc Estruc 014'!I30</f>
        <v>103.88</v>
      </c>
      <c r="AA179" s="582">
        <f t="shared" si="154"/>
        <v>0</v>
      </c>
      <c r="AB179" s="581">
        <f>+'5,1,6 Bloq Conc Estruc 014'!I41</f>
        <v>0</v>
      </c>
      <c r="AC179" s="582">
        <f t="shared" si="155"/>
        <v>0</v>
      </c>
      <c r="AE179" s="769" t="e">
        <f t="shared" si="124"/>
        <v>#REF!</v>
      </c>
    </row>
    <row r="180" spans="1:31" ht="30" hidden="1" customHeight="1" x14ac:dyDescent="0.2">
      <c r="A180" s="611" t="s">
        <v>865</v>
      </c>
      <c r="B180" s="601" t="s">
        <v>866</v>
      </c>
      <c r="C180" s="611" t="s">
        <v>130</v>
      </c>
      <c r="D180" s="576">
        <f t="shared" si="143"/>
        <v>0</v>
      </c>
      <c r="E180" s="577" t="e">
        <f t="shared" si="144"/>
        <v>#REF!</v>
      </c>
      <c r="F180" s="577" t="e">
        <f t="shared" si="145"/>
        <v>#REF!</v>
      </c>
      <c r="G180" s="914"/>
      <c r="H180" s="636"/>
      <c r="I180" s="638"/>
      <c r="J180" s="598" t="e">
        <f t="shared" si="146"/>
        <v>#REF!</v>
      </c>
      <c r="K180" s="537"/>
      <c r="L180" s="445" t="e">
        <f t="shared" si="147"/>
        <v>#REF!</v>
      </c>
      <c r="M180" s="542"/>
      <c r="N180" s="445" t="e">
        <f t="shared" si="148"/>
        <v>#REF!</v>
      </c>
      <c r="O180" s="542"/>
      <c r="P180" s="445" t="e">
        <f t="shared" si="149"/>
        <v>#REF!</v>
      </c>
      <c r="Q180" s="542"/>
      <c r="R180" s="445" t="e">
        <f t="shared" si="150"/>
        <v>#REF!</v>
      </c>
      <c r="S180" s="542"/>
      <c r="T180" s="445" t="e">
        <f t="shared" si="151"/>
        <v>#REF!</v>
      </c>
      <c r="V180" s="581" t="e">
        <f>+'5,1,7 Bloq Conc Estruc 019'!I19</f>
        <v>#REF!</v>
      </c>
      <c r="W180" s="582" t="e">
        <f t="shared" si="152"/>
        <v>#REF!</v>
      </c>
      <c r="X180" s="581">
        <f>+'5,1,7 Bloq Conc Estruc 019'!I50</f>
        <v>11758.89</v>
      </c>
      <c r="Y180" s="582">
        <f t="shared" si="153"/>
        <v>0</v>
      </c>
      <c r="Z180" s="581">
        <f>+'5,1,7 Bloq Conc Estruc 019'!I30</f>
        <v>247.33</v>
      </c>
      <c r="AA180" s="582">
        <f t="shared" si="154"/>
        <v>0</v>
      </c>
      <c r="AB180" s="581">
        <f>+'5,1,7 Bloq Conc Estruc 019'!I41</f>
        <v>0</v>
      </c>
      <c r="AC180" s="582">
        <f t="shared" si="155"/>
        <v>0</v>
      </c>
      <c r="AE180" s="769" t="e">
        <f t="shared" si="124"/>
        <v>#REF!</v>
      </c>
    </row>
    <row r="181" spans="1:31" s="568" customFormat="1" ht="18" customHeight="1" x14ac:dyDescent="0.2">
      <c r="A181" s="572" t="s">
        <v>867</v>
      </c>
      <c r="B181" s="573" t="s">
        <v>868</v>
      </c>
      <c r="C181" s="846"/>
      <c r="D181" s="576"/>
      <c r="E181" s="577"/>
      <c r="F181" s="180" t="e">
        <f>+ROUND(SUM(F182:F187),10)</f>
        <v>#REF!</v>
      </c>
      <c r="G181" s="472"/>
      <c r="H181" s="639"/>
      <c r="I181" s="640"/>
      <c r="J181" s="440" t="e">
        <f>ROUND(SUM(J182:J187),10)</f>
        <v>#REF!</v>
      </c>
      <c r="K181" s="537"/>
      <c r="L181" s="180" t="e">
        <f>ROUND(SUM(L182:L187),10)</f>
        <v>#REF!</v>
      </c>
      <c r="M181" s="542"/>
      <c r="N181" s="180" t="e">
        <f>ROUND(SUM(N182:N187),10)</f>
        <v>#REF!</v>
      </c>
      <c r="O181" s="542"/>
      <c r="P181" s="180" t="e">
        <f>ROUND(SUM(P182:P187),10)</f>
        <v>#REF!</v>
      </c>
      <c r="Q181" s="542"/>
      <c r="R181" s="180" t="e">
        <f>ROUND(SUM(R182:R187),10)</f>
        <v>#REF!</v>
      </c>
      <c r="S181" s="542"/>
      <c r="T181" s="180" t="e">
        <f>ROUND(SUM(T182:T187),10)</f>
        <v>#REF!</v>
      </c>
      <c r="V181" s="575"/>
      <c r="W181" s="570" t="e">
        <f>ROUND(SUM(W182:W187),10)</f>
        <v>#REF!</v>
      </c>
      <c r="X181" s="575"/>
      <c r="Y181" s="570" t="e">
        <f>ROUND(SUM(Y182:Y187),10)</f>
        <v>#REF!</v>
      </c>
      <c r="Z181" s="575"/>
      <c r="AA181" s="570" t="e">
        <f>ROUND(SUM(AA182:AA187),10)</f>
        <v>#REF!</v>
      </c>
      <c r="AB181" s="575"/>
      <c r="AC181" s="570" t="e">
        <f>ROUND(SUM(AC182:AC187),10)</f>
        <v>#REF!</v>
      </c>
      <c r="AE181" s="769" t="e">
        <f t="shared" si="124"/>
        <v>#REF!</v>
      </c>
    </row>
    <row r="182" spans="1:31" ht="15" customHeight="1" x14ac:dyDescent="0.2">
      <c r="A182" s="611" t="s">
        <v>869</v>
      </c>
      <c r="B182" s="601" t="s">
        <v>870</v>
      </c>
      <c r="C182" s="611" t="s">
        <v>130</v>
      </c>
      <c r="D182" s="576">
        <f t="shared" ref="D182:D187" si="156">+I182+K182+M182+O182+Q182+S182</f>
        <v>24.19</v>
      </c>
      <c r="E182" s="577" t="e">
        <f t="shared" si="144"/>
        <v>#REF!</v>
      </c>
      <c r="F182" s="577" t="e">
        <f t="shared" ref="F182:F187" si="157">ROUND(D182*E182,10)</f>
        <v>#REF!</v>
      </c>
      <c r="G182" s="914"/>
      <c r="I182" s="594"/>
      <c r="J182" s="580" t="e">
        <f t="shared" ref="J182:J187" si="158">+ROUND(E182*I182,10)</f>
        <v>#REF!</v>
      </c>
      <c r="K182" s="537"/>
      <c r="L182" s="445" t="e">
        <f t="shared" ref="L182:L187" si="159">+ROUND(E182*K182,10)</f>
        <v>#REF!</v>
      </c>
      <c r="M182" s="542"/>
      <c r="N182" s="445" t="e">
        <f t="shared" ref="N182:N187" si="160">+ROUND(E182*M182,10)</f>
        <v>#REF!</v>
      </c>
      <c r="O182" s="542">
        <v>24.19</v>
      </c>
      <c r="P182" s="445" t="e">
        <f t="shared" ref="P182:P187" si="161">+ROUND(E182*O182,10)</f>
        <v>#REF!</v>
      </c>
      <c r="Q182" s="542"/>
      <c r="R182" s="445" t="e">
        <f t="shared" ref="R182:R187" si="162">+ROUND(E182*Q182,10)</f>
        <v>#REF!</v>
      </c>
      <c r="S182" s="542"/>
      <c r="T182" s="445" t="e">
        <f t="shared" ref="T182:T187" si="163">+ROUND(E182*S182,10)</f>
        <v>#REF!</v>
      </c>
      <c r="V182" s="581" t="e">
        <f>+#REF!</f>
        <v>#REF!</v>
      </c>
      <c r="W182" s="582" t="e">
        <f t="shared" ref="W182:W187" si="164">ROUND(V182*$D182,10)</f>
        <v>#REF!</v>
      </c>
      <c r="X182" s="581" t="e">
        <f>+#REF!</f>
        <v>#REF!</v>
      </c>
      <c r="Y182" s="582" t="e">
        <f t="shared" ref="Y182:Y187" si="165">ROUND(X182*$D182,10)</f>
        <v>#REF!</v>
      </c>
      <c r="Z182" s="581" t="e">
        <f>+#REF!</f>
        <v>#REF!</v>
      </c>
      <c r="AA182" s="582" t="e">
        <f t="shared" ref="AA182:AA187" si="166">ROUND(Z182*$D182,10)</f>
        <v>#REF!</v>
      </c>
      <c r="AB182" s="581" t="e">
        <f>+#REF!</f>
        <v>#REF!</v>
      </c>
      <c r="AC182" s="582" t="e">
        <f t="shared" ref="AC182:AC187" si="167">ROUND(AB182*$D182,10)</f>
        <v>#REF!</v>
      </c>
      <c r="AE182" s="769" t="e">
        <f t="shared" si="124"/>
        <v>#REF!</v>
      </c>
    </row>
    <row r="183" spans="1:31" ht="30" hidden="1" customHeight="1" x14ac:dyDescent="0.2">
      <c r="A183" s="611" t="s">
        <v>871</v>
      </c>
      <c r="B183" s="601" t="s">
        <v>872</v>
      </c>
      <c r="C183" s="611" t="s">
        <v>130</v>
      </c>
      <c r="D183" s="576">
        <f t="shared" si="156"/>
        <v>0</v>
      </c>
      <c r="E183" s="577" t="e">
        <f t="shared" si="144"/>
        <v>#REF!</v>
      </c>
      <c r="F183" s="577" t="e">
        <f t="shared" si="157"/>
        <v>#REF!</v>
      </c>
      <c r="G183" s="914"/>
      <c r="I183" s="584"/>
      <c r="J183" s="585" t="e">
        <f t="shared" si="158"/>
        <v>#REF!</v>
      </c>
      <c r="K183" s="537"/>
      <c r="L183" s="445" t="e">
        <f t="shared" si="159"/>
        <v>#REF!</v>
      </c>
      <c r="M183" s="542"/>
      <c r="N183" s="445" t="e">
        <f t="shared" si="160"/>
        <v>#REF!</v>
      </c>
      <c r="O183" s="542"/>
      <c r="P183" s="445" t="e">
        <f t="shared" si="161"/>
        <v>#REF!</v>
      </c>
      <c r="Q183" s="542"/>
      <c r="R183" s="445" t="e">
        <f t="shared" si="162"/>
        <v>#REF!</v>
      </c>
      <c r="S183" s="542"/>
      <c r="T183" s="445" t="e">
        <f t="shared" si="163"/>
        <v>#REF!</v>
      </c>
      <c r="V183" s="581" t="e">
        <f>+#REF!</f>
        <v>#REF!</v>
      </c>
      <c r="W183" s="582" t="e">
        <f t="shared" si="164"/>
        <v>#REF!</v>
      </c>
      <c r="X183" s="581" t="e">
        <f>+#REF!</f>
        <v>#REF!</v>
      </c>
      <c r="Y183" s="582" t="e">
        <f t="shared" si="165"/>
        <v>#REF!</v>
      </c>
      <c r="Z183" s="581" t="e">
        <f>+#REF!</f>
        <v>#REF!</v>
      </c>
      <c r="AA183" s="582" t="e">
        <f t="shared" si="166"/>
        <v>#REF!</v>
      </c>
      <c r="AB183" s="581" t="e">
        <f>+#REF!</f>
        <v>#REF!</v>
      </c>
      <c r="AC183" s="582" t="e">
        <f t="shared" si="167"/>
        <v>#REF!</v>
      </c>
      <c r="AE183" s="769" t="e">
        <f t="shared" si="124"/>
        <v>#REF!</v>
      </c>
    </row>
    <row r="184" spans="1:31" ht="30" customHeight="1" x14ac:dyDescent="0.2">
      <c r="A184" s="611" t="s">
        <v>873</v>
      </c>
      <c r="B184" s="601" t="s">
        <v>874</v>
      </c>
      <c r="C184" s="611" t="s">
        <v>130</v>
      </c>
      <c r="D184" s="576">
        <f t="shared" si="156"/>
        <v>167.2</v>
      </c>
      <c r="E184" s="577" t="e">
        <f t="shared" si="144"/>
        <v>#REF!</v>
      </c>
      <c r="F184" s="577" t="e">
        <f t="shared" si="157"/>
        <v>#REF!</v>
      </c>
      <c r="G184" s="914"/>
      <c r="I184" s="584"/>
      <c r="J184" s="585" t="e">
        <f t="shared" si="158"/>
        <v>#REF!</v>
      </c>
      <c r="K184" s="537">
        <f>66.99*2</f>
        <v>133.97999999999999</v>
      </c>
      <c r="L184" s="445" t="e">
        <f t="shared" si="159"/>
        <v>#REF!</v>
      </c>
      <c r="M184" s="542"/>
      <c r="N184" s="445" t="e">
        <f t="shared" si="160"/>
        <v>#REF!</v>
      </c>
      <c r="O184" s="537">
        <f>16.61*2</f>
        <v>33.22</v>
      </c>
      <c r="P184" s="445" t="e">
        <f t="shared" si="161"/>
        <v>#REF!</v>
      </c>
      <c r="Q184" s="542"/>
      <c r="R184" s="445" t="e">
        <f t="shared" si="162"/>
        <v>#REF!</v>
      </c>
      <c r="S184" s="542"/>
      <c r="T184" s="445" t="e">
        <f t="shared" si="163"/>
        <v>#REF!</v>
      </c>
      <c r="V184" s="581" t="e">
        <f>+#REF!</f>
        <v>#REF!</v>
      </c>
      <c r="W184" s="582" t="e">
        <f t="shared" si="164"/>
        <v>#REF!</v>
      </c>
      <c r="X184" s="581" t="e">
        <f>+#REF!</f>
        <v>#REF!</v>
      </c>
      <c r="Y184" s="582" t="e">
        <f t="shared" si="165"/>
        <v>#REF!</v>
      </c>
      <c r="Z184" s="581" t="e">
        <f>+#REF!</f>
        <v>#REF!</v>
      </c>
      <c r="AA184" s="582" t="e">
        <f t="shared" si="166"/>
        <v>#REF!</v>
      </c>
      <c r="AB184" s="581">
        <v>0</v>
      </c>
      <c r="AC184" s="582">
        <f t="shared" si="167"/>
        <v>0</v>
      </c>
      <c r="AE184" s="769" t="e">
        <f t="shared" si="124"/>
        <v>#REF!</v>
      </c>
    </row>
    <row r="185" spans="1:31" ht="15" hidden="1" customHeight="1" x14ac:dyDescent="0.2">
      <c r="A185" s="627" t="s">
        <v>875</v>
      </c>
      <c r="B185" s="610" t="s">
        <v>876</v>
      </c>
      <c r="C185" s="627" t="s">
        <v>130</v>
      </c>
      <c r="D185" s="576">
        <f t="shared" si="156"/>
        <v>0</v>
      </c>
      <c r="E185" s="577" t="e">
        <f t="shared" si="144"/>
        <v>#REF!</v>
      </c>
      <c r="F185" s="577" t="e">
        <f t="shared" si="157"/>
        <v>#REF!</v>
      </c>
      <c r="G185" s="914"/>
      <c r="I185" s="584"/>
      <c r="J185" s="585" t="e">
        <f t="shared" si="158"/>
        <v>#REF!</v>
      </c>
      <c r="K185" s="537"/>
      <c r="L185" s="445" t="e">
        <f t="shared" si="159"/>
        <v>#REF!</v>
      </c>
      <c r="M185" s="542"/>
      <c r="N185" s="445" t="e">
        <f t="shared" si="160"/>
        <v>#REF!</v>
      </c>
      <c r="O185" s="542"/>
      <c r="P185" s="445" t="e">
        <f t="shared" si="161"/>
        <v>#REF!</v>
      </c>
      <c r="Q185" s="542"/>
      <c r="R185" s="445" t="e">
        <f t="shared" si="162"/>
        <v>#REF!</v>
      </c>
      <c r="S185" s="542"/>
      <c r="T185" s="445" t="e">
        <f t="shared" si="163"/>
        <v>#REF!</v>
      </c>
      <c r="V185" s="581" t="e">
        <f>+#REF!</f>
        <v>#REF!</v>
      </c>
      <c r="W185" s="582" t="e">
        <f t="shared" si="164"/>
        <v>#REF!</v>
      </c>
      <c r="X185" s="581" t="e">
        <f>+#REF!</f>
        <v>#REF!</v>
      </c>
      <c r="Y185" s="582" t="e">
        <f t="shared" si="165"/>
        <v>#REF!</v>
      </c>
      <c r="Z185" s="581" t="e">
        <f>+#REF!</f>
        <v>#REF!</v>
      </c>
      <c r="AA185" s="582" t="e">
        <f t="shared" si="166"/>
        <v>#REF!</v>
      </c>
      <c r="AB185" s="581" t="e">
        <f>+#REF!</f>
        <v>#REF!</v>
      </c>
      <c r="AC185" s="582" t="e">
        <f t="shared" si="167"/>
        <v>#REF!</v>
      </c>
      <c r="AE185" s="769" t="e">
        <f t="shared" si="124"/>
        <v>#REF!</v>
      </c>
    </row>
    <row r="186" spans="1:31" ht="15" hidden="1" customHeight="1" x14ac:dyDescent="0.2">
      <c r="A186" s="915" t="s">
        <v>877</v>
      </c>
      <c r="B186" s="649" t="s">
        <v>878</v>
      </c>
      <c r="C186" s="915" t="s">
        <v>130</v>
      </c>
      <c r="D186" s="576">
        <f t="shared" si="156"/>
        <v>0</v>
      </c>
      <c r="E186" s="577">
        <f t="shared" si="144"/>
        <v>0</v>
      </c>
      <c r="F186" s="577">
        <f t="shared" si="157"/>
        <v>0</v>
      </c>
      <c r="G186" s="914"/>
      <c r="I186" s="584"/>
      <c r="J186" s="585">
        <f t="shared" si="158"/>
        <v>0</v>
      </c>
      <c r="K186" s="537"/>
      <c r="L186" s="445">
        <f t="shared" si="159"/>
        <v>0</v>
      </c>
      <c r="M186" s="542"/>
      <c r="N186" s="445">
        <f t="shared" si="160"/>
        <v>0</v>
      </c>
      <c r="O186" s="542"/>
      <c r="P186" s="445">
        <f t="shared" si="161"/>
        <v>0</v>
      </c>
      <c r="Q186" s="542"/>
      <c r="R186" s="445">
        <f t="shared" si="162"/>
        <v>0</v>
      </c>
      <c r="S186" s="542"/>
      <c r="T186" s="445">
        <f t="shared" si="163"/>
        <v>0</v>
      </c>
      <c r="V186" s="581"/>
      <c r="W186" s="582">
        <f t="shared" si="164"/>
        <v>0</v>
      </c>
      <c r="X186" s="581"/>
      <c r="Y186" s="582">
        <f t="shared" si="165"/>
        <v>0</v>
      </c>
      <c r="Z186" s="581"/>
      <c r="AA186" s="582">
        <f t="shared" si="166"/>
        <v>0</v>
      </c>
      <c r="AB186" s="581"/>
      <c r="AC186" s="582">
        <f t="shared" si="167"/>
        <v>0</v>
      </c>
      <c r="AE186" s="769">
        <f t="shared" si="124"/>
        <v>0</v>
      </c>
    </row>
    <row r="187" spans="1:31" ht="15.75" hidden="1" customHeight="1" x14ac:dyDescent="0.2">
      <c r="A187" s="627" t="s">
        <v>879</v>
      </c>
      <c r="B187" s="610" t="s">
        <v>880</v>
      </c>
      <c r="C187" s="627" t="s">
        <v>130</v>
      </c>
      <c r="D187" s="576">
        <f t="shared" si="156"/>
        <v>0</v>
      </c>
      <c r="E187" s="577" t="e">
        <f t="shared" si="144"/>
        <v>#REF!</v>
      </c>
      <c r="F187" s="577" t="e">
        <f t="shared" si="157"/>
        <v>#REF!</v>
      </c>
      <c r="G187" s="914"/>
      <c r="I187" s="597"/>
      <c r="J187" s="598" t="e">
        <f t="shared" si="158"/>
        <v>#REF!</v>
      </c>
      <c r="K187" s="537"/>
      <c r="L187" s="445" t="e">
        <f t="shared" si="159"/>
        <v>#REF!</v>
      </c>
      <c r="M187" s="542"/>
      <c r="N187" s="445" t="e">
        <f t="shared" si="160"/>
        <v>#REF!</v>
      </c>
      <c r="O187" s="542"/>
      <c r="P187" s="445" t="e">
        <f t="shared" si="161"/>
        <v>#REF!</v>
      </c>
      <c r="Q187" s="542"/>
      <c r="R187" s="445" t="e">
        <f t="shared" si="162"/>
        <v>#REF!</v>
      </c>
      <c r="S187" s="542"/>
      <c r="T187" s="445" t="e">
        <f t="shared" si="163"/>
        <v>#REF!</v>
      </c>
      <c r="V187" s="581" t="e">
        <f>+'5,2,6 Muro en bloque No 4'!I19</f>
        <v>#REF!</v>
      </c>
      <c r="W187" s="582" t="e">
        <f t="shared" si="164"/>
        <v>#REF!</v>
      </c>
      <c r="X187" s="581">
        <f>+'5,2,6 Muro en bloque No 4'!I50</f>
        <v>10974.97</v>
      </c>
      <c r="Y187" s="582">
        <f t="shared" si="165"/>
        <v>0</v>
      </c>
      <c r="Z187" s="581">
        <f>+'5,2,6 Muro en bloque No 4'!I30</f>
        <v>103.88</v>
      </c>
      <c r="AA187" s="582">
        <f t="shared" si="166"/>
        <v>0</v>
      </c>
      <c r="AB187" s="581">
        <f>+'5,2,6 Muro en bloque No 4'!I41</f>
        <v>0</v>
      </c>
      <c r="AC187" s="582">
        <f t="shared" si="167"/>
        <v>0</v>
      </c>
      <c r="AE187" s="769" t="e">
        <f t="shared" si="124"/>
        <v>#REF!</v>
      </c>
    </row>
    <row r="188" spans="1:31" s="642" customFormat="1" ht="18" hidden="1" customHeight="1" x14ac:dyDescent="0.2">
      <c r="A188" s="622" t="s">
        <v>881</v>
      </c>
      <c r="B188" s="623" t="s">
        <v>882</v>
      </c>
      <c r="C188" s="846"/>
      <c r="D188" s="576"/>
      <c r="E188" s="641"/>
      <c r="F188" s="532" t="e">
        <f>+ROUND(SUM(F189:F193),10)</f>
        <v>#REF!</v>
      </c>
      <c r="G188" s="472"/>
      <c r="I188" s="599"/>
      <c r="J188" s="520" t="e">
        <f>ROUND(SUM(J189:J193),10)</f>
        <v>#REF!</v>
      </c>
      <c r="K188" s="538"/>
      <c r="L188" s="473" t="e">
        <f>ROUND(SUM(L189:L193),10)</f>
        <v>#REF!</v>
      </c>
      <c r="M188" s="543"/>
      <c r="N188" s="473" t="e">
        <f>ROUND(SUM(N189:N193),10)</f>
        <v>#REF!</v>
      </c>
      <c r="O188" s="543"/>
      <c r="P188" s="473" t="e">
        <f>ROUND(SUM(P189:P193),10)</f>
        <v>#REF!</v>
      </c>
      <c r="Q188" s="543"/>
      <c r="R188" s="473" t="e">
        <f>ROUND(SUM(R189:R193),10)</f>
        <v>#REF!</v>
      </c>
      <c r="S188" s="543"/>
      <c r="T188" s="473" t="e">
        <f>ROUND(SUM(T189:T193),10)</f>
        <v>#REF!</v>
      </c>
      <c r="V188" s="643"/>
      <c r="W188" s="643" t="e">
        <f>ROUND(SUM(W189:W193),10)</f>
        <v>#REF!</v>
      </c>
      <c r="X188" s="643"/>
      <c r="Y188" s="643">
        <f>ROUND(SUM(Y189:Y193),10)</f>
        <v>0</v>
      </c>
      <c r="Z188" s="643"/>
      <c r="AA188" s="643">
        <f>ROUND(SUM(AA189:AA193),10)</f>
        <v>0</v>
      </c>
      <c r="AB188" s="643"/>
      <c r="AC188" s="643">
        <f>ROUND(SUM(AC189:AC193),10)</f>
        <v>0</v>
      </c>
      <c r="AE188" s="769" t="e">
        <f t="shared" si="124"/>
        <v>#REF!</v>
      </c>
    </row>
    <row r="189" spans="1:31" ht="15" hidden="1" customHeight="1" x14ac:dyDescent="0.2">
      <c r="A189" s="611" t="s">
        <v>883</v>
      </c>
      <c r="B189" s="601" t="s">
        <v>884</v>
      </c>
      <c r="C189" s="611" t="s">
        <v>130</v>
      </c>
      <c r="D189" s="576">
        <f>+I189+K189+M189+O189+Q189+S189</f>
        <v>0</v>
      </c>
      <c r="E189" s="577" t="e">
        <f t="shared" si="144"/>
        <v>#REF!</v>
      </c>
      <c r="F189" s="577" t="e">
        <f>ROUND(D189*E189,10)</f>
        <v>#REF!</v>
      </c>
      <c r="G189" s="914"/>
      <c r="I189" s="594"/>
      <c r="J189" s="580" t="e">
        <f>+ROUND(E189*I189,10)</f>
        <v>#REF!</v>
      </c>
      <c r="K189" s="537"/>
      <c r="L189" s="445" t="e">
        <f>+ROUND(E189*K189,10)</f>
        <v>#REF!</v>
      </c>
      <c r="M189" s="542"/>
      <c r="N189" s="445" t="e">
        <f>+ROUND(E189*M189,10)</f>
        <v>#REF!</v>
      </c>
      <c r="O189" s="542"/>
      <c r="P189" s="445" t="e">
        <f>+ROUND(E189*O189,10)</f>
        <v>#REF!</v>
      </c>
      <c r="Q189" s="542"/>
      <c r="R189" s="445" t="e">
        <f>+ROUND(E189*Q189,10)</f>
        <v>#REF!</v>
      </c>
      <c r="S189" s="542"/>
      <c r="T189" s="445" t="e">
        <f>+ROUND(E189*S189,10)</f>
        <v>#REF!</v>
      </c>
      <c r="V189" s="581" t="e">
        <f>+'5,3,1 Enchape ladrillo arcilla'!I19</f>
        <v>#REF!</v>
      </c>
      <c r="W189" s="582" t="e">
        <f>ROUND(V189*$D189,10)</f>
        <v>#REF!</v>
      </c>
      <c r="X189" s="581">
        <f>+'5,3,1 Enchape ladrillo arcilla'!I50</f>
        <v>27437.42</v>
      </c>
      <c r="Y189" s="582">
        <f>ROUND(X189*$D189,10)</f>
        <v>0</v>
      </c>
      <c r="Z189" s="581">
        <f>+'5,3,1 Enchape ladrillo arcilla'!I30</f>
        <v>242.03</v>
      </c>
      <c r="AA189" s="582">
        <f>ROUND(Z189*$D189,10)</f>
        <v>0</v>
      </c>
      <c r="AB189" s="581">
        <f>+'5,3,1 Enchape ladrillo arcilla'!I41</f>
        <v>0</v>
      </c>
      <c r="AC189" s="582">
        <f>ROUND(AB189*$D189,10)</f>
        <v>0</v>
      </c>
      <c r="AE189" s="769" t="e">
        <f t="shared" si="124"/>
        <v>#REF!</v>
      </c>
    </row>
    <row r="190" spans="1:31" ht="15" hidden="1" customHeight="1" x14ac:dyDescent="0.2">
      <c r="A190" s="611" t="s">
        <v>885</v>
      </c>
      <c r="B190" s="601" t="s">
        <v>886</v>
      </c>
      <c r="C190" s="611" t="s">
        <v>130</v>
      </c>
      <c r="D190" s="576">
        <f>+I190+K190+M190+O190+Q190+S190</f>
        <v>0</v>
      </c>
      <c r="E190" s="641">
        <f t="shared" si="144"/>
        <v>0</v>
      </c>
      <c r="F190" s="577">
        <f>ROUND(D190*E190,10)</f>
        <v>0</v>
      </c>
      <c r="G190" s="914"/>
      <c r="I190" s="584"/>
      <c r="J190" s="585">
        <f>+ROUND(E190*I190,10)</f>
        <v>0</v>
      </c>
      <c r="K190" s="537"/>
      <c r="L190" s="445">
        <f>+ROUND(E190*K190,10)</f>
        <v>0</v>
      </c>
      <c r="M190" s="542"/>
      <c r="N190" s="445">
        <f>+ROUND(E190*M190,10)</f>
        <v>0</v>
      </c>
      <c r="O190" s="542"/>
      <c r="P190" s="445">
        <f>+ROUND(E190*O190,10)</f>
        <v>0</v>
      </c>
      <c r="Q190" s="542"/>
      <c r="R190" s="445">
        <f>+ROUND(E190*Q190,10)</f>
        <v>0</v>
      </c>
      <c r="S190" s="542"/>
      <c r="T190" s="445">
        <f>+ROUND(E190*S190,10)</f>
        <v>0</v>
      </c>
      <c r="V190" s="581"/>
      <c r="W190" s="582">
        <f>ROUND(V190*$D190,10)</f>
        <v>0</v>
      </c>
      <c r="X190" s="581"/>
      <c r="Y190" s="582">
        <f>ROUND(X190*$D190,10)</f>
        <v>0</v>
      </c>
      <c r="Z190" s="581"/>
      <c r="AA190" s="582">
        <f>ROUND(Z190*$D190,10)</f>
        <v>0</v>
      </c>
      <c r="AB190" s="581"/>
      <c r="AC190" s="582">
        <f>ROUND(AB190*$D190,10)</f>
        <v>0</v>
      </c>
      <c r="AE190" s="769">
        <f t="shared" si="124"/>
        <v>0</v>
      </c>
    </row>
    <row r="191" spans="1:31" ht="15" hidden="1" customHeight="1" x14ac:dyDescent="0.2">
      <c r="A191" s="611" t="s">
        <v>887</v>
      </c>
      <c r="B191" s="601" t="s">
        <v>888</v>
      </c>
      <c r="C191" s="611" t="s">
        <v>114</v>
      </c>
      <c r="D191" s="576">
        <f>+I191+K191+M191+O191+Q191+S191</f>
        <v>0</v>
      </c>
      <c r="E191" s="577" t="e">
        <f t="shared" si="144"/>
        <v>#REF!</v>
      </c>
      <c r="F191" s="577" t="e">
        <f>ROUND(D191*E191,10)</f>
        <v>#REF!</v>
      </c>
      <c r="G191" s="914"/>
      <c r="I191" s="584"/>
      <c r="J191" s="585" t="e">
        <f>+ROUND(E191*I191,10)</f>
        <v>#REF!</v>
      </c>
      <c r="K191" s="537"/>
      <c r="L191" s="445" t="e">
        <f>+ROUND(E191*K191,10)</f>
        <v>#REF!</v>
      </c>
      <c r="M191" s="542"/>
      <c r="N191" s="445" t="e">
        <f>+ROUND(E191*M191,10)</f>
        <v>#REF!</v>
      </c>
      <c r="O191" s="542"/>
      <c r="P191" s="445" t="e">
        <f>+ROUND(E191*O191,10)</f>
        <v>#REF!</v>
      </c>
      <c r="Q191" s="542"/>
      <c r="R191" s="445" t="e">
        <f>+ROUND(E191*Q191,10)</f>
        <v>#REF!</v>
      </c>
      <c r="S191" s="542"/>
      <c r="T191" s="445" t="e">
        <f>+ROUND(E191*S191,10)</f>
        <v>#REF!</v>
      </c>
      <c r="V191" s="581" t="e">
        <f>+'5,3,3 Alfagias ladrillo arcilla'!I19</f>
        <v>#REF!</v>
      </c>
      <c r="W191" s="582" t="e">
        <f>ROUND(V191*$D191,10)</f>
        <v>#REF!</v>
      </c>
      <c r="X191" s="581">
        <f>+'5,3,3 Alfagias ladrillo arcilla'!I50</f>
        <v>10974.97</v>
      </c>
      <c r="Y191" s="582">
        <f>ROUND(X191*$D191,10)</f>
        <v>0</v>
      </c>
      <c r="Z191" s="581">
        <f>+'5,3,3 Alfagias ladrillo arcilla'!I30</f>
        <v>120.13000000000001</v>
      </c>
      <c r="AA191" s="582">
        <f>ROUND(Z191*$D191,10)</f>
        <v>0</v>
      </c>
      <c r="AB191" s="581">
        <f>+'5,3,3 Alfagias ladrillo arcilla'!I41</f>
        <v>0</v>
      </c>
      <c r="AC191" s="582">
        <f>ROUND(AB191*$D191,10)</f>
        <v>0</v>
      </c>
      <c r="AE191" s="769" t="e">
        <f t="shared" si="124"/>
        <v>#REF!</v>
      </c>
    </row>
    <row r="192" spans="1:31" ht="15" hidden="1" customHeight="1" x14ac:dyDescent="0.2">
      <c r="A192" s="611" t="s">
        <v>889</v>
      </c>
      <c r="B192" s="601" t="s">
        <v>890</v>
      </c>
      <c r="C192" s="611" t="s">
        <v>114</v>
      </c>
      <c r="D192" s="576">
        <f>+I192+K192+M192+O192+Q192+S192</f>
        <v>0</v>
      </c>
      <c r="E192" s="577" t="e">
        <f t="shared" si="144"/>
        <v>#REF!</v>
      </c>
      <c r="F192" s="577" t="e">
        <f>ROUND(D192*E192,10)</f>
        <v>#REF!</v>
      </c>
      <c r="G192" s="914"/>
      <c r="I192" s="584"/>
      <c r="J192" s="585" t="e">
        <f>+ROUND(E192*I192,10)</f>
        <v>#REF!</v>
      </c>
      <c r="K192" s="537"/>
      <c r="L192" s="445" t="e">
        <f>+ROUND(E192*K192,10)</f>
        <v>#REF!</v>
      </c>
      <c r="M192" s="542"/>
      <c r="N192" s="445" t="e">
        <f>+ROUND(E192*M192,10)</f>
        <v>#REF!</v>
      </c>
      <c r="O192" s="542"/>
      <c r="P192" s="445" t="e">
        <f>+ROUND(E192*O192,10)</f>
        <v>#REF!</v>
      </c>
      <c r="Q192" s="542"/>
      <c r="R192" s="445" t="e">
        <f>+ROUND(E192*Q192,10)</f>
        <v>#REF!</v>
      </c>
      <c r="S192" s="542"/>
      <c r="T192" s="445" t="e">
        <f>+ROUND(E192*S192,10)</f>
        <v>#REF!</v>
      </c>
      <c r="V192" s="581" t="e">
        <f>+'5,3,4 Remate ladrillo arcilla'!I19</f>
        <v>#REF!</v>
      </c>
      <c r="W192" s="582" t="e">
        <f>ROUND(V192*$D192,10)</f>
        <v>#REF!</v>
      </c>
      <c r="X192" s="581">
        <f>+'5,3,4 Remate ladrillo arcilla'!I50</f>
        <v>16462.45</v>
      </c>
      <c r="Y192" s="582">
        <f>ROUND(X192*$D192,10)</f>
        <v>0</v>
      </c>
      <c r="Z192" s="581">
        <f>+'5,3,4 Remate ladrillo arcilla'!I30</f>
        <v>242.03</v>
      </c>
      <c r="AA192" s="582">
        <f>ROUND(Z192*$D192,10)</f>
        <v>0</v>
      </c>
      <c r="AB192" s="581">
        <f>+'5,3,4 Remate ladrillo arcilla'!I41</f>
        <v>0</v>
      </c>
      <c r="AC192" s="582">
        <f>ROUND(AB192*$D192,10)</f>
        <v>0</v>
      </c>
      <c r="AE192" s="769" t="e">
        <f t="shared" si="124"/>
        <v>#REF!</v>
      </c>
    </row>
    <row r="193" spans="1:31" ht="15.75" hidden="1" customHeight="1" x14ac:dyDescent="0.2">
      <c r="A193" s="611" t="s">
        <v>891</v>
      </c>
      <c r="B193" s="601" t="s">
        <v>892</v>
      </c>
      <c r="C193" s="611" t="s">
        <v>114</v>
      </c>
      <c r="D193" s="576">
        <f>+I193+K193+M193+O193+Q193+S193</f>
        <v>0</v>
      </c>
      <c r="E193" s="577">
        <f t="shared" si="144"/>
        <v>0</v>
      </c>
      <c r="F193" s="577">
        <f>ROUND(D193*E193,10)</f>
        <v>0</v>
      </c>
      <c r="G193" s="914"/>
      <c r="I193" s="597"/>
      <c r="J193" s="598">
        <f>+ROUND(E193*I193,10)</f>
        <v>0</v>
      </c>
      <c r="K193" s="537"/>
      <c r="L193" s="445">
        <f>+ROUND(E193*K193,10)</f>
        <v>0</v>
      </c>
      <c r="M193" s="542"/>
      <c r="N193" s="445">
        <f>+ROUND(E193*M193,10)</f>
        <v>0</v>
      </c>
      <c r="O193" s="542"/>
      <c r="P193" s="445">
        <f>+ROUND(E193*O193,10)</f>
        <v>0</v>
      </c>
      <c r="Q193" s="542"/>
      <c r="R193" s="445">
        <f>+ROUND(E193*Q193,10)</f>
        <v>0</v>
      </c>
      <c r="S193" s="542"/>
      <c r="T193" s="445">
        <f>+ROUND(E193*S193,10)</f>
        <v>0</v>
      </c>
      <c r="V193" s="581"/>
      <c r="W193" s="582">
        <f>ROUND(V193*$D193,10)</f>
        <v>0</v>
      </c>
      <c r="X193" s="581"/>
      <c r="Y193" s="582">
        <f>ROUND(X193*$D193,10)</f>
        <v>0</v>
      </c>
      <c r="Z193" s="581"/>
      <c r="AA193" s="582">
        <f>ROUND(Z193*$D193,10)</f>
        <v>0</v>
      </c>
      <c r="AB193" s="581"/>
      <c r="AC193" s="582">
        <f>ROUND(AB193*$D193,10)</f>
        <v>0</v>
      </c>
      <c r="AE193" s="769">
        <f t="shared" si="124"/>
        <v>0</v>
      </c>
    </row>
    <row r="194" spans="1:31" s="568" customFormat="1" ht="30" customHeight="1" x14ac:dyDescent="0.2">
      <c r="A194" s="572" t="s">
        <v>893</v>
      </c>
      <c r="B194" s="573" t="s">
        <v>894</v>
      </c>
      <c r="C194" s="846"/>
      <c r="D194" s="576"/>
      <c r="E194" s="577"/>
      <c r="F194" s="180" t="e">
        <f>+ROUND(SUM(F195:F196),10)</f>
        <v>#REF!</v>
      </c>
      <c r="G194" s="472"/>
      <c r="I194" s="613"/>
      <c r="J194" s="440" t="e">
        <f>ROUND(SUM(J195:J196),10)</f>
        <v>#REF!</v>
      </c>
      <c r="K194" s="537"/>
      <c r="L194" s="180" t="e">
        <f>ROUND(SUM(L195:L196),10)</f>
        <v>#REF!</v>
      </c>
      <c r="M194" s="542"/>
      <c r="N194" s="180" t="e">
        <f>ROUND(SUM(N195:N196),10)</f>
        <v>#REF!</v>
      </c>
      <c r="O194" s="542"/>
      <c r="P194" s="180" t="e">
        <f>ROUND(SUM(P195:P196),10)</f>
        <v>#REF!</v>
      </c>
      <c r="Q194" s="542"/>
      <c r="R194" s="180" t="e">
        <f>ROUND(SUM(R195:R196),10)</f>
        <v>#REF!</v>
      </c>
      <c r="S194" s="542"/>
      <c r="T194" s="180" t="e">
        <f>ROUND(SUM(T195:T196),10)</f>
        <v>#REF!</v>
      </c>
      <c r="V194" s="575"/>
      <c r="W194" s="570" t="e">
        <f>ROUND(SUM(W195:W196),10)</f>
        <v>#REF!</v>
      </c>
      <c r="X194" s="575"/>
      <c r="Y194" s="570">
        <f>ROUND(SUM(Y195:Y196),10)</f>
        <v>542832.85109999997</v>
      </c>
      <c r="Z194" s="575"/>
      <c r="AA194" s="570">
        <f>ROUND(SUM(AA195:AA196),10)</f>
        <v>392225.06900000002</v>
      </c>
      <c r="AB194" s="575"/>
      <c r="AC194" s="570">
        <f>ROUND(SUM(AC195:AC196),10)</f>
        <v>0</v>
      </c>
      <c r="AE194" s="769" t="e">
        <f t="shared" si="124"/>
        <v>#REF!</v>
      </c>
    </row>
    <row r="195" spans="1:31" ht="15" customHeight="1" x14ac:dyDescent="0.2">
      <c r="A195" s="611" t="s">
        <v>895</v>
      </c>
      <c r="B195" s="610" t="s">
        <v>896</v>
      </c>
      <c r="C195" s="611" t="s">
        <v>155</v>
      </c>
      <c r="D195" s="576">
        <f>+I195+K195+M195+O195+Q195+S195</f>
        <v>2.4799999999999995</v>
      </c>
      <c r="E195" s="577" t="e">
        <f t="shared" si="144"/>
        <v>#REF!</v>
      </c>
      <c r="F195" s="577" t="e">
        <f>ROUND(D195*E195,10)</f>
        <v>#REF!</v>
      </c>
      <c r="G195" s="914"/>
      <c r="I195" s="594"/>
      <c r="J195" s="580" t="e">
        <f>+ROUND(E195*I195,10)</f>
        <v>#REF!</v>
      </c>
      <c r="K195" s="537">
        <f>0.74+0.47</f>
        <v>1.21</v>
      </c>
      <c r="L195" s="445" t="e">
        <f>+ROUND(E195*K195,10)</f>
        <v>#REF!</v>
      </c>
      <c r="M195" s="542">
        <v>0.36</v>
      </c>
      <c r="N195" s="445" t="e">
        <f>+ROUND(E195*M195,10)</f>
        <v>#REF!</v>
      </c>
      <c r="O195" s="542">
        <f>0.35+0.31</f>
        <v>0.65999999999999992</v>
      </c>
      <c r="P195" s="445" t="e">
        <f>+ROUND(E195*O195,10)</f>
        <v>#REF!</v>
      </c>
      <c r="Q195" s="537">
        <v>0.08</v>
      </c>
      <c r="R195" s="445" t="e">
        <f>+ROUND(E195*Q195,10)</f>
        <v>#REF!</v>
      </c>
      <c r="S195" s="537">
        <v>0.17</v>
      </c>
      <c r="T195" s="445" t="e">
        <f>+ROUND(E195*S195,10)</f>
        <v>#REF!</v>
      </c>
      <c r="V195" s="581" t="e">
        <f>+'5,4,1 Grouting-Concreto fluido'!I19</f>
        <v>#REF!</v>
      </c>
      <c r="W195" s="582" t="e">
        <f>ROUND(V195*$D195,10)</f>
        <v>#REF!</v>
      </c>
      <c r="X195" s="581">
        <f>+'5,4,1 Grouting-Concreto fluido'!I50</f>
        <v>65849.81</v>
      </c>
      <c r="Y195" s="582">
        <f>ROUND(X195*$D195,10)</f>
        <v>163307.5288</v>
      </c>
      <c r="Z195" s="581">
        <f>+'5,4,1 Grouting-Concreto fluido'!I30</f>
        <v>742</v>
      </c>
      <c r="AA195" s="582">
        <f>ROUND(Z195*$D195,10)</f>
        <v>1840.16</v>
      </c>
      <c r="AB195" s="581">
        <f>+'5,4,1 Grouting-Concreto fluido'!I41</f>
        <v>0</v>
      </c>
      <c r="AC195" s="582">
        <f>ROUND(AB195*$D195,10)</f>
        <v>0</v>
      </c>
      <c r="AE195" s="769" t="e">
        <f t="shared" si="124"/>
        <v>#REF!</v>
      </c>
    </row>
    <row r="196" spans="1:31" ht="15.75" customHeight="1" x14ac:dyDescent="0.2">
      <c r="A196" s="611" t="s">
        <v>897</v>
      </c>
      <c r="B196" s="601" t="s">
        <v>898</v>
      </c>
      <c r="C196" s="611" t="s">
        <v>114</v>
      </c>
      <c r="D196" s="576">
        <f>+I196+K196+M196+O196+Q196+S196</f>
        <v>115.27</v>
      </c>
      <c r="E196" s="577" t="e">
        <f t="shared" si="144"/>
        <v>#REF!</v>
      </c>
      <c r="F196" s="577" t="e">
        <f>ROUND(D196*E196,10)</f>
        <v>#REF!</v>
      </c>
      <c r="G196" s="914"/>
      <c r="I196" s="597"/>
      <c r="J196" s="598" t="e">
        <f>+ROUND(E196*I196,10)</f>
        <v>#REF!</v>
      </c>
      <c r="K196" s="537">
        <v>50.4</v>
      </c>
      <c r="L196" s="445" t="e">
        <f>+ROUND(E196*K196,10)</f>
        <v>#REF!</v>
      </c>
      <c r="M196" s="542">
        <v>3.3</v>
      </c>
      <c r="N196" s="445" t="e">
        <f>+ROUND(E196*M196,10)</f>
        <v>#REF!</v>
      </c>
      <c r="O196" s="542">
        <v>6.6</v>
      </c>
      <c r="P196" s="445" t="e">
        <f>+ROUND(E196*O196,10)</f>
        <v>#REF!</v>
      </c>
      <c r="Q196" s="537">
        <v>54.97</v>
      </c>
      <c r="R196" s="445" t="e">
        <f>+ROUND(E196*Q196,10)</f>
        <v>#REF!</v>
      </c>
      <c r="S196" s="537"/>
      <c r="T196" s="445" t="e">
        <f>+ROUND(E196*S196,10)</f>
        <v>#REF!</v>
      </c>
      <c r="V196" s="581" t="e">
        <f>+'5,4,2 Remates'!I19</f>
        <v>#REF!</v>
      </c>
      <c r="W196" s="582" t="e">
        <f>ROUND(V196*$D196,10)</f>
        <v>#REF!</v>
      </c>
      <c r="X196" s="581">
        <f>+'5,4,2 Remates'!I50</f>
        <v>3292.49</v>
      </c>
      <c r="Y196" s="582">
        <f>ROUND(X196*$D196,10)</f>
        <v>379525.3223</v>
      </c>
      <c r="Z196" s="581">
        <f>+'5,4,2 Remates'!I30</f>
        <v>3386.7</v>
      </c>
      <c r="AA196" s="582">
        <f>ROUND(Z196*$D196,10)</f>
        <v>390384.90899999999</v>
      </c>
      <c r="AB196" s="581">
        <f>+'5,4,2 Remates'!I41</f>
        <v>0</v>
      </c>
      <c r="AC196" s="582">
        <f>ROUND(AB196*$D196,10)</f>
        <v>0</v>
      </c>
      <c r="AE196" s="769" t="e">
        <f t="shared" si="124"/>
        <v>#REF!</v>
      </c>
    </row>
    <row r="197" spans="1:31" s="568" customFormat="1" ht="18" customHeight="1" x14ac:dyDescent="0.2">
      <c r="A197" s="572" t="s">
        <v>899</v>
      </c>
      <c r="B197" s="573" t="s">
        <v>900</v>
      </c>
      <c r="C197" s="846"/>
      <c r="D197" s="576"/>
      <c r="E197" s="577"/>
      <c r="F197" s="180" t="e">
        <f>+ROUND(SUM(F198:F201),10)</f>
        <v>#REF!</v>
      </c>
      <c r="G197" s="472"/>
      <c r="I197" s="613"/>
      <c r="J197" s="440" t="e">
        <f>ROUND(SUM(J198:J201),10)</f>
        <v>#REF!</v>
      </c>
      <c r="K197" s="537"/>
      <c r="L197" s="180" t="e">
        <f>ROUND(SUM(L198:L201),10)</f>
        <v>#REF!</v>
      </c>
      <c r="M197" s="542"/>
      <c r="N197" s="180" t="e">
        <f>ROUND(SUM(N198:N201),10)</f>
        <v>#REF!</v>
      </c>
      <c r="O197" s="542"/>
      <c r="P197" s="180" t="e">
        <f>ROUND(SUM(P198:P201),10)</f>
        <v>#REF!</v>
      </c>
      <c r="Q197" s="542"/>
      <c r="R197" s="180" t="e">
        <f>ROUND(SUM(R198:R201),10)</f>
        <v>#REF!</v>
      </c>
      <c r="S197" s="542"/>
      <c r="T197" s="180" t="e">
        <f>ROUND(SUM(T198:T201),10)</f>
        <v>#REF!</v>
      </c>
      <c r="V197" s="575"/>
      <c r="W197" s="570" t="e">
        <f>ROUND(SUM(W198:W201),10)</f>
        <v>#REF!</v>
      </c>
      <c r="X197" s="575"/>
      <c r="Y197" s="570" t="e">
        <f>ROUND(SUM(Y198:Y201),10)</f>
        <v>#REF!</v>
      </c>
      <c r="Z197" s="575"/>
      <c r="AA197" s="570" t="e">
        <f>ROUND(SUM(AA198:AA201),10)</f>
        <v>#REF!</v>
      </c>
      <c r="AB197" s="575"/>
      <c r="AC197" s="570" t="e">
        <f>ROUND(SUM(AC198:AC201),10)</f>
        <v>#REF!</v>
      </c>
      <c r="AE197" s="769" t="e">
        <f t="shared" si="124"/>
        <v>#REF!</v>
      </c>
    </row>
    <row r="198" spans="1:31" ht="15" customHeight="1" x14ac:dyDescent="0.2">
      <c r="A198" s="611" t="s">
        <v>901</v>
      </c>
      <c r="B198" s="649" t="s">
        <v>902</v>
      </c>
      <c r="C198" s="611" t="s">
        <v>111</v>
      </c>
      <c r="D198" s="576">
        <f>+I198+K198+M198+O198+Q198+S198</f>
        <v>171</v>
      </c>
      <c r="E198" s="577" t="e">
        <f t="shared" si="144"/>
        <v>#REF!</v>
      </c>
      <c r="F198" s="577" t="e">
        <f>ROUND(D198*E198,10)</f>
        <v>#REF!</v>
      </c>
      <c r="G198" s="914"/>
      <c r="I198" s="594"/>
      <c r="J198" s="580" t="e">
        <f>+ROUND(E198*I198,10)</f>
        <v>#REF!</v>
      </c>
      <c r="K198" s="537">
        <v>66</v>
      </c>
      <c r="L198" s="445" t="e">
        <f>+ROUND(E198*K198,10)</f>
        <v>#REF!</v>
      </c>
      <c r="M198" s="542">
        <v>21</v>
      </c>
      <c r="N198" s="445" t="e">
        <f>+ROUND(E198*M198,10)</f>
        <v>#REF!</v>
      </c>
      <c r="O198" s="542">
        <v>36</v>
      </c>
      <c r="P198" s="445" t="e">
        <f>+ROUND(E198*O198,10)</f>
        <v>#REF!</v>
      </c>
      <c r="Q198" s="537">
        <v>20</v>
      </c>
      <c r="R198" s="445" t="e">
        <f>+ROUND(E198*Q198,10)</f>
        <v>#REF!</v>
      </c>
      <c r="S198" s="537">
        <v>28</v>
      </c>
      <c r="T198" s="445" t="e">
        <f>+ROUND(E198*S198,10)</f>
        <v>#REF!</v>
      </c>
      <c r="V198" s="581" t="e">
        <f>+#REF!</f>
        <v>#REF!</v>
      </c>
      <c r="W198" s="582" t="e">
        <f>ROUND(V198*$D198,10)</f>
        <v>#REF!</v>
      </c>
      <c r="X198" s="581" t="e">
        <f>+#REF!</f>
        <v>#REF!</v>
      </c>
      <c r="Y198" s="582" t="e">
        <f>ROUND(X198*$D198,10)</f>
        <v>#REF!</v>
      </c>
      <c r="Z198" s="581" t="e">
        <f>+#REF!</f>
        <v>#REF!</v>
      </c>
      <c r="AA198" s="582" t="e">
        <f>ROUND(Z198*$D198,10)</f>
        <v>#REF!</v>
      </c>
      <c r="AB198" s="581" t="e">
        <f>+#REF!</f>
        <v>#REF!</v>
      </c>
      <c r="AC198" s="582" t="e">
        <f>ROUND(AB198*$D198,10)</f>
        <v>#REF!</v>
      </c>
      <c r="AE198" s="769" t="e">
        <f t="shared" si="124"/>
        <v>#REF!</v>
      </c>
    </row>
    <row r="199" spans="1:31" ht="15" customHeight="1" x14ac:dyDescent="0.2">
      <c r="A199" s="611" t="s">
        <v>903</v>
      </c>
      <c r="B199" s="610" t="s">
        <v>904</v>
      </c>
      <c r="C199" s="611" t="s">
        <v>119</v>
      </c>
      <c r="D199" s="576">
        <f>+I199+K199+M199+O199+Q199+S199</f>
        <v>216.68</v>
      </c>
      <c r="E199" s="577" t="e">
        <f t="shared" si="144"/>
        <v>#REF!</v>
      </c>
      <c r="F199" s="577" t="e">
        <f>ROUND(D199*E199,10)</f>
        <v>#REF!</v>
      </c>
      <c r="G199" s="914"/>
      <c r="I199" s="584"/>
      <c r="J199" s="585" t="e">
        <f>+ROUND(E199*I199,10)</f>
        <v>#REF!</v>
      </c>
      <c r="K199" s="537">
        <f>64.9+41.55</f>
        <v>106.45</v>
      </c>
      <c r="L199" s="445" t="e">
        <f>+ROUND(E199*K199,10)</f>
        <v>#REF!</v>
      </c>
      <c r="M199" s="542">
        <v>31.16</v>
      </c>
      <c r="N199" s="445" t="e">
        <f>+ROUND(E199*M199,10)</f>
        <v>#REF!</v>
      </c>
      <c r="O199" s="542">
        <f>30.74+26.71</f>
        <v>57.45</v>
      </c>
      <c r="P199" s="445" t="e">
        <f>+ROUND(E199*O199,10)</f>
        <v>#REF!</v>
      </c>
      <c r="Q199" s="537">
        <v>6.72</v>
      </c>
      <c r="R199" s="445" t="e">
        <f>+ROUND(E199*Q199,10)</f>
        <v>#REF!</v>
      </c>
      <c r="S199" s="537">
        <v>14.9</v>
      </c>
      <c r="T199" s="445" t="e">
        <f>+ROUND(E199*S199,10)</f>
        <v>#REF!</v>
      </c>
      <c r="V199" s="581" t="e">
        <f>+#REF!</f>
        <v>#REF!</v>
      </c>
      <c r="W199" s="582" t="e">
        <f>ROUND(V199*$D199,10)</f>
        <v>#REF!</v>
      </c>
      <c r="X199" s="581" t="e">
        <f>+#REF!</f>
        <v>#REF!</v>
      </c>
      <c r="Y199" s="582" t="e">
        <f>ROUND(X199*$D199,10)</f>
        <v>#REF!</v>
      </c>
      <c r="Z199" s="581" t="e">
        <f>+#REF!</f>
        <v>#REF!</v>
      </c>
      <c r="AA199" s="582" t="e">
        <f>ROUND(Z199*$D199,10)</f>
        <v>#REF!</v>
      </c>
      <c r="AB199" s="581" t="e">
        <f>+#REF!</f>
        <v>#REF!</v>
      </c>
      <c r="AC199" s="582" t="e">
        <f>ROUND(AB199*$D199,10)</f>
        <v>#REF!</v>
      </c>
      <c r="AE199" s="769" t="e">
        <f t="shared" si="124"/>
        <v>#REF!</v>
      </c>
    </row>
    <row r="200" spans="1:31" ht="15" hidden="1" customHeight="1" x14ac:dyDescent="0.2">
      <c r="A200" s="611" t="s">
        <v>905</v>
      </c>
      <c r="B200" s="601" t="s">
        <v>678</v>
      </c>
      <c r="C200" s="611" t="s">
        <v>119</v>
      </c>
      <c r="D200" s="576">
        <f>+I200+K200+M200+O200+Q200+S200</f>
        <v>0</v>
      </c>
      <c r="E200" s="577" t="e">
        <f t="shared" si="144"/>
        <v>#REF!</v>
      </c>
      <c r="F200" s="577" t="e">
        <f>ROUND(D200*E200,10)</f>
        <v>#REF!</v>
      </c>
      <c r="G200" s="914"/>
      <c r="I200" s="584"/>
      <c r="J200" s="585" t="e">
        <f>+ROUND(E200*I200,10)</f>
        <v>#REF!</v>
      </c>
      <c r="K200" s="537"/>
      <c r="L200" s="445" t="e">
        <f>+ROUND(E200*K200,10)</f>
        <v>#REF!</v>
      </c>
      <c r="M200" s="542"/>
      <c r="N200" s="445" t="e">
        <f>+ROUND(E200*M200,10)</f>
        <v>#REF!</v>
      </c>
      <c r="O200" s="542"/>
      <c r="P200" s="445" t="e">
        <f>+ROUND(E200*O200,10)</f>
        <v>#REF!</v>
      </c>
      <c r="Q200" s="542"/>
      <c r="R200" s="445" t="e">
        <f>+ROUND(E200*Q200,10)</f>
        <v>#REF!</v>
      </c>
      <c r="S200" s="542"/>
      <c r="T200" s="445" t="e">
        <f>+ROUND(E200*S200,10)</f>
        <v>#REF!</v>
      </c>
      <c r="V200" s="581" t="e">
        <f>+'5,5,3 Malla Electrosoldada '!I19</f>
        <v>#REF!</v>
      </c>
      <c r="W200" s="582" t="e">
        <f>ROUND(V200*$D200,10)</f>
        <v>#REF!</v>
      </c>
      <c r="X200" s="581">
        <f>+'5,5,3 Malla Electrosoldada '!I50</f>
        <v>617.28</v>
      </c>
      <c r="Y200" s="582">
        <f>ROUND(X200*$D200,10)</f>
        <v>0</v>
      </c>
      <c r="Z200" s="581">
        <f>+'5,5,3 Malla Electrosoldada '!I30</f>
        <v>18.55</v>
      </c>
      <c r="AA200" s="582">
        <f>ROUND(Z200*$D200,10)</f>
        <v>0</v>
      </c>
      <c r="AB200" s="581">
        <f>+'5,5,3 Malla Electrosoldada '!I41</f>
        <v>0</v>
      </c>
      <c r="AC200" s="582">
        <f>ROUND(AB200*$D200,10)</f>
        <v>0</v>
      </c>
      <c r="AE200" s="769" t="e">
        <f t="shared" si="124"/>
        <v>#REF!</v>
      </c>
    </row>
    <row r="201" spans="1:31" ht="15.75" customHeight="1" x14ac:dyDescent="0.2">
      <c r="A201" s="611" t="s">
        <v>906</v>
      </c>
      <c r="B201" s="601" t="s">
        <v>907</v>
      </c>
      <c r="C201" s="611" t="s">
        <v>119</v>
      </c>
      <c r="D201" s="576">
        <f>+I201+K201+M201+O201+Q201+S201</f>
        <v>853.16770000000008</v>
      </c>
      <c r="E201" s="577" t="e">
        <f t="shared" si="144"/>
        <v>#REF!</v>
      </c>
      <c r="F201" s="577" t="e">
        <f>ROUND(D201*E201,10)</f>
        <v>#REF!</v>
      </c>
      <c r="G201" s="914"/>
      <c r="I201" s="597"/>
      <c r="J201" s="598" t="e">
        <f>+ROUND(E201*I201,10)</f>
        <v>#REF!</v>
      </c>
      <c r="K201" s="537">
        <f>K175*0.77</f>
        <v>376.40871638123679</v>
      </c>
      <c r="L201" s="445" t="e">
        <f>+ROUND(E201*K201,10)</f>
        <v>#REF!</v>
      </c>
      <c r="M201" s="537">
        <f>M175*0.77</f>
        <v>50.371333096744664</v>
      </c>
      <c r="N201" s="445" t="e">
        <f>+ROUND(E201*M201,10)</f>
        <v>#REF!</v>
      </c>
      <c r="O201" s="537">
        <f>O175*0.77</f>
        <v>68.537097416970497</v>
      </c>
      <c r="P201" s="445" t="e">
        <f>+ROUND(E201*O201,10)</f>
        <v>#REF!</v>
      </c>
      <c r="Q201" s="537">
        <f>Q175*0.77</f>
        <v>193.89702859321642</v>
      </c>
      <c r="R201" s="445" t="e">
        <f>+ROUND(E201*Q201,10)</f>
        <v>#REF!</v>
      </c>
      <c r="S201" s="537">
        <f>S175*0.77</f>
        <v>163.95352451183166</v>
      </c>
      <c r="T201" s="445" t="e">
        <f>+ROUND(E201*S201,10)</f>
        <v>#REF!</v>
      </c>
      <c r="V201" s="581" t="e">
        <f>+#REF!</f>
        <v>#REF!</v>
      </c>
      <c r="W201" s="582" t="e">
        <f>ROUND(V201*$D201,10)</f>
        <v>#REF!</v>
      </c>
      <c r="X201" s="581" t="e">
        <f>+#REF!</f>
        <v>#REF!</v>
      </c>
      <c r="Y201" s="582" t="e">
        <f>ROUND(X201*$D201,10)</f>
        <v>#REF!</v>
      </c>
      <c r="Z201" s="581" t="e">
        <f>+#REF!</f>
        <v>#REF!</v>
      </c>
      <c r="AA201" s="582" t="e">
        <f>ROUND(Z201*$D201,10)</f>
        <v>#REF!</v>
      </c>
      <c r="AB201" s="581" t="e">
        <f>+#REF!</f>
        <v>#REF!</v>
      </c>
      <c r="AC201" s="582" t="e">
        <f>ROUND(AB201*$D201,10)</f>
        <v>#REF!</v>
      </c>
      <c r="AE201" s="769" t="e">
        <f t="shared" si="124"/>
        <v>#REF!</v>
      </c>
    </row>
    <row r="202" spans="1:31" s="568" customFormat="1" ht="18" hidden="1" customHeight="1" x14ac:dyDescent="0.2">
      <c r="A202" s="572" t="s">
        <v>908</v>
      </c>
      <c r="B202" s="573" t="s">
        <v>909</v>
      </c>
      <c r="C202" s="846"/>
      <c r="D202" s="576"/>
      <c r="E202" s="577"/>
      <c r="F202" s="180" t="e">
        <f>+ROUND(SUM(F203:F203),10)</f>
        <v>#REF!</v>
      </c>
      <c r="G202" s="472"/>
      <c r="I202" s="613"/>
      <c r="J202" s="440" t="e">
        <f>ROUND(SUM(J203:J203),10)</f>
        <v>#REF!</v>
      </c>
      <c r="K202" s="537"/>
      <c r="L202" s="180" t="e">
        <f>ROUND(SUM(L203:L203),10)</f>
        <v>#REF!</v>
      </c>
      <c r="M202" s="542"/>
      <c r="N202" s="180" t="e">
        <f>ROUND(SUM(N203:N203),10)</f>
        <v>#REF!</v>
      </c>
      <c r="O202" s="542"/>
      <c r="P202" s="180" t="e">
        <f>ROUND(SUM(P203:P203),10)</f>
        <v>#REF!</v>
      </c>
      <c r="Q202" s="542"/>
      <c r="R202" s="180" t="e">
        <f>ROUND(SUM(R203:R203),10)</f>
        <v>#REF!</v>
      </c>
      <c r="S202" s="542"/>
      <c r="T202" s="180" t="e">
        <f>ROUND(SUM(T203:T203),10)</f>
        <v>#REF!</v>
      </c>
      <c r="V202" s="575"/>
      <c r="W202" s="570" t="e">
        <f>ROUND(SUM(W203:W203),10)</f>
        <v>#REF!</v>
      </c>
      <c r="X202" s="575"/>
      <c r="Y202" s="570">
        <f>ROUND(SUM(Y203:Y203),10)</f>
        <v>0</v>
      </c>
      <c r="Z202" s="575"/>
      <c r="AA202" s="570">
        <f>ROUND(SUM(AA203:AA203),10)</f>
        <v>0</v>
      </c>
      <c r="AB202" s="575"/>
      <c r="AC202" s="570">
        <f>ROUND(SUM(AC203:AC203),10)</f>
        <v>0</v>
      </c>
      <c r="AE202" s="769" t="e">
        <f t="shared" si="124"/>
        <v>#REF!</v>
      </c>
    </row>
    <row r="203" spans="1:31" ht="15" hidden="1" customHeight="1" thickBot="1" x14ac:dyDescent="0.25">
      <c r="A203" s="611" t="s">
        <v>910</v>
      </c>
      <c r="B203" s="601" t="s">
        <v>911</v>
      </c>
      <c r="C203" s="611" t="s">
        <v>130</v>
      </c>
      <c r="D203" s="576">
        <f>+I203+K203+M203+O203+Q203+S203</f>
        <v>0</v>
      </c>
      <c r="E203" s="577" t="e">
        <f t="shared" si="144"/>
        <v>#REF!</v>
      </c>
      <c r="F203" s="577" t="e">
        <f>ROUND(D203*E203,10)</f>
        <v>#REF!</v>
      </c>
      <c r="G203" s="914"/>
      <c r="I203" s="602"/>
      <c r="J203" s="603" t="e">
        <f>+ROUND(E203*I203,10)</f>
        <v>#REF!</v>
      </c>
      <c r="K203" s="537"/>
      <c r="L203" s="445" t="e">
        <f>+ROUND(E203*K203,10)</f>
        <v>#REF!</v>
      </c>
      <c r="M203" s="542"/>
      <c r="N203" s="445" t="e">
        <f>+ROUND(E203*M203,10)</f>
        <v>#REF!</v>
      </c>
      <c r="O203" s="542"/>
      <c r="P203" s="445" t="e">
        <f>+ROUND(E203*O203,10)</f>
        <v>#REF!</v>
      </c>
      <c r="Q203" s="542"/>
      <c r="R203" s="445" t="e">
        <f>+ROUND(E203*Q203,10)</f>
        <v>#REF!</v>
      </c>
      <c r="S203" s="542"/>
      <c r="T203" s="445" t="e">
        <f>+ROUND(E203*S203,10)</f>
        <v>#REF!</v>
      </c>
      <c r="V203" s="581" t="e">
        <f>'5,6,1 Instalaciòn carpint. Meta'!I19</f>
        <v>#REF!</v>
      </c>
      <c r="W203" s="582" t="e">
        <f>ROUND(V203*$D203,10)</f>
        <v>#REF!</v>
      </c>
      <c r="X203" s="581">
        <f>'5,6,1 Instalaciòn carpint. Meta'!I50</f>
        <v>6584.98</v>
      </c>
      <c r="Y203" s="582">
        <f>ROUND(X203*$D203,10)</f>
        <v>0</v>
      </c>
      <c r="Z203" s="581">
        <f>'5,6,1 Instalaciòn carpint. Meta'!I30</f>
        <v>92.75</v>
      </c>
      <c r="AA203" s="582">
        <f>ROUND(Z203*$D203,10)</f>
        <v>0</v>
      </c>
      <c r="AB203" s="581">
        <f>'5,6,1 Instalaciòn carpint. Meta'!I41</f>
        <v>0</v>
      </c>
      <c r="AC203" s="582">
        <f>ROUND(AB203*$D203,10)</f>
        <v>0</v>
      </c>
      <c r="AE203" s="769" t="e">
        <f t="shared" si="124"/>
        <v>#REF!</v>
      </c>
    </row>
    <row r="204" spans="1:31" ht="6" customHeight="1" thickBot="1" x14ac:dyDescent="0.25">
      <c r="A204" s="910"/>
      <c r="B204" s="911"/>
      <c r="C204" s="910"/>
      <c r="G204" s="787"/>
      <c r="I204" s="604"/>
      <c r="J204" s="174"/>
      <c r="K204" s="605"/>
      <c r="L204" s="604"/>
      <c r="M204" s="606"/>
      <c r="N204" s="604"/>
      <c r="O204" s="606"/>
      <c r="P204" s="604"/>
      <c r="Q204" s="606"/>
      <c r="R204" s="604"/>
      <c r="S204" s="606"/>
      <c r="T204" s="604"/>
      <c r="V204" s="615"/>
      <c r="W204" s="615"/>
      <c r="X204" s="615"/>
      <c r="Y204" s="615"/>
      <c r="Z204" s="615"/>
      <c r="AA204" s="615"/>
      <c r="AB204" s="615"/>
      <c r="AC204" s="615"/>
      <c r="AE204" s="769"/>
    </row>
    <row r="205" spans="1:31" s="571" customFormat="1" ht="30" customHeight="1" thickTop="1" thickBot="1" x14ac:dyDescent="0.25">
      <c r="A205" s="564">
        <v>6</v>
      </c>
      <c r="B205" s="1045" t="s">
        <v>912</v>
      </c>
      <c r="C205" s="1045"/>
      <c r="D205" s="1045"/>
      <c r="E205" s="1045"/>
      <c r="F205" s="1045"/>
      <c r="G205" s="180" t="e">
        <f>+ROUND(F206+F225+F234,10)</f>
        <v>#REF!</v>
      </c>
      <c r="H205" s="568"/>
      <c r="I205" s="616"/>
      <c r="J205" s="439" t="e">
        <f>+ROUND(J206+J225+J234,10)</f>
        <v>#REF!</v>
      </c>
      <c r="K205" s="617"/>
      <c r="L205" s="180" t="e">
        <f>+ROUND(L206+L225+L234,10)</f>
        <v>#REF!</v>
      </c>
      <c r="M205" s="180"/>
      <c r="N205" s="180" t="e">
        <f>+ROUND(N206+N225+N234,10)</f>
        <v>#REF!</v>
      </c>
      <c r="O205" s="180"/>
      <c r="P205" s="180" t="e">
        <f>+ROUND(P206+P225+P234,10)</f>
        <v>#REF!</v>
      </c>
      <c r="Q205" s="180"/>
      <c r="R205" s="180" t="e">
        <f>+ROUND(R206+R225+R234,10)</f>
        <v>#REF!</v>
      </c>
      <c r="S205" s="180"/>
      <c r="T205" s="180" t="e">
        <f>+ROUND(T206+T225+T234,10)</f>
        <v>#REF!</v>
      </c>
      <c r="U205" s="568"/>
      <c r="V205" s="569" t="e">
        <f>W205/$G$205</f>
        <v>#REF!</v>
      </c>
      <c r="W205" s="570" t="e">
        <f>ROUND(W206+W225+W234,10)</f>
        <v>#REF!</v>
      </c>
      <c r="X205" s="569" t="e">
        <f>Y205/$G$205</f>
        <v>#REF!</v>
      </c>
      <c r="Y205" s="570" t="e">
        <f>ROUND(Y206+Y225+Y234,10)</f>
        <v>#REF!</v>
      </c>
      <c r="Z205" s="569" t="e">
        <f>AA205/$G$205</f>
        <v>#REF!</v>
      </c>
      <c r="AA205" s="570" t="e">
        <f>ROUND(AA206+AA225+AA234,10)</f>
        <v>#REF!</v>
      </c>
      <c r="AB205" s="569" t="e">
        <f>AC205/$G$205</f>
        <v>#N/A</v>
      </c>
      <c r="AC205" s="570" t="e">
        <f>ROUND(AC206+AC225+AC234,10)</f>
        <v>#N/A</v>
      </c>
      <c r="AE205" s="769" t="e">
        <f t="shared" ref="AE205:AE268" si="168">SUM(AC205,AA205,Y205,W205)-SUM(T205,R205,P205,N205,L205)</f>
        <v>#N/A</v>
      </c>
    </row>
    <row r="206" spans="1:31" s="571" customFormat="1" ht="30" customHeight="1" thickTop="1" x14ac:dyDescent="0.2">
      <c r="A206" s="572" t="s">
        <v>913</v>
      </c>
      <c r="B206" s="573" t="s">
        <v>914</v>
      </c>
      <c r="C206" s="846"/>
      <c r="D206" s="576"/>
      <c r="E206" s="180"/>
      <c r="F206" s="180" t="e">
        <f>+ROUND(SUM(F207:F224),10)</f>
        <v>#REF!</v>
      </c>
      <c r="G206" s="473"/>
      <c r="H206" s="568"/>
      <c r="I206" s="618"/>
      <c r="J206" s="439" t="e">
        <f>ROUND(SUM(J207:J224),10)</f>
        <v>#REF!</v>
      </c>
      <c r="K206" s="619"/>
      <c r="L206" s="180" t="e">
        <f>ROUND(SUM(L207:L224),10)</f>
        <v>#REF!</v>
      </c>
      <c r="M206" s="620"/>
      <c r="N206" s="180" t="e">
        <f>ROUND(SUM(N207:N224),10)</f>
        <v>#REF!</v>
      </c>
      <c r="O206" s="620"/>
      <c r="P206" s="180" t="e">
        <f>ROUND(SUM(P207:P224),10)</f>
        <v>#REF!</v>
      </c>
      <c r="Q206" s="620"/>
      <c r="R206" s="180" t="e">
        <f>ROUND(SUM(R207:R224),10)</f>
        <v>#REF!</v>
      </c>
      <c r="S206" s="620"/>
      <c r="T206" s="180" t="e">
        <f>ROUND(SUM(T207:T224),10)</f>
        <v>#REF!</v>
      </c>
      <c r="U206" s="568"/>
      <c r="V206" s="575"/>
      <c r="W206" s="570" t="e">
        <f>ROUND(SUM(W207:W224),10)</f>
        <v>#REF!</v>
      </c>
      <c r="X206" s="575"/>
      <c r="Y206" s="570" t="e">
        <f>ROUND(SUM(Y207:Y224),10)</f>
        <v>#REF!</v>
      </c>
      <c r="Z206" s="575"/>
      <c r="AA206" s="570" t="e">
        <f>ROUND(SUM(AA207:AA224),10)</f>
        <v>#REF!</v>
      </c>
      <c r="AB206" s="575"/>
      <c r="AC206" s="570" t="e">
        <f>ROUND(SUM(AC207:AC224),10)</f>
        <v>#N/A</v>
      </c>
      <c r="AE206" s="769" t="e">
        <f t="shared" si="168"/>
        <v>#N/A</v>
      </c>
    </row>
    <row r="207" spans="1:31" ht="15" customHeight="1" x14ac:dyDescent="0.2">
      <c r="A207" s="611" t="s">
        <v>915</v>
      </c>
      <c r="B207" s="601" t="s">
        <v>916</v>
      </c>
      <c r="C207" s="611" t="s">
        <v>130</v>
      </c>
      <c r="D207" s="576">
        <f t="shared" ref="D207:D224" si="169">+I207+K207+M207+O207+Q207+S207</f>
        <v>37.199999999999996</v>
      </c>
      <c r="E207" s="577" t="e">
        <f t="shared" ref="E207:E241" si="170">V207+X207+Z207+AB207</f>
        <v>#REF!</v>
      </c>
      <c r="F207" s="577" t="e">
        <f t="shared" ref="F207:F224" si="171">ROUND(D207*E207,10)</f>
        <v>#REF!</v>
      </c>
      <c r="G207" s="578"/>
      <c r="I207" s="594"/>
      <c r="J207" s="580" t="e">
        <f t="shared" ref="J207:J224" si="172">+ROUND(E207*I207,10)</f>
        <v>#REF!</v>
      </c>
      <c r="K207" s="537">
        <v>33.479999999999997</v>
      </c>
      <c r="L207" s="445" t="e">
        <f t="shared" ref="L207:L224" si="173">+ROUND(E207*K207,10)</f>
        <v>#REF!</v>
      </c>
      <c r="M207" s="542">
        <v>3.72</v>
      </c>
      <c r="N207" s="445" t="e">
        <f t="shared" ref="N207:N224" si="174">+ROUND(E207*M207,10)</f>
        <v>#REF!</v>
      </c>
      <c r="O207" s="542"/>
      <c r="P207" s="445" t="e">
        <f t="shared" ref="P207:P224" si="175">+ROUND(E207*O207,10)</f>
        <v>#REF!</v>
      </c>
      <c r="Q207" s="542"/>
      <c r="R207" s="445" t="e">
        <f t="shared" ref="R207:R224" si="176">+ROUND(E207*Q207,10)</f>
        <v>#REF!</v>
      </c>
      <c r="S207" s="542"/>
      <c r="T207" s="445" t="e">
        <f t="shared" ref="T207:T224" si="177">+ROUND(E207*S207,10)</f>
        <v>#REF!</v>
      </c>
      <c r="V207" s="581" t="e">
        <f>+'6,1,1 Alfajias'!I19</f>
        <v>#REF!</v>
      </c>
      <c r="W207" s="582" t="e">
        <f t="shared" ref="W207:W224" si="178">ROUND(V207*$D207,10)</f>
        <v>#REF!</v>
      </c>
      <c r="X207" s="581">
        <f>+'6,1,1 Alfajias'!I50</f>
        <v>18814.23</v>
      </c>
      <c r="Y207" s="582">
        <f t="shared" ref="Y207:Y224" si="179">ROUND(X207*$D207,10)</f>
        <v>699889.35600000003</v>
      </c>
      <c r="Z207" s="581">
        <f>+'6,1,1 Alfajias'!I30</f>
        <v>839.17</v>
      </c>
      <c r="AA207" s="582">
        <f t="shared" ref="AA207:AA224" si="180">ROUND(Z207*$D207,10)</f>
        <v>31217.124</v>
      </c>
      <c r="AB207" s="581" t="e">
        <f>+'6,1,1 Alfajias'!I41</f>
        <v>#N/A</v>
      </c>
      <c r="AC207" s="582" t="e">
        <f t="shared" ref="AC207:AC224" si="181">ROUND(AB207*$D207,10)</f>
        <v>#N/A</v>
      </c>
      <c r="AE207" s="769" t="e">
        <f t="shared" si="168"/>
        <v>#N/A</v>
      </c>
    </row>
    <row r="208" spans="1:31" ht="15" hidden="1" customHeight="1" x14ac:dyDescent="0.2">
      <c r="A208" s="611" t="s">
        <v>917</v>
      </c>
      <c r="B208" s="601" t="s">
        <v>918</v>
      </c>
      <c r="C208" s="611" t="s">
        <v>114</v>
      </c>
      <c r="D208" s="576">
        <f t="shared" si="169"/>
        <v>0</v>
      </c>
      <c r="E208" s="577" t="e">
        <f t="shared" si="170"/>
        <v>#REF!</v>
      </c>
      <c r="F208" s="577" t="e">
        <f t="shared" si="171"/>
        <v>#REF!</v>
      </c>
      <c r="G208" s="914"/>
      <c r="I208" s="584"/>
      <c r="J208" s="585" t="e">
        <f t="shared" si="172"/>
        <v>#REF!</v>
      </c>
      <c r="K208" s="537"/>
      <c r="L208" s="445" t="e">
        <f t="shared" si="173"/>
        <v>#REF!</v>
      </c>
      <c r="M208" s="542"/>
      <c r="N208" s="445" t="e">
        <f t="shared" si="174"/>
        <v>#REF!</v>
      </c>
      <c r="O208" s="542"/>
      <c r="P208" s="445" t="e">
        <f t="shared" si="175"/>
        <v>#REF!</v>
      </c>
      <c r="Q208" s="542"/>
      <c r="R208" s="445" t="e">
        <f t="shared" si="176"/>
        <v>#REF!</v>
      </c>
      <c r="S208" s="542"/>
      <c r="T208" s="445" t="e">
        <f t="shared" si="177"/>
        <v>#REF!</v>
      </c>
      <c r="V208" s="581" t="e">
        <f>+'6,1,2 Dinteles'!I19</f>
        <v>#REF!</v>
      </c>
      <c r="W208" s="582" t="e">
        <f t="shared" si="178"/>
        <v>#REF!</v>
      </c>
      <c r="X208" s="581">
        <f>+'6,1,2 Dinteles'!I50</f>
        <v>11420.17</v>
      </c>
      <c r="Y208" s="582">
        <f t="shared" si="179"/>
        <v>0</v>
      </c>
      <c r="Z208" s="581">
        <f>+'6,1,2 Dinteles'!I30</f>
        <v>3399.57</v>
      </c>
      <c r="AA208" s="582">
        <f t="shared" si="180"/>
        <v>0</v>
      </c>
      <c r="AB208" s="645">
        <f>+'6,1,2 Dinteles'!I41</f>
        <v>0</v>
      </c>
      <c r="AC208" s="582">
        <f t="shared" si="181"/>
        <v>0</v>
      </c>
      <c r="AE208" s="769" t="e">
        <f t="shared" si="168"/>
        <v>#REF!</v>
      </c>
    </row>
    <row r="209" spans="1:31" s="781" customFormat="1" ht="15" hidden="1" customHeight="1" x14ac:dyDescent="0.2">
      <c r="A209" s="915" t="s">
        <v>919</v>
      </c>
      <c r="B209" s="649" t="s">
        <v>920</v>
      </c>
      <c r="C209" s="915" t="s">
        <v>114</v>
      </c>
      <c r="D209" s="768">
        <f t="shared" si="169"/>
        <v>0</v>
      </c>
      <c r="E209" s="773" t="e">
        <f t="shared" si="170"/>
        <v>#REF!</v>
      </c>
      <c r="F209" s="773" t="e">
        <f t="shared" si="171"/>
        <v>#REF!</v>
      </c>
      <c r="G209" s="916"/>
      <c r="H209" s="774"/>
      <c r="I209" s="775"/>
      <c r="J209" s="776" t="e">
        <f t="shared" si="172"/>
        <v>#REF!</v>
      </c>
      <c r="K209" s="732"/>
      <c r="L209" s="777" t="e">
        <f t="shared" si="173"/>
        <v>#REF!</v>
      </c>
      <c r="M209" s="778"/>
      <c r="N209" s="777" t="e">
        <f t="shared" si="174"/>
        <v>#REF!</v>
      </c>
      <c r="O209" s="778"/>
      <c r="P209" s="777" t="e">
        <f t="shared" si="175"/>
        <v>#REF!</v>
      </c>
      <c r="Q209" s="778"/>
      <c r="R209" s="777" t="e">
        <f t="shared" si="176"/>
        <v>#REF!</v>
      </c>
      <c r="S209" s="778"/>
      <c r="T209" s="777" t="e">
        <f t="shared" si="177"/>
        <v>#REF!</v>
      </c>
      <c r="U209" s="774"/>
      <c r="V209" s="779" t="e">
        <f>+'6,1,3 Remates sobre mamposteria'!I19</f>
        <v>#REF!</v>
      </c>
      <c r="W209" s="779" t="e">
        <f t="shared" si="178"/>
        <v>#REF!</v>
      </c>
      <c r="X209" s="779">
        <f>+'6,1,3 Remates sobre mamposteria'!I50</f>
        <v>10974.97</v>
      </c>
      <c r="Y209" s="779">
        <f t="shared" si="179"/>
        <v>0</v>
      </c>
      <c r="Z209" s="779">
        <f>+'6,1,3 Remates sobre mamposteria'!I30</f>
        <v>368.06</v>
      </c>
      <c r="AA209" s="779">
        <f t="shared" si="180"/>
        <v>0</v>
      </c>
      <c r="AB209" s="780">
        <f>+'6,1,3 Remates sobre mamposteria'!I41</f>
        <v>0</v>
      </c>
      <c r="AC209" s="779">
        <f t="shared" si="181"/>
        <v>0</v>
      </c>
      <c r="AE209" s="782" t="e">
        <f t="shared" si="168"/>
        <v>#REF!</v>
      </c>
    </row>
    <row r="210" spans="1:31" ht="15" hidden="1" customHeight="1" x14ac:dyDescent="0.2">
      <c r="A210" s="611" t="s">
        <v>921</v>
      </c>
      <c r="B210" s="601" t="s">
        <v>922</v>
      </c>
      <c r="C210" s="611" t="s">
        <v>114</v>
      </c>
      <c r="D210" s="576">
        <f t="shared" si="169"/>
        <v>0</v>
      </c>
      <c r="E210" s="577">
        <f t="shared" si="170"/>
        <v>0</v>
      </c>
      <c r="F210" s="577">
        <f t="shared" si="171"/>
        <v>0</v>
      </c>
      <c r="G210" s="914"/>
      <c r="I210" s="584"/>
      <c r="J210" s="585">
        <f t="shared" si="172"/>
        <v>0</v>
      </c>
      <c r="K210" s="537"/>
      <c r="L210" s="445">
        <f t="shared" si="173"/>
        <v>0</v>
      </c>
      <c r="M210" s="542"/>
      <c r="N210" s="445">
        <f t="shared" si="174"/>
        <v>0</v>
      </c>
      <c r="O210" s="542"/>
      <c r="P210" s="445">
        <f t="shared" si="175"/>
        <v>0</v>
      </c>
      <c r="Q210" s="542"/>
      <c r="R210" s="445">
        <f t="shared" si="176"/>
        <v>0</v>
      </c>
      <c r="S210" s="542"/>
      <c r="T210" s="445">
        <f t="shared" si="177"/>
        <v>0</v>
      </c>
      <c r="V210" s="581"/>
      <c r="W210" s="582">
        <f t="shared" si="178"/>
        <v>0</v>
      </c>
      <c r="X210" s="581"/>
      <c r="Y210" s="582">
        <f t="shared" si="179"/>
        <v>0</v>
      </c>
      <c r="Z210" s="581"/>
      <c r="AA210" s="582">
        <f t="shared" si="180"/>
        <v>0</v>
      </c>
      <c r="AB210" s="645"/>
      <c r="AC210" s="582">
        <f t="shared" si="181"/>
        <v>0</v>
      </c>
      <c r="AE210" s="769">
        <f t="shared" si="168"/>
        <v>0</v>
      </c>
    </row>
    <row r="211" spans="1:31" ht="15" hidden="1" customHeight="1" x14ac:dyDescent="0.2">
      <c r="A211" s="611" t="s">
        <v>923</v>
      </c>
      <c r="B211" s="601" t="s">
        <v>924</v>
      </c>
      <c r="C211" s="611" t="s">
        <v>130</v>
      </c>
      <c r="D211" s="576">
        <f t="shared" si="169"/>
        <v>0</v>
      </c>
      <c r="E211" s="577">
        <f t="shared" si="170"/>
        <v>0</v>
      </c>
      <c r="F211" s="577">
        <f t="shared" si="171"/>
        <v>0</v>
      </c>
      <c r="G211" s="914"/>
      <c r="I211" s="584"/>
      <c r="J211" s="585">
        <f t="shared" si="172"/>
        <v>0</v>
      </c>
      <c r="K211" s="537"/>
      <c r="L211" s="445">
        <f t="shared" si="173"/>
        <v>0</v>
      </c>
      <c r="M211" s="542"/>
      <c r="N211" s="445">
        <f t="shared" si="174"/>
        <v>0</v>
      </c>
      <c r="O211" s="542"/>
      <c r="P211" s="445">
        <f t="shared" si="175"/>
        <v>0</v>
      </c>
      <c r="Q211" s="542"/>
      <c r="R211" s="445">
        <f t="shared" si="176"/>
        <v>0</v>
      </c>
      <c r="S211" s="542"/>
      <c r="T211" s="445">
        <f t="shared" si="177"/>
        <v>0</v>
      </c>
      <c r="V211" s="581"/>
      <c r="W211" s="582">
        <f t="shared" si="178"/>
        <v>0</v>
      </c>
      <c r="X211" s="581"/>
      <c r="Y211" s="582">
        <f t="shared" si="179"/>
        <v>0</v>
      </c>
      <c r="Z211" s="581"/>
      <c r="AA211" s="582">
        <f t="shared" si="180"/>
        <v>0</v>
      </c>
      <c r="AB211" s="645"/>
      <c r="AC211" s="582">
        <f t="shared" si="181"/>
        <v>0</v>
      </c>
      <c r="AE211" s="769">
        <f t="shared" si="168"/>
        <v>0</v>
      </c>
    </row>
    <row r="212" spans="1:31" ht="15" hidden="1" customHeight="1" x14ac:dyDescent="0.2">
      <c r="A212" s="917" t="s">
        <v>925</v>
      </c>
      <c r="B212" s="601" t="s">
        <v>926</v>
      </c>
      <c r="C212" s="611" t="s">
        <v>130</v>
      </c>
      <c r="D212" s="576">
        <f t="shared" si="169"/>
        <v>0</v>
      </c>
      <c r="E212" s="577">
        <f t="shared" si="170"/>
        <v>0</v>
      </c>
      <c r="F212" s="577">
        <f t="shared" si="171"/>
        <v>0</v>
      </c>
      <c r="G212" s="914"/>
      <c r="I212" s="584"/>
      <c r="J212" s="585">
        <f t="shared" si="172"/>
        <v>0</v>
      </c>
      <c r="K212" s="537"/>
      <c r="L212" s="445">
        <f t="shared" si="173"/>
        <v>0</v>
      </c>
      <c r="M212" s="542"/>
      <c r="N212" s="445">
        <f t="shared" si="174"/>
        <v>0</v>
      </c>
      <c r="O212" s="542"/>
      <c r="P212" s="445">
        <f t="shared" si="175"/>
        <v>0</v>
      </c>
      <c r="Q212" s="542"/>
      <c r="R212" s="445">
        <f t="shared" si="176"/>
        <v>0</v>
      </c>
      <c r="S212" s="542"/>
      <c r="T212" s="445">
        <f t="shared" si="177"/>
        <v>0</v>
      </c>
      <c r="V212" s="575"/>
      <c r="W212" s="582">
        <f t="shared" si="178"/>
        <v>0</v>
      </c>
      <c r="X212" s="575"/>
      <c r="Y212" s="582">
        <f t="shared" si="179"/>
        <v>0</v>
      </c>
      <c r="Z212" s="575"/>
      <c r="AA212" s="582">
        <f t="shared" si="180"/>
        <v>0</v>
      </c>
      <c r="AB212" s="646"/>
      <c r="AC212" s="582">
        <f t="shared" si="181"/>
        <v>0</v>
      </c>
      <c r="AE212" s="769">
        <f t="shared" si="168"/>
        <v>0</v>
      </c>
    </row>
    <row r="213" spans="1:31" ht="15" hidden="1" customHeight="1" x14ac:dyDescent="0.2">
      <c r="A213" s="611" t="s">
        <v>927</v>
      </c>
      <c r="B213" s="601" t="s">
        <v>928</v>
      </c>
      <c r="C213" s="611" t="s">
        <v>130</v>
      </c>
      <c r="D213" s="576">
        <f t="shared" si="169"/>
        <v>0</v>
      </c>
      <c r="E213" s="577">
        <f t="shared" si="170"/>
        <v>0</v>
      </c>
      <c r="F213" s="577">
        <f t="shared" si="171"/>
        <v>0</v>
      </c>
      <c r="G213" s="914"/>
      <c r="I213" s="632"/>
      <c r="J213" s="585">
        <f t="shared" si="172"/>
        <v>0</v>
      </c>
      <c r="K213" s="539"/>
      <c r="L213" s="445">
        <f t="shared" si="173"/>
        <v>0</v>
      </c>
      <c r="M213" s="544"/>
      <c r="N213" s="445">
        <f t="shared" si="174"/>
        <v>0</v>
      </c>
      <c r="O213" s="544"/>
      <c r="P213" s="445">
        <f t="shared" si="175"/>
        <v>0</v>
      </c>
      <c r="Q213" s="544"/>
      <c r="R213" s="445">
        <f t="shared" si="176"/>
        <v>0</v>
      </c>
      <c r="S213" s="544"/>
      <c r="T213" s="445">
        <f t="shared" si="177"/>
        <v>0</v>
      </c>
      <c r="V213" s="581"/>
      <c r="W213" s="582">
        <f t="shared" si="178"/>
        <v>0</v>
      </c>
      <c r="X213" s="581"/>
      <c r="Y213" s="582">
        <f t="shared" si="179"/>
        <v>0</v>
      </c>
      <c r="Z213" s="581"/>
      <c r="AA213" s="582">
        <f t="shared" si="180"/>
        <v>0</v>
      </c>
      <c r="AB213" s="645"/>
      <c r="AC213" s="582">
        <f t="shared" si="181"/>
        <v>0</v>
      </c>
      <c r="AE213" s="769">
        <f t="shared" si="168"/>
        <v>0</v>
      </c>
    </row>
    <row r="214" spans="1:31" ht="15" hidden="1" customHeight="1" x14ac:dyDescent="0.2">
      <c r="A214" s="611" t="s">
        <v>929</v>
      </c>
      <c r="B214" s="601" t="s">
        <v>930</v>
      </c>
      <c r="C214" s="611" t="s">
        <v>155</v>
      </c>
      <c r="D214" s="576">
        <f t="shared" si="169"/>
        <v>0</v>
      </c>
      <c r="E214" s="577" t="e">
        <f t="shared" si="170"/>
        <v>#REF!</v>
      </c>
      <c r="F214" s="577" t="e">
        <f t="shared" si="171"/>
        <v>#REF!</v>
      </c>
      <c r="G214" s="914"/>
      <c r="I214" s="584"/>
      <c r="J214" s="585" t="e">
        <f t="shared" si="172"/>
        <v>#REF!</v>
      </c>
      <c r="K214" s="537"/>
      <c r="L214" s="445" t="e">
        <f t="shared" si="173"/>
        <v>#REF!</v>
      </c>
      <c r="M214" s="542"/>
      <c r="N214" s="445" t="e">
        <f t="shared" si="174"/>
        <v>#REF!</v>
      </c>
      <c r="O214" s="542"/>
      <c r="P214" s="445" t="e">
        <f t="shared" si="175"/>
        <v>#REF!</v>
      </c>
      <c r="Q214" s="542"/>
      <c r="R214" s="445" t="e">
        <f t="shared" si="176"/>
        <v>#REF!</v>
      </c>
      <c r="S214" s="542"/>
      <c r="T214" s="445" t="e">
        <f t="shared" si="177"/>
        <v>#REF!</v>
      </c>
      <c r="V214" s="581" t="e">
        <f>+'6.1.8 Pergolas'!I19</f>
        <v>#REF!</v>
      </c>
      <c r="W214" s="582" t="e">
        <f t="shared" si="178"/>
        <v>#REF!</v>
      </c>
      <c r="X214" s="581">
        <f>+'6.1.8 Pergolas'!I50</f>
        <v>261876.27</v>
      </c>
      <c r="Y214" s="582">
        <f t="shared" si="179"/>
        <v>0</v>
      </c>
      <c r="Z214" s="581">
        <f>+'6.1.8 Pergolas'!I30</f>
        <v>36835</v>
      </c>
      <c r="AA214" s="582">
        <f t="shared" si="180"/>
        <v>0</v>
      </c>
      <c r="AB214" s="645">
        <f>+'6.1.8 Pergolas'!I41</f>
        <v>0</v>
      </c>
      <c r="AC214" s="582">
        <f t="shared" si="181"/>
        <v>0</v>
      </c>
      <c r="AE214" s="769" t="e">
        <f t="shared" si="168"/>
        <v>#REF!</v>
      </c>
    </row>
    <row r="215" spans="1:31" ht="15" customHeight="1" x14ac:dyDescent="0.2">
      <c r="A215" s="611" t="s">
        <v>931</v>
      </c>
      <c r="B215" s="610" t="s">
        <v>932</v>
      </c>
      <c r="C215" s="611" t="s">
        <v>111</v>
      </c>
      <c r="D215" s="576">
        <f t="shared" si="169"/>
        <v>15</v>
      </c>
      <c r="E215" s="577" t="e">
        <f t="shared" si="170"/>
        <v>#REF!</v>
      </c>
      <c r="F215" s="577" t="e">
        <f t="shared" si="171"/>
        <v>#REF!</v>
      </c>
      <c r="G215" s="914"/>
      <c r="I215" s="584"/>
      <c r="J215" s="585" t="e">
        <f t="shared" si="172"/>
        <v>#REF!</v>
      </c>
      <c r="K215" s="537"/>
      <c r="L215" s="445" t="e">
        <f t="shared" si="173"/>
        <v>#REF!</v>
      </c>
      <c r="M215" s="542"/>
      <c r="N215" s="445" t="e">
        <f t="shared" si="174"/>
        <v>#REF!</v>
      </c>
      <c r="O215" s="542"/>
      <c r="P215" s="445" t="e">
        <f t="shared" si="175"/>
        <v>#REF!</v>
      </c>
      <c r="Q215" s="542">
        <v>15</v>
      </c>
      <c r="R215" s="445" t="e">
        <f t="shared" si="176"/>
        <v>#REF!</v>
      </c>
      <c r="S215" s="542"/>
      <c r="T215" s="445" t="e">
        <f t="shared" si="177"/>
        <v>#REF!</v>
      </c>
      <c r="V215" s="581" t="e">
        <f>+#REF!</f>
        <v>#REF!</v>
      </c>
      <c r="W215" s="582" t="e">
        <f t="shared" si="178"/>
        <v>#REF!</v>
      </c>
      <c r="X215" s="581" t="e">
        <f>+#REF!</f>
        <v>#REF!</v>
      </c>
      <c r="Y215" s="582" t="e">
        <f t="shared" si="179"/>
        <v>#REF!</v>
      </c>
      <c r="Z215" s="581" t="e">
        <f>+#REF!</f>
        <v>#REF!</v>
      </c>
      <c r="AA215" s="582" t="e">
        <f t="shared" si="180"/>
        <v>#REF!</v>
      </c>
      <c r="AB215" s="581" t="e">
        <f>+#REF!</f>
        <v>#REF!</v>
      </c>
      <c r="AC215" s="582" t="e">
        <f t="shared" si="181"/>
        <v>#REF!</v>
      </c>
      <c r="AE215" s="769" t="e">
        <f t="shared" si="168"/>
        <v>#REF!</v>
      </c>
    </row>
    <row r="216" spans="1:31" ht="15" customHeight="1" x14ac:dyDescent="0.2">
      <c r="A216" s="611" t="s">
        <v>933</v>
      </c>
      <c r="B216" s="601" t="s">
        <v>934</v>
      </c>
      <c r="C216" s="611" t="s">
        <v>111</v>
      </c>
      <c r="D216" s="576">
        <f t="shared" si="169"/>
        <v>59</v>
      </c>
      <c r="E216" s="577" t="e">
        <f t="shared" si="170"/>
        <v>#REF!</v>
      </c>
      <c r="F216" s="577" t="e">
        <f t="shared" si="171"/>
        <v>#REF!</v>
      </c>
      <c r="G216" s="914"/>
      <c r="I216" s="584"/>
      <c r="J216" s="585" t="e">
        <f t="shared" si="172"/>
        <v>#REF!</v>
      </c>
      <c r="K216" s="537"/>
      <c r="L216" s="445" t="e">
        <f t="shared" si="173"/>
        <v>#REF!</v>
      </c>
      <c r="M216" s="542"/>
      <c r="N216" s="445" t="e">
        <f t="shared" si="174"/>
        <v>#REF!</v>
      </c>
      <c r="O216" s="542"/>
      <c r="P216" s="445" t="e">
        <f t="shared" si="175"/>
        <v>#REF!</v>
      </c>
      <c r="Q216" s="542">
        <v>42</v>
      </c>
      <c r="R216" s="445" t="e">
        <f t="shared" si="176"/>
        <v>#REF!</v>
      </c>
      <c r="S216" s="542">
        <v>17</v>
      </c>
      <c r="T216" s="445" t="e">
        <f t="shared" si="177"/>
        <v>#REF!</v>
      </c>
      <c r="V216" s="581" t="e">
        <f>+'6,1,10 Gradas en Concreto'!I19</f>
        <v>#REF!</v>
      </c>
      <c r="W216" s="582" t="e">
        <f t="shared" si="178"/>
        <v>#REF!</v>
      </c>
      <c r="X216" s="581">
        <f>+'6,1,10 Gradas en Concreto'!I50</f>
        <v>54011.98</v>
      </c>
      <c r="Y216" s="582">
        <f t="shared" si="179"/>
        <v>3186706.82</v>
      </c>
      <c r="Z216" s="581">
        <f>+'6,1,10 Gradas en Concreto'!I30</f>
        <v>5520.83</v>
      </c>
      <c r="AA216" s="582">
        <f t="shared" si="180"/>
        <v>325728.96999999997</v>
      </c>
      <c r="AB216" s="581">
        <f>+'6,1,10 Gradas en Concreto'!I41</f>
        <v>0</v>
      </c>
      <c r="AC216" s="582">
        <f t="shared" si="181"/>
        <v>0</v>
      </c>
      <c r="AE216" s="769" t="e">
        <f t="shared" si="168"/>
        <v>#REF!</v>
      </c>
    </row>
    <row r="217" spans="1:31" ht="15" hidden="1" customHeight="1" x14ac:dyDescent="0.2">
      <c r="A217" s="611" t="s">
        <v>935</v>
      </c>
      <c r="B217" s="601" t="s">
        <v>936</v>
      </c>
      <c r="C217" s="611" t="s">
        <v>111</v>
      </c>
      <c r="D217" s="576">
        <f t="shared" si="169"/>
        <v>0</v>
      </c>
      <c r="E217" s="577" t="e">
        <f t="shared" si="170"/>
        <v>#REF!</v>
      </c>
      <c r="F217" s="577" t="e">
        <f t="shared" si="171"/>
        <v>#REF!</v>
      </c>
      <c r="G217" s="914"/>
      <c r="I217" s="584"/>
      <c r="J217" s="585" t="e">
        <f t="shared" si="172"/>
        <v>#REF!</v>
      </c>
      <c r="K217" s="537"/>
      <c r="L217" s="445" t="e">
        <f t="shared" si="173"/>
        <v>#REF!</v>
      </c>
      <c r="M217" s="542"/>
      <c r="N217" s="445" t="e">
        <f t="shared" si="174"/>
        <v>#REF!</v>
      </c>
      <c r="O217" s="542"/>
      <c r="P217" s="445" t="e">
        <f t="shared" si="175"/>
        <v>#REF!</v>
      </c>
      <c r="Q217" s="542"/>
      <c r="R217" s="445" t="e">
        <f t="shared" si="176"/>
        <v>#REF!</v>
      </c>
      <c r="S217" s="542"/>
      <c r="T217" s="445" t="e">
        <f t="shared" si="177"/>
        <v>#REF!</v>
      </c>
      <c r="V217" s="581" t="e">
        <f>+'6,1,11 PLAQUETAS'!I19</f>
        <v>#REF!</v>
      </c>
      <c r="W217" s="582" t="e">
        <f t="shared" si="178"/>
        <v>#REF!</v>
      </c>
      <c r="X217" s="581">
        <f>+'6,1,11 PLAQUETAS'!I50</f>
        <v>54011.98</v>
      </c>
      <c r="Y217" s="582">
        <f t="shared" si="179"/>
        <v>0</v>
      </c>
      <c r="Z217" s="581">
        <f>+'6,1,11 PLAQUETAS'!I30</f>
        <v>5520.83</v>
      </c>
      <c r="AA217" s="582">
        <f t="shared" si="180"/>
        <v>0</v>
      </c>
      <c r="AB217" s="581">
        <f>+'6,1,11 PLAQUETAS'!I41</f>
        <v>0</v>
      </c>
      <c r="AC217" s="582">
        <f t="shared" si="181"/>
        <v>0</v>
      </c>
      <c r="AE217" s="769" t="e">
        <f t="shared" si="168"/>
        <v>#REF!</v>
      </c>
    </row>
    <row r="218" spans="1:31" ht="15" hidden="1" customHeight="1" x14ac:dyDescent="0.2">
      <c r="A218" s="611" t="s">
        <v>937</v>
      </c>
      <c r="B218" s="601" t="s">
        <v>938</v>
      </c>
      <c r="C218" s="611" t="s">
        <v>114</v>
      </c>
      <c r="D218" s="576">
        <f t="shared" si="169"/>
        <v>0</v>
      </c>
      <c r="E218" s="577">
        <f t="shared" si="170"/>
        <v>0</v>
      </c>
      <c r="F218" s="577">
        <f t="shared" si="171"/>
        <v>0</v>
      </c>
      <c r="G218" s="914"/>
      <c r="I218" s="584"/>
      <c r="J218" s="585">
        <f t="shared" si="172"/>
        <v>0</v>
      </c>
      <c r="K218" s="537"/>
      <c r="L218" s="445">
        <f t="shared" si="173"/>
        <v>0</v>
      </c>
      <c r="M218" s="542"/>
      <c r="N218" s="445">
        <f t="shared" si="174"/>
        <v>0</v>
      </c>
      <c r="O218" s="542"/>
      <c r="P218" s="445">
        <f t="shared" si="175"/>
        <v>0</v>
      </c>
      <c r="Q218" s="542"/>
      <c r="R218" s="445">
        <f t="shared" si="176"/>
        <v>0</v>
      </c>
      <c r="S218" s="542"/>
      <c r="T218" s="445">
        <f t="shared" si="177"/>
        <v>0</v>
      </c>
      <c r="V218" s="581"/>
      <c r="W218" s="582">
        <f t="shared" si="178"/>
        <v>0</v>
      </c>
      <c r="X218" s="581"/>
      <c r="Y218" s="582">
        <f t="shared" si="179"/>
        <v>0</v>
      </c>
      <c r="Z218" s="581"/>
      <c r="AA218" s="582">
        <f t="shared" si="180"/>
        <v>0</v>
      </c>
      <c r="AB218" s="581"/>
      <c r="AC218" s="582">
        <f t="shared" si="181"/>
        <v>0</v>
      </c>
      <c r="AE218" s="769">
        <f t="shared" si="168"/>
        <v>0</v>
      </c>
    </row>
    <row r="219" spans="1:31" ht="15" hidden="1" customHeight="1" x14ac:dyDescent="0.2">
      <c r="A219" s="611" t="s">
        <v>939</v>
      </c>
      <c r="B219" s="601" t="s">
        <v>940</v>
      </c>
      <c r="C219" s="611" t="s">
        <v>114</v>
      </c>
      <c r="D219" s="576">
        <f t="shared" si="169"/>
        <v>0</v>
      </c>
      <c r="E219" s="577">
        <f t="shared" si="170"/>
        <v>0</v>
      </c>
      <c r="F219" s="577">
        <f t="shared" si="171"/>
        <v>0</v>
      </c>
      <c r="G219" s="914"/>
      <c r="I219" s="584"/>
      <c r="J219" s="585">
        <f t="shared" si="172"/>
        <v>0</v>
      </c>
      <c r="K219" s="537"/>
      <c r="L219" s="445">
        <f t="shared" si="173"/>
        <v>0</v>
      </c>
      <c r="M219" s="542"/>
      <c r="N219" s="445">
        <f t="shared" si="174"/>
        <v>0</v>
      </c>
      <c r="O219" s="542"/>
      <c r="P219" s="445">
        <f t="shared" si="175"/>
        <v>0</v>
      </c>
      <c r="Q219" s="542"/>
      <c r="R219" s="445">
        <f t="shared" si="176"/>
        <v>0</v>
      </c>
      <c r="S219" s="542"/>
      <c r="T219" s="445">
        <f t="shared" si="177"/>
        <v>0</v>
      </c>
      <c r="V219" s="575"/>
      <c r="W219" s="582">
        <f t="shared" si="178"/>
        <v>0</v>
      </c>
      <c r="X219" s="575"/>
      <c r="Y219" s="582">
        <f t="shared" si="179"/>
        <v>0</v>
      </c>
      <c r="Z219" s="575"/>
      <c r="AA219" s="582">
        <f t="shared" si="180"/>
        <v>0</v>
      </c>
      <c r="AB219" s="646"/>
      <c r="AC219" s="582">
        <f t="shared" si="181"/>
        <v>0</v>
      </c>
      <c r="AE219" s="769">
        <f t="shared" si="168"/>
        <v>0</v>
      </c>
    </row>
    <row r="220" spans="1:31" ht="15" hidden="1" customHeight="1" x14ac:dyDescent="0.2">
      <c r="A220" s="611" t="s">
        <v>941</v>
      </c>
      <c r="B220" s="601" t="s">
        <v>942</v>
      </c>
      <c r="C220" s="611" t="s">
        <v>114</v>
      </c>
      <c r="D220" s="576">
        <f t="shared" si="169"/>
        <v>0</v>
      </c>
      <c r="E220" s="577">
        <f t="shared" si="170"/>
        <v>0</v>
      </c>
      <c r="F220" s="577">
        <f t="shared" si="171"/>
        <v>0</v>
      </c>
      <c r="G220" s="914"/>
      <c r="I220" s="584"/>
      <c r="J220" s="585">
        <f t="shared" si="172"/>
        <v>0</v>
      </c>
      <c r="K220" s="537"/>
      <c r="L220" s="445">
        <f t="shared" si="173"/>
        <v>0</v>
      </c>
      <c r="M220" s="542"/>
      <c r="N220" s="445">
        <f t="shared" si="174"/>
        <v>0</v>
      </c>
      <c r="O220" s="542"/>
      <c r="P220" s="445">
        <f t="shared" si="175"/>
        <v>0</v>
      </c>
      <c r="Q220" s="542"/>
      <c r="R220" s="445">
        <f t="shared" si="176"/>
        <v>0</v>
      </c>
      <c r="S220" s="542"/>
      <c r="T220" s="445">
        <f t="shared" si="177"/>
        <v>0</v>
      </c>
      <c r="V220" s="581"/>
      <c r="W220" s="582">
        <f t="shared" si="178"/>
        <v>0</v>
      </c>
      <c r="X220" s="581"/>
      <c r="Y220" s="582">
        <f t="shared" si="179"/>
        <v>0</v>
      </c>
      <c r="Z220" s="581"/>
      <c r="AA220" s="582">
        <f t="shared" si="180"/>
        <v>0</v>
      </c>
      <c r="AB220" s="581"/>
      <c r="AC220" s="582">
        <f t="shared" si="181"/>
        <v>0</v>
      </c>
      <c r="AE220" s="769">
        <f t="shared" si="168"/>
        <v>0</v>
      </c>
    </row>
    <row r="221" spans="1:31" ht="15" hidden="1" customHeight="1" x14ac:dyDescent="0.2">
      <c r="A221" s="611" t="s">
        <v>943</v>
      </c>
      <c r="B221" s="601" t="s">
        <v>944</v>
      </c>
      <c r="C221" s="611" t="s">
        <v>114</v>
      </c>
      <c r="D221" s="576">
        <f t="shared" si="169"/>
        <v>0</v>
      </c>
      <c r="E221" s="577" t="e">
        <f t="shared" si="170"/>
        <v>#REF!</v>
      </c>
      <c r="F221" s="577" t="e">
        <f t="shared" si="171"/>
        <v>#REF!</v>
      </c>
      <c r="G221" s="914"/>
      <c r="I221" s="584"/>
      <c r="J221" s="585" t="e">
        <f t="shared" si="172"/>
        <v>#REF!</v>
      </c>
      <c r="K221" s="537"/>
      <c r="L221" s="445" t="e">
        <f t="shared" si="173"/>
        <v>#REF!</v>
      </c>
      <c r="M221" s="542"/>
      <c r="N221" s="445" t="e">
        <f t="shared" si="174"/>
        <v>#REF!</v>
      </c>
      <c r="O221" s="542"/>
      <c r="P221" s="445" t="e">
        <f t="shared" si="175"/>
        <v>#REF!</v>
      </c>
      <c r="Q221" s="542"/>
      <c r="R221" s="445" t="e">
        <f t="shared" si="176"/>
        <v>#REF!</v>
      </c>
      <c r="S221" s="542"/>
      <c r="T221" s="445" t="e">
        <f t="shared" si="177"/>
        <v>#REF!</v>
      </c>
      <c r="V221" s="581" t="e">
        <f>+'6,1,15 Bordillos ducha y aseo'!I19</f>
        <v>#REF!</v>
      </c>
      <c r="W221" s="582" t="e">
        <f t="shared" si="178"/>
        <v>#REF!</v>
      </c>
      <c r="X221" s="581">
        <f>+'6,1,15 Bordillos ducha y aseo'!I50</f>
        <v>11420.17</v>
      </c>
      <c r="Y221" s="582">
        <f t="shared" si="179"/>
        <v>0</v>
      </c>
      <c r="Z221" s="581">
        <f>+'6,1,15 Bordillos ducha y aseo'!I30</f>
        <v>976.71</v>
      </c>
      <c r="AA221" s="582">
        <f t="shared" si="180"/>
        <v>0</v>
      </c>
      <c r="AB221" s="581">
        <f>+'6,1,15 Bordillos ducha y aseo'!I41</f>
        <v>0</v>
      </c>
      <c r="AC221" s="582">
        <f t="shared" si="181"/>
        <v>0</v>
      </c>
      <c r="AE221" s="769" t="e">
        <f t="shared" si="168"/>
        <v>#REF!</v>
      </c>
    </row>
    <row r="222" spans="1:31" ht="15" hidden="1" customHeight="1" x14ac:dyDescent="0.2">
      <c r="A222" s="611" t="s">
        <v>945</v>
      </c>
      <c r="B222" s="601" t="s">
        <v>946</v>
      </c>
      <c r="C222" s="611" t="s">
        <v>114</v>
      </c>
      <c r="D222" s="576">
        <f t="shared" si="169"/>
        <v>0</v>
      </c>
      <c r="E222" s="577">
        <f t="shared" si="170"/>
        <v>0</v>
      </c>
      <c r="F222" s="577">
        <f t="shared" si="171"/>
        <v>0</v>
      </c>
      <c r="G222" s="914"/>
      <c r="I222" s="584"/>
      <c r="J222" s="585">
        <f t="shared" si="172"/>
        <v>0</v>
      </c>
      <c r="K222" s="537"/>
      <c r="L222" s="445">
        <f t="shared" si="173"/>
        <v>0</v>
      </c>
      <c r="M222" s="542"/>
      <c r="N222" s="445">
        <f t="shared" si="174"/>
        <v>0</v>
      </c>
      <c r="O222" s="542"/>
      <c r="P222" s="445">
        <f t="shared" si="175"/>
        <v>0</v>
      </c>
      <c r="Q222" s="542"/>
      <c r="R222" s="445">
        <f t="shared" si="176"/>
        <v>0</v>
      </c>
      <c r="S222" s="542"/>
      <c r="T222" s="445">
        <f t="shared" si="177"/>
        <v>0</v>
      </c>
      <c r="V222" s="581"/>
      <c r="W222" s="582">
        <f t="shared" si="178"/>
        <v>0</v>
      </c>
      <c r="X222" s="581"/>
      <c r="Y222" s="582">
        <f t="shared" si="179"/>
        <v>0</v>
      </c>
      <c r="Z222" s="581"/>
      <c r="AA222" s="582">
        <f t="shared" si="180"/>
        <v>0</v>
      </c>
      <c r="AB222" s="581"/>
      <c r="AC222" s="582">
        <f t="shared" si="181"/>
        <v>0</v>
      </c>
      <c r="AE222" s="769">
        <f t="shared" si="168"/>
        <v>0</v>
      </c>
    </row>
    <row r="223" spans="1:31" ht="15" hidden="1" customHeight="1" x14ac:dyDescent="0.2">
      <c r="A223" s="627" t="s">
        <v>947</v>
      </c>
      <c r="B223" s="610" t="s">
        <v>948</v>
      </c>
      <c r="C223" s="627" t="s">
        <v>114</v>
      </c>
      <c r="D223" s="576">
        <f t="shared" si="169"/>
        <v>0</v>
      </c>
      <c r="E223" s="577">
        <f t="shared" si="170"/>
        <v>0</v>
      </c>
      <c r="F223" s="577">
        <f t="shared" si="171"/>
        <v>0</v>
      </c>
      <c r="G223" s="914"/>
      <c r="I223" s="584"/>
      <c r="J223" s="585">
        <f t="shared" si="172"/>
        <v>0</v>
      </c>
      <c r="K223" s="537"/>
      <c r="L223" s="445">
        <f t="shared" si="173"/>
        <v>0</v>
      </c>
      <c r="M223" s="542"/>
      <c r="N223" s="445">
        <f t="shared" si="174"/>
        <v>0</v>
      </c>
      <c r="O223" s="542"/>
      <c r="P223" s="445">
        <f t="shared" si="175"/>
        <v>0</v>
      </c>
      <c r="Q223" s="542"/>
      <c r="R223" s="445">
        <f t="shared" si="176"/>
        <v>0</v>
      </c>
      <c r="S223" s="542"/>
      <c r="T223" s="445">
        <f t="shared" si="177"/>
        <v>0</v>
      </c>
      <c r="V223" s="581"/>
      <c r="W223" s="582">
        <f t="shared" si="178"/>
        <v>0</v>
      </c>
      <c r="X223" s="581"/>
      <c r="Y223" s="582">
        <f t="shared" si="179"/>
        <v>0</v>
      </c>
      <c r="Z223" s="581"/>
      <c r="AA223" s="582">
        <f t="shared" si="180"/>
        <v>0</v>
      </c>
      <c r="AB223" s="581"/>
      <c r="AC223" s="582">
        <f t="shared" si="181"/>
        <v>0</v>
      </c>
      <c r="AE223" s="769">
        <f t="shared" si="168"/>
        <v>0</v>
      </c>
    </row>
    <row r="224" spans="1:31" ht="15" customHeight="1" x14ac:dyDescent="0.2">
      <c r="A224" s="611" t="s">
        <v>949</v>
      </c>
      <c r="B224" s="601" t="s">
        <v>950</v>
      </c>
      <c r="C224" s="611" t="s">
        <v>114</v>
      </c>
      <c r="D224" s="576">
        <f t="shared" si="169"/>
        <v>93.2</v>
      </c>
      <c r="E224" s="577" t="e">
        <f t="shared" si="170"/>
        <v>#REF!</v>
      </c>
      <c r="F224" s="577" t="e">
        <f t="shared" si="171"/>
        <v>#REF!</v>
      </c>
      <c r="G224" s="914"/>
      <c r="I224" s="584"/>
      <c r="J224" s="585" t="e">
        <f t="shared" si="172"/>
        <v>#REF!</v>
      </c>
      <c r="K224" s="537"/>
      <c r="L224" s="445" t="e">
        <f t="shared" si="173"/>
        <v>#REF!</v>
      </c>
      <c r="M224" s="542"/>
      <c r="N224" s="445" t="e">
        <f t="shared" si="174"/>
        <v>#REF!</v>
      </c>
      <c r="O224" s="542"/>
      <c r="P224" s="445" t="e">
        <f t="shared" si="175"/>
        <v>#REF!</v>
      </c>
      <c r="Q224" s="542">
        <v>93.2</v>
      </c>
      <c r="R224" s="445" t="e">
        <f t="shared" si="176"/>
        <v>#REF!</v>
      </c>
      <c r="S224" s="771"/>
      <c r="T224" s="445" t="e">
        <f t="shared" si="177"/>
        <v>#REF!</v>
      </c>
      <c r="V224" s="581" t="e">
        <f>+#REF!</f>
        <v>#REF!</v>
      </c>
      <c r="W224" s="582" t="e">
        <f t="shared" si="178"/>
        <v>#REF!</v>
      </c>
      <c r="X224" s="581" t="e">
        <f>+#REF!</f>
        <v>#REF!</v>
      </c>
      <c r="Y224" s="582" t="e">
        <f t="shared" si="179"/>
        <v>#REF!</v>
      </c>
      <c r="Z224" s="581" t="e">
        <f>+#REF!</f>
        <v>#REF!</v>
      </c>
      <c r="AA224" s="582" t="e">
        <f t="shared" si="180"/>
        <v>#REF!</v>
      </c>
      <c r="AB224" s="581"/>
      <c r="AC224" s="582">
        <f t="shared" si="181"/>
        <v>0</v>
      </c>
      <c r="AE224" s="769" t="e">
        <f t="shared" si="168"/>
        <v>#REF!</v>
      </c>
    </row>
    <row r="225" spans="1:31" ht="24.75" customHeight="1" x14ac:dyDescent="0.2">
      <c r="A225" s="572" t="s">
        <v>951</v>
      </c>
      <c r="B225" s="573" t="s">
        <v>952</v>
      </c>
      <c r="C225" s="846"/>
      <c r="D225" s="576"/>
      <c r="E225" s="577"/>
      <c r="F225" s="180" t="e">
        <f>+ROUND(SUM(F226:F233),10)</f>
        <v>#REF!</v>
      </c>
      <c r="G225" s="472"/>
      <c r="I225" s="613"/>
      <c r="J225" s="440" t="e">
        <f>ROUND(SUM(J226:J233),10)</f>
        <v>#REF!</v>
      </c>
      <c r="K225" s="537"/>
      <c r="L225" s="180" t="e">
        <f>ROUND(SUM(L226:L233),10)</f>
        <v>#REF!</v>
      </c>
      <c r="M225" s="542"/>
      <c r="N225" s="180" t="e">
        <f>ROUND(SUM(N226:N233),10)</f>
        <v>#REF!</v>
      </c>
      <c r="O225" s="542"/>
      <c r="P225" s="180" t="e">
        <f>ROUND(SUM(P226:P233),10)</f>
        <v>#REF!</v>
      </c>
      <c r="Q225" s="542"/>
      <c r="R225" s="180" t="e">
        <f>ROUND(SUM(R226:R233),10)</f>
        <v>#REF!</v>
      </c>
      <c r="S225" s="542"/>
      <c r="T225" s="180" t="e">
        <f>ROUND(SUM(T226:T233),10)</f>
        <v>#REF!</v>
      </c>
      <c r="V225" s="575"/>
      <c r="W225" s="570" t="e">
        <f>ROUND(SUM(W226:W233),10)</f>
        <v>#REF!</v>
      </c>
      <c r="X225" s="575"/>
      <c r="Y225" s="570" t="e">
        <f>ROUND(SUM(Y226:Y233),10)</f>
        <v>#REF!</v>
      </c>
      <c r="Z225" s="575"/>
      <c r="AA225" s="570" t="e">
        <f>ROUND(SUM(AA226:AA233),10)</f>
        <v>#REF!</v>
      </c>
      <c r="AB225" s="575"/>
      <c r="AC225" s="570">
        <f>ROUND(SUM(AC226:AC233),10)</f>
        <v>0</v>
      </c>
      <c r="AE225" s="769" t="e">
        <f t="shared" si="168"/>
        <v>#REF!</v>
      </c>
    </row>
    <row r="226" spans="1:31" s="568" customFormat="1" ht="18" hidden="1" customHeight="1" x14ac:dyDescent="0.2">
      <c r="A226" s="611" t="s">
        <v>953</v>
      </c>
      <c r="B226" s="601" t="s">
        <v>954</v>
      </c>
      <c r="C226" s="611" t="s">
        <v>114</v>
      </c>
      <c r="D226" s="576">
        <f t="shared" ref="D226:D233" si="182">+I226+K226+M226+O226+Q226+S226</f>
        <v>0</v>
      </c>
      <c r="E226" s="577" t="e">
        <f t="shared" si="170"/>
        <v>#REF!</v>
      </c>
      <c r="F226" s="577" t="e">
        <f t="shared" ref="F226:F233" si="183">ROUND(D226*E226,10)</f>
        <v>#REF!</v>
      </c>
      <c r="G226" s="914"/>
      <c r="I226" s="594"/>
      <c r="J226" s="580" t="e">
        <f t="shared" ref="J226:J232" si="184">+ROUND(E226*I226,10)</f>
        <v>#REF!</v>
      </c>
      <c r="K226" s="537"/>
      <c r="L226" s="445" t="e">
        <f t="shared" ref="L226:L233" si="185">+ROUND(E226*K226,10)</f>
        <v>#REF!</v>
      </c>
      <c r="M226" s="542"/>
      <c r="N226" s="445" t="e">
        <f t="shared" ref="N226:N233" si="186">+ROUND(E226*M226,10)</f>
        <v>#REF!</v>
      </c>
      <c r="O226" s="542"/>
      <c r="P226" s="445" t="e">
        <f t="shared" ref="P226:P233" si="187">+ROUND(E226*O226,10)</f>
        <v>#REF!</v>
      </c>
      <c r="Q226" s="542"/>
      <c r="R226" s="445" t="e">
        <f t="shared" ref="R226:R233" si="188">+ROUND(E226*Q226,10)</f>
        <v>#REF!</v>
      </c>
      <c r="S226" s="542"/>
      <c r="T226" s="445" t="e">
        <f t="shared" ref="T226:T233" si="189">+ROUND(E226*S226,10)</f>
        <v>#REF!</v>
      </c>
      <c r="V226" s="581" t="e">
        <f>+'6,2,1 Mesones en concreto'!I19</f>
        <v>#REF!</v>
      </c>
      <c r="W226" s="582" t="e">
        <f t="shared" ref="W226:W233" si="190">ROUND(V226*$D226,10)</f>
        <v>#REF!</v>
      </c>
      <c r="X226" s="581">
        <f>+'6,2,1 Mesones en concreto'!I50</f>
        <v>11420.17</v>
      </c>
      <c r="Y226" s="582">
        <f t="shared" ref="Y226:Y233" si="191">ROUND(X226*$D226,10)</f>
        <v>0</v>
      </c>
      <c r="Z226" s="581">
        <f>+'6,2,1 Mesones en concreto'!I30</f>
        <v>3399.57</v>
      </c>
      <c r="AA226" s="582">
        <f t="shared" ref="AA226:AA233" si="192">ROUND(Z226*$D226,10)</f>
        <v>0</v>
      </c>
      <c r="AB226" s="581">
        <f>+'6,2,1 Mesones en concreto'!I41</f>
        <v>0</v>
      </c>
      <c r="AC226" s="582">
        <f t="shared" ref="AC226:AC233" si="193">ROUND(AB226*$D226,10)</f>
        <v>0</v>
      </c>
      <c r="AE226" s="769" t="e">
        <f t="shared" si="168"/>
        <v>#REF!</v>
      </c>
    </row>
    <row r="227" spans="1:31" ht="27.75" customHeight="1" x14ac:dyDescent="0.2">
      <c r="A227" s="611" t="s">
        <v>955</v>
      </c>
      <c r="B227" s="601" t="s">
        <v>956</v>
      </c>
      <c r="C227" s="611" t="s">
        <v>114</v>
      </c>
      <c r="D227" s="576">
        <f t="shared" si="182"/>
        <v>20.6</v>
      </c>
      <c r="E227" s="577" t="e">
        <f t="shared" si="170"/>
        <v>#REF!</v>
      </c>
      <c r="F227" s="577" t="e">
        <f t="shared" si="183"/>
        <v>#REF!</v>
      </c>
      <c r="G227" s="914"/>
      <c r="I227" s="584"/>
      <c r="J227" s="585" t="e">
        <f t="shared" si="184"/>
        <v>#REF!</v>
      </c>
      <c r="K227" s="537"/>
      <c r="L227" s="445" t="e">
        <f t="shared" si="185"/>
        <v>#REF!</v>
      </c>
      <c r="M227" s="542">
        <v>1</v>
      </c>
      <c r="N227" s="445" t="e">
        <f t="shared" si="186"/>
        <v>#REF!</v>
      </c>
      <c r="O227" s="542">
        <v>19.600000000000001</v>
      </c>
      <c r="P227" s="445" t="e">
        <f t="shared" si="187"/>
        <v>#REF!</v>
      </c>
      <c r="Q227" s="542"/>
      <c r="R227" s="445" t="e">
        <f t="shared" si="188"/>
        <v>#REF!</v>
      </c>
      <c r="S227" s="542"/>
      <c r="T227" s="445" t="e">
        <f t="shared" si="189"/>
        <v>#REF!</v>
      </c>
      <c r="V227" s="581" t="e">
        <f>+#REF!</f>
        <v>#REF!</v>
      </c>
      <c r="W227" s="582" t="e">
        <f t="shared" si="190"/>
        <v>#REF!</v>
      </c>
      <c r="X227" s="581" t="e">
        <f>+#REF!</f>
        <v>#REF!</v>
      </c>
      <c r="Y227" s="582" t="e">
        <f t="shared" si="191"/>
        <v>#REF!</v>
      </c>
      <c r="Z227" s="581" t="e">
        <f>+#REF!</f>
        <v>#REF!</v>
      </c>
      <c r="AA227" s="582" t="e">
        <f t="shared" si="192"/>
        <v>#REF!</v>
      </c>
      <c r="AB227" s="581"/>
      <c r="AC227" s="582">
        <f t="shared" si="193"/>
        <v>0</v>
      </c>
      <c r="AE227" s="769" t="e">
        <f t="shared" si="168"/>
        <v>#REF!</v>
      </c>
    </row>
    <row r="228" spans="1:31" x14ac:dyDescent="0.2">
      <c r="A228" s="611" t="s">
        <v>957</v>
      </c>
      <c r="B228" s="601" t="s">
        <v>958</v>
      </c>
      <c r="C228" s="611" t="s">
        <v>114</v>
      </c>
      <c r="D228" s="576">
        <f t="shared" si="182"/>
        <v>28.38</v>
      </c>
      <c r="E228" s="577" t="e">
        <f>V228+X228+Z228+AB228</f>
        <v>#REF!</v>
      </c>
      <c r="F228" s="577" t="e">
        <f t="shared" si="183"/>
        <v>#REF!</v>
      </c>
      <c r="G228" s="914"/>
      <c r="I228" s="584"/>
      <c r="J228" s="585" t="e">
        <f t="shared" si="184"/>
        <v>#REF!</v>
      </c>
      <c r="K228" s="537">
        <v>28.38</v>
      </c>
      <c r="L228" s="445" t="e">
        <f t="shared" si="185"/>
        <v>#REF!</v>
      </c>
      <c r="M228" s="542"/>
      <c r="N228" s="445" t="e">
        <f t="shared" si="186"/>
        <v>#REF!</v>
      </c>
      <c r="O228" s="542"/>
      <c r="P228" s="445" t="e">
        <f t="shared" si="187"/>
        <v>#REF!</v>
      </c>
      <c r="Q228" s="542"/>
      <c r="R228" s="445" t="e">
        <f t="shared" si="188"/>
        <v>#REF!</v>
      </c>
      <c r="S228" s="542"/>
      <c r="T228" s="445" t="e">
        <f t="shared" si="189"/>
        <v>#REF!</v>
      </c>
      <c r="V228" s="581" t="e">
        <f>+'6,2,3 Mesones laboratorios'!I19</f>
        <v>#REF!</v>
      </c>
      <c r="W228" s="582" t="e">
        <f t="shared" si="190"/>
        <v>#REF!</v>
      </c>
      <c r="X228" s="581">
        <f>+'6,2,3 Mesones laboratorios'!I50</f>
        <v>30453.79</v>
      </c>
      <c r="Y228" s="582">
        <f t="shared" si="191"/>
        <v>864278.56019999995</v>
      </c>
      <c r="Z228" s="581">
        <f>+'6,2,3 Mesones laboratorios'!I30</f>
        <v>3640.84</v>
      </c>
      <c r="AA228" s="582">
        <f t="shared" si="192"/>
        <v>103327.0392</v>
      </c>
      <c r="AB228" s="581">
        <f>+'6,2,3 Mesones laboratorios'!I41</f>
        <v>0</v>
      </c>
      <c r="AC228" s="582">
        <f t="shared" si="193"/>
        <v>0</v>
      </c>
      <c r="AE228" s="769" t="e">
        <f t="shared" si="168"/>
        <v>#REF!</v>
      </c>
    </row>
    <row r="229" spans="1:31" ht="15" hidden="1" customHeight="1" x14ac:dyDescent="0.2">
      <c r="A229" s="611" t="s">
        <v>959</v>
      </c>
      <c r="B229" s="772" t="s">
        <v>940</v>
      </c>
      <c r="C229" s="611" t="s">
        <v>114</v>
      </c>
      <c r="D229" s="576">
        <f t="shared" si="182"/>
        <v>0</v>
      </c>
      <c r="E229" s="577">
        <f t="shared" si="170"/>
        <v>0</v>
      </c>
      <c r="F229" s="577">
        <f t="shared" si="183"/>
        <v>0</v>
      </c>
      <c r="G229" s="914"/>
      <c r="I229" s="584"/>
      <c r="J229" s="585">
        <f t="shared" si="184"/>
        <v>0</v>
      </c>
      <c r="K229" s="537"/>
      <c r="L229" s="445">
        <f t="shared" si="185"/>
        <v>0</v>
      </c>
      <c r="M229" s="542"/>
      <c r="N229" s="445">
        <f t="shared" si="186"/>
        <v>0</v>
      </c>
      <c r="O229" s="542"/>
      <c r="P229" s="445">
        <f t="shared" si="187"/>
        <v>0</v>
      </c>
      <c r="Q229" s="542"/>
      <c r="R229" s="445">
        <f t="shared" si="188"/>
        <v>0</v>
      </c>
      <c r="S229" s="542"/>
      <c r="T229" s="445">
        <f t="shared" si="189"/>
        <v>0</v>
      </c>
      <c r="V229" s="581"/>
      <c r="W229" s="582">
        <f t="shared" si="190"/>
        <v>0</v>
      </c>
      <c r="X229" s="581"/>
      <c r="Y229" s="582">
        <f t="shared" si="191"/>
        <v>0</v>
      </c>
      <c r="Z229" s="581"/>
      <c r="AA229" s="582">
        <f t="shared" si="192"/>
        <v>0</v>
      </c>
      <c r="AB229" s="581"/>
      <c r="AC229" s="582">
        <f t="shared" si="193"/>
        <v>0</v>
      </c>
      <c r="AE229" s="769">
        <f t="shared" si="168"/>
        <v>0</v>
      </c>
    </row>
    <row r="230" spans="1:31" ht="15" hidden="1" customHeight="1" x14ac:dyDescent="0.2">
      <c r="A230" s="611" t="s">
        <v>960</v>
      </c>
      <c r="B230" s="601" t="s">
        <v>942</v>
      </c>
      <c r="C230" s="611" t="s">
        <v>114</v>
      </c>
      <c r="D230" s="576">
        <f t="shared" si="182"/>
        <v>0</v>
      </c>
      <c r="E230" s="577" t="e">
        <f t="shared" si="170"/>
        <v>#REF!</v>
      </c>
      <c r="F230" s="577" t="e">
        <f t="shared" si="183"/>
        <v>#REF!</v>
      </c>
      <c r="G230" s="914"/>
      <c r="I230" s="584"/>
      <c r="J230" s="585" t="e">
        <f t="shared" si="184"/>
        <v>#REF!</v>
      </c>
      <c r="K230" s="537"/>
      <c r="L230" s="445" t="e">
        <f t="shared" si="185"/>
        <v>#REF!</v>
      </c>
      <c r="M230" s="542"/>
      <c r="N230" s="445" t="e">
        <f t="shared" si="186"/>
        <v>#REF!</v>
      </c>
      <c r="O230" s="542"/>
      <c r="P230" s="445" t="e">
        <f t="shared" si="187"/>
        <v>#REF!</v>
      </c>
      <c r="Q230" s="542"/>
      <c r="R230" s="445" t="e">
        <f t="shared" si="188"/>
        <v>#REF!</v>
      </c>
      <c r="S230" s="542"/>
      <c r="T230" s="445" t="e">
        <f t="shared" si="189"/>
        <v>#REF!</v>
      </c>
      <c r="V230" s="581" t="e">
        <f>+'6,2,5 Bancas Concreto'!I19</f>
        <v>#REF!</v>
      </c>
      <c r="W230" s="582" t="e">
        <f t="shared" si="190"/>
        <v>#REF!</v>
      </c>
      <c r="X230" s="581">
        <f>+'6,2,5 Bancas Concreto'!I50</f>
        <v>19861.169999999998</v>
      </c>
      <c r="Y230" s="582">
        <f t="shared" si="191"/>
        <v>0</v>
      </c>
      <c r="Z230" s="581">
        <f>+'6,2,5 Bancas Concreto'!I30</f>
        <v>371</v>
      </c>
      <c r="AA230" s="582">
        <f t="shared" si="192"/>
        <v>0</v>
      </c>
      <c r="AB230" s="581">
        <f>+'6,2,5 Bancas Concreto'!I41</f>
        <v>0</v>
      </c>
      <c r="AC230" s="582">
        <f t="shared" si="193"/>
        <v>0</v>
      </c>
      <c r="AE230" s="769" t="e">
        <f t="shared" si="168"/>
        <v>#REF!</v>
      </c>
    </row>
    <row r="231" spans="1:31" ht="15" hidden="1" customHeight="1" x14ac:dyDescent="0.2">
      <c r="A231" s="611" t="s">
        <v>961</v>
      </c>
      <c r="B231" s="601" t="s">
        <v>962</v>
      </c>
      <c r="C231" s="611" t="s">
        <v>114</v>
      </c>
      <c r="D231" s="576">
        <f t="shared" si="182"/>
        <v>0</v>
      </c>
      <c r="E231" s="577">
        <f t="shared" si="170"/>
        <v>0</v>
      </c>
      <c r="F231" s="577">
        <f t="shared" si="183"/>
        <v>0</v>
      </c>
      <c r="G231" s="914"/>
      <c r="I231" s="584"/>
      <c r="J231" s="585">
        <f t="shared" si="184"/>
        <v>0</v>
      </c>
      <c r="K231" s="537"/>
      <c r="L231" s="445">
        <f t="shared" si="185"/>
        <v>0</v>
      </c>
      <c r="M231" s="542"/>
      <c r="N231" s="445">
        <f t="shared" si="186"/>
        <v>0</v>
      </c>
      <c r="O231" s="542"/>
      <c r="P231" s="445">
        <f t="shared" si="187"/>
        <v>0</v>
      </c>
      <c r="Q231" s="542"/>
      <c r="R231" s="445">
        <f t="shared" si="188"/>
        <v>0</v>
      </c>
      <c r="S231" s="542"/>
      <c r="T231" s="445">
        <f t="shared" si="189"/>
        <v>0</v>
      </c>
      <c r="V231" s="581"/>
      <c r="W231" s="582">
        <f t="shared" si="190"/>
        <v>0</v>
      </c>
      <c r="X231" s="581"/>
      <c r="Y231" s="582">
        <f t="shared" si="191"/>
        <v>0</v>
      </c>
      <c r="Z231" s="581"/>
      <c r="AA231" s="582">
        <f t="shared" si="192"/>
        <v>0</v>
      </c>
      <c r="AB231" s="581"/>
      <c r="AC231" s="582">
        <f t="shared" si="193"/>
        <v>0</v>
      </c>
      <c r="AE231" s="769">
        <f t="shared" si="168"/>
        <v>0</v>
      </c>
    </row>
    <row r="232" spans="1:31" ht="15" hidden="1" customHeight="1" x14ac:dyDescent="0.2">
      <c r="A232" s="611" t="s">
        <v>963</v>
      </c>
      <c r="B232" s="601" t="s">
        <v>964</v>
      </c>
      <c r="C232" s="611" t="s">
        <v>114</v>
      </c>
      <c r="D232" s="576">
        <f t="shared" si="182"/>
        <v>0</v>
      </c>
      <c r="E232" s="577">
        <f t="shared" si="170"/>
        <v>0</v>
      </c>
      <c r="F232" s="577">
        <f t="shared" si="183"/>
        <v>0</v>
      </c>
      <c r="G232" s="914"/>
      <c r="I232" s="584"/>
      <c r="J232" s="585">
        <f t="shared" si="184"/>
        <v>0</v>
      </c>
      <c r="K232" s="537"/>
      <c r="L232" s="445">
        <f t="shared" si="185"/>
        <v>0</v>
      </c>
      <c r="M232" s="542"/>
      <c r="N232" s="445">
        <f t="shared" si="186"/>
        <v>0</v>
      </c>
      <c r="O232" s="542"/>
      <c r="P232" s="445">
        <f t="shared" si="187"/>
        <v>0</v>
      </c>
      <c r="Q232" s="542"/>
      <c r="R232" s="445">
        <f t="shared" si="188"/>
        <v>0</v>
      </c>
      <c r="S232" s="542"/>
      <c r="T232" s="445">
        <f t="shared" si="189"/>
        <v>0</v>
      </c>
      <c r="V232" s="581"/>
      <c r="W232" s="582">
        <f t="shared" si="190"/>
        <v>0</v>
      </c>
      <c r="X232" s="581"/>
      <c r="Y232" s="582">
        <f t="shared" si="191"/>
        <v>0</v>
      </c>
      <c r="Z232" s="581"/>
      <c r="AA232" s="582">
        <f t="shared" si="192"/>
        <v>0</v>
      </c>
      <c r="AB232" s="581"/>
      <c r="AC232" s="582">
        <f t="shared" si="193"/>
        <v>0</v>
      </c>
      <c r="AE232" s="769">
        <f t="shared" si="168"/>
        <v>0</v>
      </c>
    </row>
    <row r="233" spans="1:31" ht="15" hidden="1" customHeight="1" x14ac:dyDescent="0.2">
      <c r="A233" s="611" t="s">
        <v>965</v>
      </c>
      <c r="B233" s="601" t="s">
        <v>966</v>
      </c>
      <c r="C233" s="611" t="s">
        <v>130</v>
      </c>
      <c r="D233" s="576">
        <f t="shared" si="182"/>
        <v>0</v>
      </c>
      <c r="E233" s="577" t="e">
        <f t="shared" si="170"/>
        <v>#REF!</v>
      </c>
      <c r="F233" s="577" t="e">
        <f t="shared" si="183"/>
        <v>#REF!</v>
      </c>
      <c r="G233" s="914"/>
      <c r="I233" s="597"/>
      <c r="J233" s="598"/>
      <c r="K233" s="537"/>
      <c r="L233" s="445" t="e">
        <f t="shared" si="185"/>
        <v>#REF!</v>
      </c>
      <c r="M233" s="542"/>
      <c r="N233" s="445" t="e">
        <f t="shared" si="186"/>
        <v>#REF!</v>
      </c>
      <c r="O233" s="542"/>
      <c r="P233" s="445" t="e">
        <f t="shared" si="187"/>
        <v>#REF!</v>
      </c>
      <c r="Q233" s="542"/>
      <c r="R233" s="445" t="e">
        <f t="shared" si="188"/>
        <v>#REF!</v>
      </c>
      <c r="S233" s="542"/>
      <c r="T233" s="445" t="e">
        <f t="shared" si="189"/>
        <v>#REF!</v>
      </c>
      <c r="V233" s="581" t="e">
        <f>+'6,2,8 Alfajias 2'!I19</f>
        <v>#REF!</v>
      </c>
      <c r="W233" s="582" t="e">
        <f t="shared" si="190"/>
        <v>#REF!</v>
      </c>
      <c r="X233" s="581">
        <f>+'6,2,8 Alfajias 2'!I50</f>
        <v>18814.23</v>
      </c>
      <c r="Y233" s="582">
        <f t="shared" si="191"/>
        <v>0</v>
      </c>
      <c r="Z233" s="581">
        <f>+'6,2,8 Alfajias 2'!I30</f>
        <v>839.17</v>
      </c>
      <c r="AA233" s="582">
        <f t="shared" si="192"/>
        <v>0</v>
      </c>
      <c r="AB233" s="581">
        <f>+'6,2,8 Alfajias 2'!I41</f>
        <v>0</v>
      </c>
      <c r="AC233" s="582">
        <f t="shared" si="193"/>
        <v>0</v>
      </c>
      <c r="AE233" s="769" t="e">
        <f t="shared" si="168"/>
        <v>#REF!</v>
      </c>
    </row>
    <row r="234" spans="1:31" ht="15.75" hidden="1" customHeight="1" x14ac:dyDescent="0.2">
      <c r="A234" s="572" t="s">
        <v>967</v>
      </c>
      <c r="B234" s="573" t="s">
        <v>968</v>
      </c>
      <c r="C234" s="846"/>
      <c r="D234" s="576"/>
      <c r="E234" s="577"/>
      <c r="F234" s="180">
        <f>+ROUND(SUM(F235:F241),10)</f>
        <v>0</v>
      </c>
      <c r="G234" s="472"/>
      <c r="I234" s="613"/>
      <c r="J234" s="440">
        <f>ROUND(SUM(J235:J241),10)</f>
        <v>0</v>
      </c>
      <c r="K234" s="537"/>
      <c r="L234" s="180">
        <f>ROUND(SUM(L235:L241),10)</f>
        <v>0</v>
      </c>
      <c r="M234" s="542"/>
      <c r="N234" s="180">
        <f>ROUND(SUM(N235:N241),10)</f>
        <v>0</v>
      </c>
      <c r="O234" s="542"/>
      <c r="P234" s="180">
        <f>ROUND(SUM(P235:P241),10)</f>
        <v>0</v>
      </c>
      <c r="Q234" s="542"/>
      <c r="R234" s="180">
        <f>ROUND(SUM(R235:R241),10)</f>
        <v>0</v>
      </c>
      <c r="S234" s="542"/>
      <c r="T234" s="180">
        <f>ROUND(SUM(T235:T241),10)</f>
        <v>0</v>
      </c>
      <c r="V234" s="645"/>
      <c r="W234" s="570">
        <f>ROUND(SUM(W235:W241),10)</f>
        <v>0</v>
      </c>
      <c r="X234" s="645"/>
      <c r="Y234" s="570">
        <f>ROUND(SUM(Y235:Y241),10)</f>
        <v>0</v>
      </c>
      <c r="Z234" s="645"/>
      <c r="AA234" s="570">
        <f>ROUND(SUM(AA235:AA241),10)</f>
        <v>0</v>
      </c>
      <c r="AB234" s="645"/>
      <c r="AC234" s="570">
        <f>ROUND(SUM(AC235:AC241),10)</f>
        <v>0</v>
      </c>
      <c r="AE234" s="769">
        <f t="shared" si="168"/>
        <v>0</v>
      </c>
    </row>
    <row r="235" spans="1:31" ht="15" hidden="1" customHeight="1" x14ac:dyDescent="0.2">
      <c r="A235" s="611" t="s">
        <v>969</v>
      </c>
      <c r="B235" s="601" t="s">
        <v>970</v>
      </c>
      <c r="C235" s="611" t="s">
        <v>130</v>
      </c>
      <c r="D235" s="576">
        <f t="shared" ref="D235:D241" si="194">+I235+K235+M235+O235+Q235+S235</f>
        <v>0</v>
      </c>
      <c r="E235" s="577">
        <f t="shared" si="170"/>
        <v>0</v>
      </c>
      <c r="F235" s="577">
        <f t="shared" ref="F235:F241" si="195">ROUND(D235*E235,10)</f>
        <v>0</v>
      </c>
      <c r="G235" s="914"/>
      <c r="I235" s="594"/>
      <c r="J235" s="580">
        <f t="shared" ref="J235:J241" si="196">+ROUND(E235*I235,10)</f>
        <v>0</v>
      </c>
      <c r="K235" s="537"/>
      <c r="L235" s="445">
        <f t="shared" ref="L235:L241" si="197">+ROUND(E235*K235,10)</f>
        <v>0</v>
      </c>
      <c r="M235" s="542"/>
      <c r="N235" s="445">
        <f t="shared" ref="N235:N241" si="198">+ROUND(E235*M235,10)</f>
        <v>0</v>
      </c>
      <c r="O235" s="542"/>
      <c r="P235" s="445">
        <f t="shared" ref="P235:P241" si="199">+ROUND(E235*O235,10)</f>
        <v>0</v>
      </c>
      <c r="Q235" s="542"/>
      <c r="R235" s="445">
        <f t="shared" ref="R235:R241" si="200">+ROUND(E235*Q235,10)</f>
        <v>0</v>
      </c>
      <c r="S235" s="542"/>
      <c r="T235" s="445">
        <f t="shared" ref="T235:T241" si="201">+ROUND(E235*S235,10)</f>
        <v>0</v>
      </c>
      <c r="V235" s="645"/>
      <c r="W235" s="582">
        <f t="shared" ref="W235:W241" si="202">ROUND(V235*$D235,10)</f>
        <v>0</v>
      </c>
      <c r="X235" s="645"/>
      <c r="Y235" s="582">
        <f t="shared" ref="Y235:Y241" si="203">ROUND(X235*$D235,10)</f>
        <v>0</v>
      </c>
      <c r="Z235" s="645"/>
      <c r="AA235" s="582">
        <f t="shared" ref="AA235:AA241" si="204">ROUND(Z235*$D235,10)</f>
        <v>0</v>
      </c>
      <c r="AB235" s="645"/>
      <c r="AC235" s="582">
        <f t="shared" ref="AC235:AC241" si="205">ROUND(AB235*$D235,10)</f>
        <v>0</v>
      </c>
      <c r="AE235" s="769">
        <f t="shared" si="168"/>
        <v>0</v>
      </c>
    </row>
    <row r="236" spans="1:31" ht="15" hidden="1" customHeight="1" x14ac:dyDescent="0.2">
      <c r="A236" s="611" t="s">
        <v>971</v>
      </c>
      <c r="B236" s="601" t="s">
        <v>972</v>
      </c>
      <c r="C236" s="611" t="s">
        <v>130</v>
      </c>
      <c r="D236" s="576">
        <f t="shared" si="194"/>
        <v>0</v>
      </c>
      <c r="E236" s="577">
        <f t="shared" si="170"/>
        <v>0</v>
      </c>
      <c r="F236" s="577">
        <f t="shared" si="195"/>
        <v>0</v>
      </c>
      <c r="G236" s="914"/>
      <c r="I236" s="584"/>
      <c r="J236" s="585">
        <f t="shared" si="196"/>
        <v>0</v>
      </c>
      <c r="K236" s="537"/>
      <c r="L236" s="445">
        <f t="shared" si="197"/>
        <v>0</v>
      </c>
      <c r="M236" s="542"/>
      <c r="N236" s="445">
        <f t="shared" si="198"/>
        <v>0</v>
      </c>
      <c r="O236" s="542"/>
      <c r="P236" s="445">
        <f t="shared" si="199"/>
        <v>0</v>
      </c>
      <c r="Q236" s="542"/>
      <c r="R236" s="445">
        <f t="shared" si="200"/>
        <v>0</v>
      </c>
      <c r="S236" s="542"/>
      <c r="T236" s="445">
        <f t="shared" si="201"/>
        <v>0</v>
      </c>
      <c r="V236" s="645"/>
      <c r="W236" s="582">
        <f t="shared" si="202"/>
        <v>0</v>
      </c>
      <c r="X236" s="645"/>
      <c r="Y236" s="582">
        <f t="shared" si="203"/>
        <v>0</v>
      </c>
      <c r="Z236" s="645"/>
      <c r="AA236" s="582">
        <f t="shared" si="204"/>
        <v>0</v>
      </c>
      <c r="AB236" s="645"/>
      <c r="AC236" s="582">
        <f t="shared" si="205"/>
        <v>0</v>
      </c>
      <c r="AE236" s="769">
        <f t="shared" si="168"/>
        <v>0</v>
      </c>
    </row>
    <row r="237" spans="1:31" ht="15" hidden="1" customHeight="1" x14ac:dyDescent="0.2">
      <c r="A237" s="611" t="s">
        <v>973</v>
      </c>
      <c r="B237" s="601" t="s">
        <v>974</v>
      </c>
      <c r="C237" s="792" t="s">
        <v>114</v>
      </c>
      <c r="D237" s="576">
        <f t="shared" si="194"/>
        <v>0</v>
      </c>
      <c r="E237" s="577">
        <f t="shared" si="170"/>
        <v>0</v>
      </c>
      <c r="F237" s="577">
        <f t="shared" si="195"/>
        <v>0</v>
      </c>
      <c r="G237" s="918"/>
      <c r="I237" s="584"/>
      <c r="J237" s="585">
        <f t="shared" si="196"/>
        <v>0</v>
      </c>
      <c r="K237" s="537"/>
      <c r="L237" s="445">
        <f t="shared" si="197"/>
        <v>0</v>
      </c>
      <c r="M237" s="542"/>
      <c r="N237" s="445">
        <f t="shared" si="198"/>
        <v>0</v>
      </c>
      <c r="O237" s="542"/>
      <c r="P237" s="445">
        <f t="shared" si="199"/>
        <v>0</v>
      </c>
      <c r="Q237" s="542"/>
      <c r="R237" s="445">
        <f t="shared" si="200"/>
        <v>0</v>
      </c>
      <c r="S237" s="542"/>
      <c r="T237" s="445">
        <f t="shared" si="201"/>
        <v>0</v>
      </c>
      <c r="V237" s="645"/>
      <c r="W237" s="582">
        <f t="shared" si="202"/>
        <v>0</v>
      </c>
      <c r="X237" s="645"/>
      <c r="Y237" s="582">
        <f t="shared" si="203"/>
        <v>0</v>
      </c>
      <c r="Z237" s="645"/>
      <c r="AA237" s="582">
        <f t="shared" si="204"/>
        <v>0</v>
      </c>
      <c r="AB237" s="645"/>
      <c r="AC237" s="582">
        <f t="shared" si="205"/>
        <v>0</v>
      </c>
      <c r="AE237" s="769">
        <f t="shared" si="168"/>
        <v>0</v>
      </c>
    </row>
    <row r="238" spans="1:31" ht="15" hidden="1" customHeight="1" x14ac:dyDescent="0.2">
      <c r="A238" s="611" t="s">
        <v>975</v>
      </c>
      <c r="B238" s="601" t="s">
        <v>976</v>
      </c>
      <c r="C238" s="611" t="s">
        <v>114</v>
      </c>
      <c r="D238" s="576">
        <f t="shared" si="194"/>
        <v>0</v>
      </c>
      <c r="E238" s="577">
        <f t="shared" si="170"/>
        <v>0</v>
      </c>
      <c r="F238" s="577">
        <f t="shared" si="195"/>
        <v>0</v>
      </c>
      <c r="G238" s="914"/>
      <c r="I238" s="584"/>
      <c r="J238" s="585">
        <f t="shared" si="196"/>
        <v>0</v>
      </c>
      <c r="K238" s="537"/>
      <c r="L238" s="445">
        <f t="shared" si="197"/>
        <v>0</v>
      </c>
      <c r="M238" s="542"/>
      <c r="N238" s="445">
        <f t="shared" si="198"/>
        <v>0</v>
      </c>
      <c r="O238" s="542"/>
      <c r="P238" s="445">
        <f t="shared" si="199"/>
        <v>0</v>
      </c>
      <c r="Q238" s="542"/>
      <c r="R238" s="445">
        <f t="shared" si="200"/>
        <v>0</v>
      </c>
      <c r="S238" s="542"/>
      <c r="T238" s="445">
        <f t="shared" si="201"/>
        <v>0</v>
      </c>
      <c r="V238" s="645"/>
      <c r="W238" s="582">
        <f t="shared" si="202"/>
        <v>0</v>
      </c>
      <c r="X238" s="645"/>
      <c r="Y238" s="582">
        <f t="shared" si="203"/>
        <v>0</v>
      </c>
      <c r="Z238" s="645"/>
      <c r="AA238" s="582">
        <f t="shared" si="204"/>
        <v>0</v>
      </c>
      <c r="AB238" s="645"/>
      <c r="AC238" s="582">
        <f t="shared" si="205"/>
        <v>0</v>
      </c>
      <c r="AE238" s="769">
        <f t="shared" si="168"/>
        <v>0</v>
      </c>
    </row>
    <row r="239" spans="1:31" ht="15" hidden="1" customHeight="1" x14ac:dyDescent="0.2">
      <c r="A239" s="611" t="s">
        <v>977</v>
      </c>
      <c r="B239" s="601" t="s">
        <v>978</v>
      </c>
      <c r="C239" s="611" t="s">
        <v>114</v>
      </c>
      <c r="D239" s="576">
        <f t="shared" si="194"/>
        <v>0</v>
      </c>
      <c r="E239" s="577">
        <f t="shared" si="170"/>
        <v>0</v>
      </c>
      <c r="F239" s="577">
        <f t="shared" si="195"/>
        <v>0</v>
      </c>
      <c r="G239" s="914"/>
      <c r="I239" s="584"/>
      <c r="J239" s="585">
        <f t="shared" si="196"/>
        <v>0</v>
      </c>
      <c r="K239" s="537"/>
      <c r="L239" s="445">
        <f t="shared" si="197"/>
        <v>0</v>
      </c>
      <c r="M239" s="542"/>
      <c r="N239" s="445">
        <f t="shared" si="198"/>
        <v>0</v>
      </c>
      <c r="O239" s="542"/>
      <c r="P239" s="445">
        <f t="shared" si="199"/>
        <v>0</v>
      </c>
      <c r="Q239" s="542"/>
      <c r="R239" s="445">
        <f t="shared" si="200"/>
        <v>0</v>
      </c>
      <c r="S239" s="542"/>
      <c r="T239" s="445">
        <f t="shared" si="201"/>
        <v>0</v>
      </c>
      <c r="V239" s="645"/>
      <c r="W239" s="582">
        <f t="shared" si="202"/>
        <v>0</v>
      </c>
      <c r="X239" s="645"/>
      <c r="Y239" s="582">
        <f t="shared" si="203"/>
        <v>0</v>
      </c>
      <c r="Z239" s="645"/>
      <c r="AA239" s="582">
        <f t="shared" si="204"/>
        <v>0</v>
      </c>
      <c r="AB239" s="645"/>
      <c r="AC239" s="582">
        <f t="shared" si="205"/>
        <v>0</v>
      </c>
      <c r="AE239" s="769">
        <f t="shared" si="168"/>
        <v>0</v>
      </c>
    </row>
    <row r="240" spans="1:31" ht="15" hidden="1" customHeight="1" x14ac:dyDescent="0.2">
      <c r="A240" s="611" t="s">
        <v>979</v>
      </c>
      <c r="B240" s="601" t="s">
        <v>980</v>
      </c>
      <c r="C240" s="611" t="s">
        <v>114</v>
      </c>
      <c r="D240" s="576">
        <f t="shared" si="194"/>
        <v>0</v>
      </c>
      <c r="E240" s="577">
        <f t="shared" si="170"/>
        <v>0</v>
      </c>
      <c r="F240" s="577">
        <f t="shared" si="195"/>
        <v>0</v>
      </c>
      <c r="G240" s="914"/>
      <c r="I240" s="584"/>
      <c r="J240" s="585">
        <f t="shared" si="196"/>
        <v>0</v>
      </c>
      <c r="K240" s="537"/>
      <c r="L240" s="445">
        <f t="shared" si="197"/>
        <v>0</v>
      </c>
      <c r="M240" s="542"/>
      <c r="N240" s="445">
        <f t="shared" si="198"/>
        <v>0</v>
      </c>
      <c r="O240" s="542"/>
      <c r="P240" s="445">
        <f t="shared" si="199"/>
        <v>0</v>
      </c>
      <c r="Q240" s="542"/>
      <c r="R240" s="445">
        <f t="shared" si="200"/>
        <v>0</v>
      </c>
      <c r="S240" s="542"/>
      <c r="T240" s="445">
        <f t="shared" si="201"/>
        <v>0</v>
      </c>
      <c r="V240" s="645"/>
      <c r="W240" s="582">
        <f t="shared" si="202"/>
        <v>0</v>
      </c>
      <c r="X240" s="645"/>
      <c r="Y240" s="582">
        <f t="shared" si="203"/>
        <v>0</v>
      </c>
      <c r="Z240" s="645"/>
      <c r="AA240" s="582">
        <f t="shared" si="204"/>
        <v>0</v>
      </c>
      <c r="AB240" s="645"/>
      <c r="AC240" s="582">
        <f t="shared" si="205"/>
        <v>0</v>
      </c>
      <c r="AE240" s="769">
        <f t="shared" si="168"/>
        <v>0</v>
      </c>
    </row>
    <row r="241" spans="1:31" ht="15" hidden="1" customHeight="1" x14ac:dyDescent="0.2">
      <c r="A241" s="611" t="s">
        <v>981</v>
      </c>
      <c r="B241" s="601" t="s">
        <v>982</v>
      </c>
      <c r="C241" s="611" t="s">
        <v>114</v>
      </c>
      <c r="D241" s="576">
        <f t="shared" si="194"/>
        <v>0</v>
      </c>
      <c r="E241" s="577">
        <f t="shared" si="170"/>
        <v>0</v>
      </c>
      <c r="F241" s="577">
        <f t="shared" si="195"/>
        <v>0</v>
      </c>
      <c r="G241" s="914"/>
      <c r="I241" s="584"/>
      <c r="J241" s="585">
        <f t="shared" si="196"/>
        <v>0</v>
      </c>
      <c r="K241" s="537"/>
      <c r="L241" s="445">
        <f t="shared" si="197"/>
        <v>0</v>
      </c>
      <c r="M241" s="542"/>
      <c r="N241" s="445">
        <f t="shared" si="198"/>
        <v>0</v>
      </c>
      <c r="O241" s="542"/>
      <c r="P241" s="445">
        <f t="shared" si="199"/>
        <v>0</v>
      </c>
      <c r="Q241" s="542"/>
      <c r="R241" s="445">
        <f t="shared" si="200"/>
        <v>0</v>
      </c>
      <c r="S241" s="542"/>
      <c r="T241" s="445">
        <f t="shared" si="201"/>
        <v>0</v>
      </c>
      <c r="V241" s="645"/>
      <c r="W241" s="582">
        <f t="shared" si="202"/>
        <v>0</v>
      </c>
      <c r="X241" s="645"/>
      <c r="Y241" s="582">
        <f t="shared" si="203"/>
        <v>0</v>
      </c>
      <c r="Z241" s="645"/>
      <c r="AA241" s="582">
        <f t="shared" si="204"/>
        <v>0</v>
      </c>
      <c r="AB241" s="645"/>
      <c r="AC241" s="582">
        <f t="shared" si="205"/>
        <v>0</v>
      </c>
      <c r="AE241" s="769">
        <f t="shared" si="168"/>
        <v>0</v>
      </c>
    </row>
    <row r="242" spans="1:31" ht="6.75" customHeight="1" thickBot="1" x14ac:dyDescent="0.25">
      <c r="A242" s="604"/>
      <c r="B242" s="604"/>
      <c r="C242" s="604"/>
      <c r="D242" s="604"/>
      <c r="E242" s="604"/>
      <c r="F242" s="604"/>
      <c r="G242" s="604"/>
      <c r="H242" s="604"/>
      <c r="I242" s="604"/>
      <c r="J242" s="604"/>
      <c r="K242" s="605"/>
      <c r="L242" s="604"/>
      <c r="M242" s="606"/>
      <c r="N242" s="604"/>
      <c r="O242" s="606"/>
      <c r="P242" s="604"/>
      <c r="Q242" s="606"/>
      <c r="R242" s="604"/>
      <c r="S242" s="606"/>
      <c r="T242" s="604"/>
      <c r="U242" s="604"/>
      <c r="V242" s="606"/>
      <c r="W242" s="604"/>
      <c r="X242" s="606"/>
      <c r="Y242" s="604"/>
      <c r="Z242" s="606"/>
      <c r="AA242" s="604"/>
      <c r="AB242" s="606"/>
      <c r="AC242" s="604"/>
      <c r="AE242" s="769"/>
    </row>
    <row r="243" spans="1:31" ht="30" customHeight="1" thickTop="1" thickBot="1" x14ac:dyDescent="0.25">
      <c r="A243" s="564">
        <v>7</v>
      </c>
      <c r="B243" s="1045" t="s">
        <v>983</v>
      </c>
      <c r="C243" s="1045"/>
      <c r="D243" s="1045"/>
      <c r="E243" s="1045"/>
      <c r="F243" s="1045"/>
      <c r="G243" s="180" t="e">
        <f>+ROUND(F245+F252+F257+F265+F273+F282+F294+F302+F316+F328+F335+F341+F351+F352+F353+F354+F358+F370,10)</f>
        <v>#REF!</v>
      </c>
      <c r="H243" s="568"/>
      <c r="I243" s="616"/>
      <c r="J243" s="439" t="e">
        <f>+ROUND(J245+J252+J257+J265+J273+J282+J294+J302+J316+J328+J335+J341+J351+J352+J353+J354+J358+J370,10)</f>
        <v>#REF!</v>
      </c>
      <c r="K243" s="617"/>
      <c r="L243" s="180" t="e">
        <f>+ROUND(L245+L252+L257+L265+L273+L282+L294+L302+L316+L328+L335+L341+L351+L352+L353+L354+L358+L370,10)</f>
        <v>#REF!</v>
      </c>
      <c r="M243" s="180"/>
      <c r="N243" s="180" t="e">
        <f>+ROUND(N245+N252+N257+N265+N273+N282+N294+N302+N316+N328+N335+N341+N351+N352+N353+N354+N358+N370,10)</f>
        <v>#REF!</v>
      </c>
      <c r="O243" s="180"/>
      <c r="P243" s="180" t="e">
        <f>+ROUND(P245+P252+P257+P265+P273+P282+P294+P302+P316+P328+P335+P341+P351+P352+P353+P354+P358+P370,10)</f>
        <v>#REF!</v>
      </c>
      <c r="Q243" s="180"/>
      <c r="R243" s="180" t="e">
        <f>+ROUND(R245+R252+R257+R265+R273+R282+R294+R302+R316+R328+R335+R341+R351+R352+R353+R354+R358+R370,10)</f>
        <v>#REF!</v>
      </c>
      <c r="S243" s="180"/>
      <c r="T243" s="180" t="e">
        <f>+ROUND(T245+T252+T257+T265+T273+T282+T294+T302+T316+T328+T335+T341+T351+T352+T353+T354+T358+T370,10)</f>
        <v>#REF!</v>
      </c>
      <c r="U243" s="568"/>
      <c r="V243" s="569" t="e">
        <f>W243/$G243</f>
        <v>#REF!</v>
      </c>
      <c r="W243" s="570" t="e">
        <f>ROUND(W245+W252+W257+W265+W273+W282+W294+W302+W316+W328+W335+W341+W351+W352+W353+W354+W358+W370,10)</f>
        <v>#REF!</v>
      </c>
      <c r="X243" s="569" t="e">
        <f>Y243/$G$243</f>
        <v>#REF!</v>
      </c>
      <c r="Y243" s="570" t="e">
        <f>ROUND(Y245+Y252+Y257+Y265+Y273+Y282+Y294+Y302+Y316+Y328+Y335+Y341+Y351+Y352+Y353+Y354+Y358+Y370,10)</f>
        <v>#REF!</v>
      </c>
      <c r="Z243" s="569" t="e">
        <f>AA243/$G$243</f>
        <v>#REF!</v>
      </c>
      <c r="AA243" s="570" t="e">
        <f>ROUND(AA245+AA252+AA257+AA265+AA273+AA282+AA294+AA302+AA316+AA328+AA335+AA341+AA351+AA352+AA353+AA354+AA358+AA370,10)</f>
        <v>#REF!</v>
      </c>
      <c r="AB243" s="569" t="e">
        <f>AC243/$G$243</f>
        <v>#REF!</v>
      </c>
      <c r="AC243" s="570" t="e">
        <f>ROUND(AC245+AC252+AC257+AC265+AC273+AC282+AC294+AC302+AC316+AC328+AC335+AC341+AC351+AC352+AC353+AC354+AC358+AC370,10)</f>
        <v>#REF!</v>
      </c>
      <c r="AE243" s="769" t="e">
        <f t="shared" si="168"/>
        <v>#REF!</v>
      </c>
    </row>
    <row r="244" spans="1:31" s="568" customFormat="1" ht="16.5" thickTop="1" x14ac:dyDescent="0.2">
      <c r="A244" s="572">
        <v>7.1</v>
      </c>
      <c r="B244" s="573" t="s">
        <v>984</v>
      </c>
      <c r="C244" s="846"/>
      <c r="D244" s="576"/>
      <c r="E244" s="180"/>
      <c r="F244" s="180"/>
      <c r="G244" s="473"/>
      <c r="I244" s="618"/>
      <c r="J244" s="647"/>
      <c r="K244" s="619"/>
      <c r="L244" s="180"/>
      <c r="M244" s="473"/>
      <c r="N244" s="180"/>
      <c r="O244" s="473"/>
      <c r="P244" s="180"/>
      <c r="Q244" s="473"/>
      <c r="R244" s="180"/>
      <c r="S244" s="473"/>
      <c r="T244" s="180"/>
      <c r="V244" s="575"/>
      <c r="W244" s="570"/>
      <c r="X244" s="575"/>
      <c r="Y244" s="570"/>
      <c r="Z244" s="575"/>
      <c r="AA244" s="570"/>
      <c r="AB244" s="575"/>
      <c r="AC244" s="570"/>
      <c r="AE244" s="769">
        <f t="shared" si="168"/>
        <v>0</v>
      </c>
    </row>
    <row r="245" spans="1:31" ht="15" customHeight="1" x14ac:dyDescent="0.2">
      <c r="A245" s="572" t="s">
        <v>985</v>
      </c>
      <c r="B245" s="573" t="s">
        <v>986</v>
      </c>
      <c r="C245" s="611"/>
      <c r="D245" s="576"/>
      <c r="E245" s="577"/>
      <c r="F245" s="626" t="e">
        <f>+ROUND(SUM(F246:F251),10)</f>
        <v>#REF!</v>
      </c>
      <c r="G245" s="578"/>
      <c r="I245" s="633"/>
      <c r="J245" s="441" t="e">
        <f>ROUND(SUM(J246:J251),10)</f>
        <v>#REF!</v>
      </c>
      <c r="K245" s="538"/>
      <c r="L245" s="180" t="e">
        <f>ROUND(SUM(L246:L251),10)</f>
        <v>#REF!</v>
      </c>
      <c r="M245" s="542"/>
      <c r="N245" s="180" t="e">
        <f>ROUND(SUM(N246:N251),10)</f>
        <v>#REF!</v>
      </c>
      <c r="O245" s="542"/>
      <c r="P245" s="180" t="e">
        <f>ROUND(SUM(P246:P251),10)</f>
        <v>#REF!</v>
      </c>
      <c r="Q245" s="542"/>
      <c r="R245" s="180" t="e">
        <f>ROUND(SUM(R246:R251),10)</f>
        <v>#REF!</v>
      </c>
      <c r="S245" s="542"/>
      <c r="T245" s="180" t="e">
        <f>ROUND(SUM(T246:T251),10)</f>
        <v>#REF!</v>
      </c>
      <c r="V245" s="581"/>
      <c r="W245" s="570" t="e">
        <f>ROUND(SUM(W246:W251),10)</f>
        <v>#REF!</v>
      </c>
      <c r="X245" s="581"/>
      <c r="Y245" s="570" t="e">
        <f>ROUND(SUM(Y246:Y251),10)</f>
        <v>#REF!</v>
      </c>
      <c r="Z245" s="581"/>
      <c r="AA245" s="570" t="e">
        <f>ROUND(SUM(AA246:AA251),10)</f>
        <v>#REF!</v>
      </c>
      <c r="AB245" s="581"/>
      <c r="AC245" s="570" t="e">
        <f>ROUND(SUM(AC246:AC251),10)</f>
        <v>#REF!</v>
      </c>
      <c r="AE245" s="769" t="e">
        <f t="shared" si="168"/>
        <v>#REF!</v>
      </c>
    </row>
    <row r="246" spans="1:31" ht="15" hidden="1" customHeight="1" x14ac:dyDescent="0.2">
      <c r="A246" s="611" t="s">
        <v>987</v>
      </c>
      <c r="B246" s="610" t="s">
        <v>988</v>
      </c>
      <c r="C246" s="611" t="s">
        <v>114</v>
      </c>
      <c r="D246" s="576">
        <f t="shared" ref="D246:D251" si="206">+I246+K246+M246+O246+Q246+S246</f>
        <v>0</v>
      </c>
      <c r="E246" s="577" t="e">
        <f t="shared" ref="E246:E309" si="207">V246+X246+Z246+AB246</f>
        <v>#REF!</v>
      </c>
      <c r="F246" s="577" t="e">
        <f t="shared" ref="F246:F251" si="208">ROUND(D246*E246,10)</f>
        <v>#REF!</v>
      </c>
      <c r="G246" s="578"/>
      <c r="I246" s="594"/>
      <c r="J246" s="580" t="e">
        <f>+ROUND(E246*I246,10)</f>
        <v>#REF!</v>
      </c>
      <c r="K246" s="537"/>
      <c r="L246" s="445" t="e">
        <f t="shared" ref="L246:L251" si="209">+ROUND(E246*K246,10)</f>
        <v>#REF!</v>
      </c>
      <c r="M246" s="542"/>
      <c r="N246" s="445" t="e">
        <f t="shared" ref="N246:N251" si="210">+ROUND(E246*M246,10)</f>
        <v>#REF!</v>
      </c>
      <c r="O246" s="542"/>
      <c r="P246" s="445" t="e">
        <f t="shared" ref="P246:P251" si="211">+ROUND(E246*O246,10)</f>
        <v>#REF!</v>
      </c>
      <c r="Q246" s="542"/>
      <c r="R246" s="445" t="e">
        <f t="shared" ref="R246:R251" si="212">+ROUND(E246*Q246,10)</f>
        <v>#REF!</v>
      </c>
      <c r="S246" s="542"/>
      <c r="T246" s="445" t="e">
        <f t="shared" ref="T246:T251" si="213">+ROUND(E246*S246,10)</f>
        <v>#REF!</v>
      </c>
      <c r="V246" s="581" t="e">
        <f>+'7,1,1,1 Acometida PVC-P 2"'!I20</f>
        <v>#REF!</v>
      </c>
      <c r="W246" s="582" t="e">
        <f t="shared" ref="W246:W251" si="214">ROUND(V246*$D246,10)</f>
        <v>#REF!</v>
      </c>
      <c r="X246" s="581">
        <f>+'7,1,1,1 Acometida PVC-P 2"'!I51</f>
        <v>16105.37</v>
      </c>
      <c r="Y246" s="582">
        <f t="shared" ref="Y246:Y251" si="215">ROUND(X246*$D246,10)</f>
        <v>0</v>
      </c>
      <c r="Z246" s="581">
        <f>+'7,1,1,1 Acometida PVC-P 2"'!I31</f>
        <v>927.5</v>
      </c>
      <c r="AA246" s="582">
        <f t="shared" ref="AA246:AA251" si="216">ROUND(Z246*$D246,10)</f>
        <v>0</v>
      </c>
      <c r="AB246" s="581">
        <f>+'7,1,1,1 Acometida PVC-P 2"'!I42</f>
        <v>0</v>
      </c>
      <c r="AC246" s="582">
        <f t="shared" ref="AC246:AC251" si="217">ROUND(AB246*$D246,10)</f>
        <v>0</v>
      </c>
      <c r="AE246" s="769" t="e">
        <f t="shared" si="168"/>
        <v>#REF!</v>
      </c>
    </row>
    <row r="247" spans="1:31" ht="15" hidden="1" customHeight="1" x14ac:dyDescent="0.2">
      <c r="A247" s="611" t="s">
        <v>989</v>
      </c>
      <c r="B247" s="601" t="s">
        <v>990</v>
      </c>
      <c r="C247" s="611" t="s">
        <v>111</v>
      </c>
      <c r="D247" s="576">
        <f t="shared" si="206"/>
        <v>0</v>
      </c>
      <c r="E247" s="577" t="e">
        <f t="shared" si="207"/>
        <v>#REF!</v>
      </c>
      <c r="F247" s="577" t="e">
        <f t="shared" si="208"/>
        <v>#REF!</v>
      </c>
      <c r="G247" s="578"/>
      <c r="I247" s="584"/>
      <c r="J247" s="585" t="e">
        <f>+ROUND(E247*I247,10)</f>
        <v>#REF!</v>
      </c>
      <c r="K247" s="537"/>
      <c r="L247" s="445" t="e">
        <f t="shared" si="209"/>
        <v>#REF!</v>
      </c>
      <c r="M247" s="542"/>
      <c r="N247" s="445" t="e">
        <f t="shared" si="210"/>
        <v>#REF!</v>
      </c>
      <c r="O247" s="542"/>
      <c r="P247" s="445" t="e">
        <f t="shared" si="211"/>
        <v>#REF!</v>
      </c>
      <c r="Q247" s="542"/>
      <c r="R247" s="445" t="e">
        <f t="shared" si="212"/>
        <v>#REF!</v>
      </c>
      <c r="S247" s="542"/>
      <c r="T247" s="445" t="e">
        <f t="shared" si="213"/>
        <v>#REF!</v>
      </c>
      <c r="V247" s="581" t="e">
        <f>+'7,1,1,2 Accesorio PVC-P 2" '!I20</f>
        <v>#REF!</v>
      </c>
      <c r="W247" s="582" t="e">
        <f t="shared" si="214"/>
        <v>#REF!</v>
      </c>
      <c r="X247" s="581">
        <f>+'7,1,1,2 Accesorio PVC-P 2" '!I51</f>
        <v>837.48</v>
      </c>
      <c r="Y247" s="582">
        <f t="shared" si="215"/>
        <v>0</v>
      </c>
      <c r="Z247" s="581">
        <f>+'7,1,1,2 Accesorio PVC-P 2" '!I31</f>
        <v>92.75</v>
      </c>
      <c r="AA247" s="582">
        <f t="shared" si="216"/>
        <v>0</v>
      </c>
      <c r="AB247" s="581">
        <f>+'7,1,1,2 Accesorio PVC-P 2" '!I42</f>
        <v>0</v>
      </c>
      <c r="AC247" s="582">
        <f t="shared" si="217"/>
        <v>0</v>
      </c>
      <c r="AE247" s="769" t="e">
        <f t="shared" si="168"/>
        <v>#REF!</v>
      </c>
    </row>
    <row r="248" spans="1:31" ht="15" hidden="1" customHeight="1" x14ac:dyDescent="0.2">
      <c r="A248" s="611" t="s">
        <v>991</v>
      </c>
      <c r="B248" s="601" t="s">
        <v>992</v>
      </c>
      <c r="C248" s="611" t="s">
        <v>114</v>
      </c>
      <c r="D248" s="576">
        <f t="shared" si="206"/>
        <v>0</v>
      </c>
      <c r="E248" s="577">
        <f t="shared" si="207"/>
        <v>0</v>
      </c>
      <c r="F248" s="577">
        <f t="shared" si="208"/>
        <v>0</v>
      </c>
      <c r="G248" s="578"/>
      <c r="I248" s="584"/>
      <c r="J248" s="585">
        <f>+ROUND(E248*I248,10)</f>
        <v>0</v>
      </c>
      <c r="K248" s="537"/>
      <c r="L248" s="445">
        <f t="shared" si="209"/>
        <v>0</v>
      </c>
      <c r="M248" s="542"/>
      <c r="N248" s="445">
        <f t="shared" si="210"/>
        <v>0</v>
      </c>
      <c r="O248" s="542"/>
      <c r="P248" s="445">
        <f t="shared" si="211"/>
        <v>0</v>
      </c>
      <c r="Q248" s="542"/>
      <c r="R248" s="445">
        <f t="shared" si="212"/>
        <v>0</v>
      </c>
      <c r="S248" s="542"/>
      <c r="T248" s="445">
        <f t="shared" si="213"/>
        <v>0</v>
      </c>
      <c r="V248" s="581"/>
      <c r="W248" s="582">
        <f t="shared" si="214"/>
        <v>0</v>
      </c>
      <c r="X248" s="581"/>
      <c r="Y248" s="582">
        <f t="shared" si="215"/>
        <v>0</v>
      </c>
      <c r="Z248" s="581"/>
      <c r="AA248" s="582">
        <f t="shared" si="216"/>
        <v>0</v>
      </c>
      <c r="AB248" s="581"/>
      <c r="AC248" s="582">
        <f t="shared" si="217"/>
        <v>0</v>
      </c>
      <c r="AE248" s="769">
        <f t="shared" si="168"/>
        <v>0</v>
      </c>
    </row>
    <row r="249" spans="1:31" ht="15.75" hidden="1" customHeight="1" x14ac:dyDescent="0.2">
      <c r="A249" s="611" t="s">
        <v>993</v>
      </c>
      <c r="B249" s="601" t="s">
        <v>994</v>
      </c>
      <c r="C249" s="611" t="s">
        <v>111</v>
      </c>
      <c r="D249" s="576">
        <f t="shared" si="206"/>
        <v>0</v>
      </c>
      <c r="E249" s="577">
        <f t="shared" si="207"/>
        <v>0</v>
      </c>
      <c r="F249" s="577">
        <f t="shared" si="208"/>
        <v>0</v>
      </c>
      <c r="G249" s="578"/>
      <c r="I249" s="584"/>
      <c r="J249" s="585">
        <f>+ROUND(E249*I249,10)</f>
        <v>0</v>
      </c>
      <c r="K249" s="537"/>
      <c r="L249" s="445">
        <f t="shared" si="209"/>
        <v>0</v>
      </c>
      <c r="M249" s="542"/>
      <c r="N249" s="445">
        <f t="shared" si="210"/>
        <v>0</v>
      </c>
      <c r="O249" s="542"/>
      <c r="P249" s="445">
        <f t="shared" si="211"/>
        <v>0</v>
      </c>
      <c r="Q249" s="542"/>
      <c r="R249" s="445">
        <f t="shared" si="212"/>
        <v>0</v>
      </c>
      <c r="S249" s="542"/>
      <c r="T249" s="445">
        <f t="shared" si="213"/>
        <v>0</v>
      </c>
      <c r="V249" s="581"/>
      <c r="W249" s="582">
        <f t="shared" si="214"/>
        <v>0</v>
      </c>
      <c r="X249" s="581"/>
      <c r="Y249" s="582">
        <f t="shared" si="215"/>
        <v>0</v>
      </c>
      <c r="Z249" s="581"/>
      <c r="AA249" s="582">
        <f t="shared" si="216"/>
        <v>0</v>
      </c>
      <c r="AB249" s="581"/>
      <c r="AC249" s="582">
        <f t="shared" si="217"/>
        <v>0</v>
      </c>
      <c r="AE249" s="769">
        <f t="shared" si="168"/>
        <v>0</v>
      </c>
    </row>
    <row r="250" spans="1:31" ht="15.75" customHeight="1" x14ac:dyDescent="0.2">
      <c r="A250" s="611" t="s">
        <v>995</v>
      </c>
      <c r="B250" s="610" t="s">
        <v>996</v>
      </c>
      <c r="C250" s="611" t="s">
        <v>114</v>
      </c>
      <c r="D250" s="576">
        <f t="shared" si="206"/>
        <v>54</v>
      </c>
      <c r="E250" s="577" t="e">
        <f t="shared" si="207"/>
        <v>#REF!</v>
      </c>
      <c r="F250" s="577" t="e">
        <f t="shared" si="208"/>
        <v>#REF!</v>
      </c>
      <c r="G250" s="578"/>
      <c r="I250" s="597"/>
      <c r="J250" s="598"/>
      <c r="K250" s="537"/>
      <c r="L250" s="445" t="e">
        <f t="shared" si="209"/>
        <v>#REF!</v>
      </c>
      <c r="M250" s="542">
        <v>24</v>
      </c>
      <c r="N250" s="445" t="e">
        <f t="shared" si="210"/>
        <v>#REF!</v>
      </c>
      <c r="O250" s="542">
        <v>30</v>
      </c>
      <c r="P250" s="445" t="e">
        <f t="shared" si="211"/>
        <v>#REF!</v>
      </c>
      <c r="Q250" s="542"/>
      <c r="R250" s="445" t="e">
        <f t="shared" si="212"/>
        <v>#REF!</v>
      </c>
      <c r="S250" s="542"/>
      <c r="T250" s="445" t="e">
        <f t="shared" si="213"/>
        <v>#REF!</v>
      </c>
      <c r="V250" s="581" t="e">
        <f>+#REF!</f>
        <v>#REF!</v>
      </c>
      <c r="W250" s="582" t="e">
        <f t="shared" si="214"/>
        <v>#REF!</v>
      </c>
      <c r="X250" s="581" t="e">
        <f>+#REF!</f>
        <v>#REF!</v>
      </c>
      <c r="Y250" s="582" t="e">
        <f t="shared" si="215"/>
        <v>#REF!</v>
      </c>
      <c r="Z250" s="581" t="e">
        <f>+#REF!</f>
        <v>#REF!</v>
      </c>
      <c r="AA250" s="582" t="e">
        <f t="shared" si="216"/>
        <v>#REF!</v>
      </c>
      <c r="AB250" s="581" t="e">
        <f>+#REF!</f>
        <v>#REF!</v>
      </c>
      <c r="AC250" s="582" t="e">
        <f t="shared" si="217"/>
        <v>#REF!</v>
      </c>
      <c r="AE250" s="769" t="e">
        <f t="shared" si="168"/>
        <v>#REF!</v>
      </c>
    </row>
    <row r="251" spans="1:31" s="595" customFormat="1" ht="18" hidden="1" customHeight="1" x14ac:dyDescent="0.2">
      <c r="A251" s="611" t="s">
        <v>997</v>
      </c>
      <c r="B251" s="610" t="s">
        <v>998</v>
      </c>
      <c r="C251" s="611" t="s">
        <v>114</v>
      </c>
      <c r="D251" s="576">
        <f t="shared" si="206"/>
        <v>0</v>
      </c>
      <c r="E251" s="577" t="e">
        <f t="shared" si="207"/>
        <v>#REF!</v>
      </c>
      <c r="F251" s="577" t="e">
        <f t="shared" si="208"/>
        <v>#REF!</v>
      </c>
      <c r="G251" s="578"/>
      <c r="H251" s="552"/>
      <c r="I251" s="597"/>
      <c r="J251" s="598" t="e">
        <f>+ROUND(E251*I251,10)</f>
        <v>#REF!</v>
      </c>
      <c r="K251" s="537"/>
      <c r="L251" s="445" t="e">
        <f t="shared" si="209"/>
        <v>#REF!</v>
      </c>
      <c r="M251" s="542"/>
      <c r="N251" s="445" t="e">
        <f t="shared" si="210"/>
        <v>#REF!</v>
      </c>
      <c r="O251" s="542"/>
      <c r="P251" s="445" t="e">
        <f t="shared" si="211"/>
        <v>#REF!</v>
      </c>
      <c r="Q251" s="542"/>
      <c r="R251" s="445" t="e">
        <f t="shared" si="212"/>
        <v>#REF!</v>
      </c>
      <c r="S251" s="542"/>
      <c r="T251" s="445" t="e">
        <f t="shared" si="213"/>
        <v>#REF!</v>
      </c>
      <c r="U251" s="552"/>
      <c r="V251" s="581" t="e">
        <f>+#REF!</f>
        <v>#REF!</v>
      </c>
      <c r="W251" s="582" t="e">
        <f t="shared" si="214"/>
        <v>#REF!</v>
      </c>
      <c r="X251" s="581" t="e">
        <f>+#REF!</f>
        <v>#REF!</v>
      </c>
      <c r="Y251" s="582" t="e">
        <f t="shared" si="215"/>
        <v>#REF!</v>
      </c>
      <c r="Z251" s="581" t="e">
        <f>+#REF!</f>
        <v>#REF!</v>
      </c>
      <c r="AA251" s="582" t="e">
        <f t="shared" si="216"/>
        <v>#REF!</v>
      </c>
      <c r="AB251" s="581" t="e">
        <f>+#REF!</f>
        <v>#REF!</v>
      </c>
      <c r="AC251" s="582" t="e">
        <f t="shared" si="217"/>
        <v>#REF!</v>
      </c>
      <c r="AD251" s="912"/>
      <c r="AE251" s="769" t="e">
        <f t="shared" si="168"/>
        <v>#REF!</v>
      </c>
    </row>
    <row r="252" spans="1:31" s="595" customFormat="1" ht="18" customHeight="1" x14ac:dyDescent="0.2">
      <c r="A252" s="572" t="s">
        <v>999</v>
      </c>
      <c r="B252" s="573" t="s">
        <v>1000</v>
      </c>
      <c r="C252" s="846"/>
      <c r="D252" s="576"/>
      <c r="E252" s="577"/>
      <c r="F252" s="180" t="e">
        <f>+ROUND(SUM(F253:F256),10)</f>
        <v>#REF!</v>
      </c>
      <c r="G252" s="473"/>
      <c r="H252" s="568"/>
      <c r="I252" s="621"/>
      <c r="J252" s="440" t="e">
        <f>ROUND(SUM(J253:J256),10)</f>
        <v>#REF!</v>
      </c>
      <c r="K252" s="539"/>
      <c r="L252" s="180" t="e">
        <f>ROUND(SUM(L253:L256),10)</f>
        <v>#REF!</v>
      </c>
      <c r="M252" s="544"/>
      <c r="N252" s="180" t="e">
        <f>ROUND(SUM(N253:N256),10)</f>
        <v>#REF!</v>
      </c>
      <c r="O252" s="544"/>
      <c r="P252" s="180" t="e">
        <f>ROUND(SUM(P253:P256),10)</f>
        <v>#REF!</v>
      </c>
      <c r="Q252" s="544"/>
      <c r="R252" s="180" t="e">
        <f>ROUND(SUM(R253:R256),10)</f>
        <v>#REF!</v>
      </c>
      <c r="S252" s="544"/>
      <c r="T252" s="180" t="e">
        <f>ROUND(SUM(T253:T256),10)</f>
        <v>#REF!</v>
      </c>
      <c r="U252" s="568"/>
      <c r="V252" s="575"/>
      <c r="W252" s="570" t="e">
        <f>ROUND(SUM(W253:W256),10)</f>
        <v>#REF!</v>
      </c>
      <c r="X252" s="575"/>
      <c r="Y252" s="570" t="e">
        <f>ROUND(SUM(Y253:Y256),10)</f>
        <v>#REF!</v>
      </c>
      <c r="Z252" s="575"/>
      <c r="AA252" s="570" t="e">
        <f>ROUND(SUM(AA253:AA256),10)</f>
        <v>#REF!</v>
      </c>
      <c r="AB252" s="575"/>
      <c r="AC252" s="570" t="e">
        <f>ROUND(SUM(AC253:AC256),10)</f>
        <v>#REF!</v>
      </c>
      <c r="AD252" s="912"/>
      <c r="AE252" s="769" t="e">
        <f t="shared" si="168"/>
        <v>#REF!</v>
      </c>
    </row>
    <row r="253" spans="1:31" s="595" customFormat="1" ht="15" hidden="1" customHeight="1" x14ac:dyDescent="0.2">
      <c r="A253" s="611" t="s">
        <v>1001</v>
      </c>
      <c r="B253" s="601" t="s">
        <v>1002</v>
      </c>
      <c r="C253" s="611" t="s">
        <v>114</v>
      </c>
      <c r="D253" s="576">
        <f>+I253+K253+M253+O253+Q253+S253</f>
        <v>0</v>
      </c>
      <c r="E253" s="577" t="e">
        <f t="shared" si="207"/>
        <v>#REF!</v>
      </c>
      <c r="F253" s="577" t="e">
        <f>ROUND(D253*E253,10)</f>
        <v>#REF!</v>
      </c>
      <c r="G253" s="578"/>
      <c r="H253" s="552"/>
      <c r="I253" s="594"/>
      <c r="J253" s="580" t="e">
        <f>+ROUND(E253*I253,10)</f>
        <v>#REF!</v>
      </c>
      <c r="K253" s="537"/>
      <c r="L253" s="445" t="e">
        <f>+ROUND(E253*K253,10)</f>
        <v>#REF!</v>
      </c>
      <c r="M253" s="542"/>
      <c r="N253" s="445" t="e">
        <f>+ROUND(E253*M253,10)</f>
        <v>#REF!</v>
      </c>
      <c r="O253" s="542"/>
      <c r="P253" s="445" t="e">
        <f>+ROUND(E253*O253,10)</f>
        <v>#REF!</v>
      </c>
      <c r="Q253" s="542"/>
      <c r="R253" s="445" t="e">
        <f>+ROUND(E253*Q253,10)</f>
        <v>#REF!</v>
      </c>
      <c r="S253" s="542"/>
      <c r="T253" s="445" t="e">
        <f>+ROUND(E253*S253,10)</f>
        <v>#REF!</v>
      </c>
      <c r="U253" s="552"/>
      <c r="V253" s="581" t="e">
        <f>+#REF!</f>
        <v>#REF!</v>
      </c>
      <c r="W253" s="582" t="e">
        <f>ROUND(V253*$D253,10)</f>
        <v>#REF!</v>
      </c>
      <c r="X253" s="581" t="e">
        <f>+#REF!</f>
        <v>#REF!</v>
      </c>
      <c r="Y253" s="582" t="e">
        <f>ROUND(X253*$D253,10)</f>
        <v>#REF!</v>
      </c>
      <c r="Z253" s="581" t="e">
        <f>+#REF!</f>
        <v>#REF!</v>
      </c>
      <c r="AA253" s="582" t="e">
        <f>ROUND(Z253*$D253,10)</f>
        <v>#REF!</v>
      </c>
      <c r="AB253" s="581" t="e">
        <f>+#REF!</f>
        <v>#REF!</v>
      </c>
      <c r="AC253" s="582" t="e">
        <f>ROUND(AB253*$D253,10)</f>
        <v>#REF!</v>
      </c>
      <c r="AD253" s="912"/>
      <c r="AE253" s="769" t="e">
        <f t="shared" si="168"/>
        <v>#REF!</v>
      </c>
    </row>
    <row r="254" spans="1:31" s="595" customFormat="1" ht="15" hidden="1" customHeight="1" x14ac:dyDescent="0.2">
      <c r="A254" s="611" t="s">
        <v>1003</v>
      </c>
      <c r="B254" s="601" t="s">
        <v>1004</v>
      </c>
      <c r="C254" s="611" t="s">
        <v>111</v>
      </c>
      <c r="D254" s="576">
        <f>+I254+K254+M254+O254+Q254+S254</f>
        <v>0</v>
      </c>
      <c r="E254" s="577" t="e">
        <f t="shared" si="207"/>
        <v>#REF!</v>
      </c>
      <c r="F254" s="577" t="e">
        <f>ROUND(D254*E254,10)</f>
        <v>#REF!</v>
      </c>
      <c r="G254" s="578"/>
      <c r="H254" s="552"/>
      <c r="I254" s="584"/>
      <c r="J254" s="585" t="e">
        <f>+ROUND(E254*I254,10)</f>
        <v>#REF!</v>
      </c>
      <c r="K254" s="537"/>
      <c r="L254" s="445" t="e">
        <f>+ROUND(E254*K254,10)</f>
        <v>#REF!</v>
      </c>
      <c r="M254" s="542"/>
      <c r="N254" s="445" t="e">
        <f>+ROUND(E254*M254,10)</f>
        <v>#REF!</v>
      </c>
      <c r="O254" s="542"/>
      <c r="P254" s="445" t="e">
        <f>+ROUND(E254*O254,10)</f>
        <v>#REF!</v>
      </c>
      <c r="Q254" s="542"/>
      <c r="R254" s="445" t="e">
        <f>+ROUND(E254*Q254,10)</f>
        <v>#REF!</v>
      </c>
      <c r="S254" s="542"/>
      <c r="T254" s="445" t="e">
        <f>+ROUND(E254*S254,10)</f>
        <v>#REF!</v>
      </c>
      <c r="U254" s="552"/>
      <c r="V254" s="581" t="e">
        <f>+#REF!</f>
        <v>#REF!</v>
      </c>
      <c r="W254" s="582" t="e">
        <f>ROUND(V254*$D254,10)</f>
        <v>#REF!</v>
      </c>
      <c r="X254" s="581" t="e">
        <f>+#REF!</f>
        <v>#REF!</v>
      </c>
      <c r="Y254" s="582" t="e">
        <f>ROUND(X254*$D254,10)</f>
        <v>#REF!</v>
      </c>
      <c r="Z254" s="581" t="e">
        <f>+#REF!</f>
        <v>#REF!</v>
      </c>
      <c r="AA254" s="582" t="e">
        <f>ROUND(Z254*$D254,10)</f>
        <v>#REF!</v>
      </c>
      <c r="AB254" s="581" t="e">
        <f>+#REF!</f>
        <v>#REF!</v>
      </c>
      <c r="AC254" s="582" t="e">
        <f>ROUND(AB254*$D254,10)</f>
        <v>#REF!</v>
      </c>
      <c r="AD254" s="912"/>
      <c r="AE254" s="769" t="e">
        <f t="shared" si="168"/>
        <v>#REF!</v>
      </c>
    </row>
    <row r="255" spans="1:31" s="595" customFormat="1" ht="15" hidden="1" customHeight="1" x14ac:dyDescent="0.2">
      <c r="A255" s="611" t="s">
        <v>1005</v>
      </c>
      <c r="B255" s="601" t="s">
        <v>1006</v>
      </c>
      <c r="C255" s="611" t="s">
        <v>111</v>
      </c>
      <c r="D255" s="576">
        <f>+I255+K255+M255+O255+Q255+S255</f>
        <v>0</v>
      </c>
      <c r="E255" s="577" t="e">
        <f t="shared" si="207"/>
        <v>#REF!</v>
      </c>
      <c r="F255" s="577" t="e">
        <f>ROUND(D255*E255,10)</f>
        <v>#REF!</v>
      </c>
      <c r="G255" s="578"/>
      <c r="H255" s="552"/>
      <c r="I255" s="584"/>
      <c r="J255" s="585" t="e">
        <f>+ROUND(E255*I255,10)</f>
        <v>#REF!</v>
      </c>
      <c r="K255" s="537"/>
      <c r="L255" s="445" t="e">
        <f>+ROUND(E255*K255,10)</f>
        <v>#REF!</v>
      </c>
      <c r="M255" s="542"/>
      <c r="N255" s="445" t="e">
        <f>+ROUND(E255*M255,10)</f>
        <v>#REF!</v>
      </c>
      <c r="O255" s="542"/>
      <c r="P255" s="445" t="e">
        <f>+ROUND(E255*O255,10)</f>
        <v>#REF!</v>
      </c>
      <c r="Q255" s="542"/>
      <c r="R255" s="445" t="e">
        <f>+ROUND(E255*Q255,10)</f>
        <v>#REF!</v>
      </c>
      <c r="S255" s="542"/>
      <c r="T255" s="445" t="e">
        <f>+ROUND(E255*S255,10)</f>
        <v>#REF!</v>
      </c>
      <c r="U255" s="552"/>
      <c r="V255" s="581" t="e">
        <f>#REF!</f>
        <v>#REF!</v>
      </c>
      <c r="W255" s="582" t="e">
        <f>ROUND(V255*$D255,10)</f>
        <v>#REF!</v>
      </c>
      <c r="X255" s="581" t="e">
        <f>+#REF!</f>
        <v>#REF!</v>
      </c>
      <c r="Y255" s="582" t="e">
        <f>ROUND(X255*$D255,10)</f>
        <v>#REF!</v>
      </c>
      <c r="Z255" s="581" t="e">
        <f>+#REF!</f>
        <v>#REF!</v>
      </c>
      <c r="AA255" s="582" t="e">
        <f>ROUND(Z255*$D255,10)</f>
        <v>#REF!</v>
      </c>
      <c r="AB255" s="581" t="e">
        <f>+#REF!</f>
        <v>#REF!</v>
      </c>
      <c r="AC255" s="582" t="e">
        <f>ROUND(AB255*$D255,10)</f>
        <v>#REF!</v>
      </c>
      <c r="AD255" s="912"/>
      <c r="AE255" s="769" t="e">
        <f t="shared" si="168"/>
        <v>#REF!</v>
      </c>
    </row>
    <row r="256" spans="1:31" s="595" customFormat="1" x14ac:dyDescent="0.2">
      <c r="A256" s="611" t="s">
        <v>1007</v>
      </c>
      <c r="B256" s="601" t="s">
        <v>1008</v>
      </c>
      <c r="C256" s="611" t="s">
        <v>111</v>
      </c>
      <c r="D256" s="576">
        <f>+I256+K256+M256+O256+Q256+S256</f>
        <v>3</v>
      </c>
      <c r="E256" s="577" t="e">
        <f t="shared" si="207"/>
        <v>#REF!</v>
      </c>
      <c r="F256" s="577" t="e">
        <f>ROUND(D256*E256,10)</f>
        <v>#REF!</v>
      </c>
      <c r="G256" s="578"/>
      <c r="H256" s="552"/>
      <c r="I256" s="597"/>
      <c r="J256" s="598" t="e">
        <f>+ROUND(E256*I256,10)</f>
        <v>#REF!</v>
      </c>
      <c r="K256" s="537"/>
      <c r="L256" s="445" t="e">
        <f>+ROUND(E256*K256,10)</f>
        <v>#REF!</v>
      </c>
      <c r="M256" s="542">
        <v>1</v>
      </c>
      <c r="N256" s="445" t="e">
        <f>+ROUND(E256*M256,10)</f>
        <v>#REF!</v>
      </c>
      <c r="O256" s="542">
        <v>2</v>
      </c>
      <c r="P256" s="445" t="e">
        <f>+ROUND(E256*O256,10)</f>
        <v>#REF!</v>
      </c>
      <c r="Q256" s="542"/>
      <c r="R256" s="445" t="e">
        <f>+ROUND(E256*Q256,10)</f>
        <v>#REF!</v>
      </c>
      <c r="S256" s="542"/>
      <c r="T256" s="445" t="e">
        <f>+ROUND(E256*S256,10)</f>
        <v>#REF!</v>
      </c>
      <c r="U256" s="552"/>
      <c r="V256" s="581" t="e">
        <f>+#REF!</f>
        <v>#REF!</v>
      </c>
      <c r="W256" s="582" t="e">
        <f>ROUND(V256*$D256,10)</f>
        <v>#REF!</v>
      </c>
      <c r="X256" s="581" t="e">
        <f>+#REF!</f>
        <v>#REF!</v>
      </c>
      <c r="Y256" s="582" t="e">
        <f>ROUND(X256*$D256,10)</f>
        <v>#REF!</v>
      </c>
      <c r="Z256" s="581" t="e">
        <f>+#REF!</f>
        <v>#REF!</v>
      </c>
      <c r="AA256" s="582" t="e">
        <f>ROUND(Z256*$D256,10)</f>
        <v>#REF!</v>
      </c>
      <c r="AB256" s="581" t="e">
        <f>+#REF!</f>
        <v>#REF!</v>
      </c>
      <c r="AC256" s="582" t="e">
        <f>ROUND(AB256*$D256,10)</f>
        <v>#REF!</v>
      </c>
      <c r="AD256" s="912"/>
      <c r="AE256" s="769" t="e">
        <f t="shared" si="168"/>
        <v>#REF!</v>
      </c>
    </row>
    <row r="257" spans="1:31" ht="15" customHeight="1" x14ac:dyDescent="0.2">
      <c r="A257" s="572" t="s">
        <v>1009</v>
      </c>
      <c r="B257" s="573" t="s">
        <v>1010</v>
      </c>
      <c r="C257" s="846"/>
      <c r="D257" s="576"/>
      <c r="E257" s="577"/>
      <c r="F257" s="180" t="e">
        <f>+ROUND(SUM(F258:F264),10)</f>
        <v>#REF!</v>
      </c>
      <c r="G257" s="473"/>
      <c r="H257" s="568"/>
      <c r="I257" s="613"/>
      <c r="J257" s="440" t="e">
        <f>ROUND(SUM(J258:J264),10)</f>
        <v>#REF!</v>
      </c>
      <c r="K257" s="537"/>
      <c r="L257" s="180" t="e">
        <f>ROUND(SUM(L258:L264),10)</f>
        <v>#REF!</v>
      </c>
      <c r="M257" s="542"/>
      <c r="N257" s="180" t="e">
        <f>ROUND(SUM(N258:N264),10)</f>
        <v>#REF!</v>
      </c>
      <c r="O257" s="542"/>
      <c r="P257" s="180" t="e">
        <f>ROUND(SUM(P258:P264),10)</f>
        <v>#REF!</v>
      </c>
      <c r="Q257" s="542"/>
      <c r="R257" s="180" t="e">
        <f>ROUND(SUM(R258:R264),10)</f>
        <v>#REF!</v>
      </c>
      <c r="S257" s="542"/>
      <c r="T257" s="180" t="e">
        <f>ROUND(SUM(T258:T264),10)</f>
        <v>#REF!</v>
      </c>
      <c r="U257" s="634"/>
      <c r="V257" s="575"/>
      <c r="W257" s="570" t="e">
        <f>ROUND(SUM(W258:W264),10)</f>
        <v>#REF!</v>
      </c>
      <c r="X257" s="575"/>
      <c r="Y257" s="570" t="e">
        <f>ROUND(SUM(Y258:Y264),10)</f>
        <v>#REF!</v>
      </c>
      <c r="Z257" s="575"/>
      <c r="AA257" s="570" t="e">
        <f>ROUND(SUM(AA258:AA264),10)</f>
        <v>#REF!</v>
      </c>
      <c r="AB257" s="575"/>
      <c r="AC257" s="570" t="e">
        <f>ROUND(SUM(AC258:AC264),10)</f>
        <v>#REF!</v>
      </c>
      <c r="AE257" s="769" t="e">
        <f t="shared" si="168"/>
        <v>#REF!</v>
      </c>
    </row>
    <row r="258" spans="1:31" ht="15" hidden="1" customHeight="1" x14ac:dyDescent="0.2">
      <c r="A258" s="611" t="s">
        <v>1011</v>
      </c>
      <c r="B258" s="601" t="s">
        <v>1002</v>
      </c>
      <c r="C258" s="611" t="s">
        <v>114</v>
      </c>
      <c r="D258" s="576">
        <f t="shared" ref="D258:D264" si="218">+I258+K258+M258+O258+Q258+S258</f>
        <v>0</v>
      </c>
      <c r="E258" s="577" t="e">
        <f t="shared" si="207"/>
        <v>#REF!</v>
      </c>
      <c r="F258" s="577" t="e">
        <f t="shared" ref="F258:F264" si="219">ROUND(D258*E258,10)</f>
        <v>#REF!</v>
      </c>
      <c r="G258" s="578"/>
      <c r="I258" s="594"/>
      <c r="J258" s="580" t="e">
        <f t="shared" ref="J258:J264" si="220">+ROUND(E258*I258,10)</f>
        <v>#REF!</v>
      </c>
      <c r="K258" s="537"/>
      <c r="L258" s="445" t="e">
        <f t="shared" ref="L258:L264" si="221">+ROUND(E258*K258,10)</f>
        <v>#REF!</v>
      </c>
      <c r="M258" s="542"/>
      <c r="N258" s="445" t="e">
        <f t="shared" ref="N258:N264" si="222">+ROUND(E258*M258,10)</f>
        <v>#REF!</v>
      </c>
      <c r="O258" s="542"/>
      <c r="P258" s="445" t="e">
        <f t="shared" ref="P258:P264" si="223">+ROUND(E258*O258,10)</f>
        <v>#REF!</v>
      </c>
      <c r="Q258" s="542"/>
      <c r="R258" s="445" t="e">
        <f t="shared" ref="R258:R264" si="224">+ROUND(E258*Q258,10)</f>
        <v>#REF!</v>
      </c>
      <c r="S258" s="542"/>
      <c r="T258" s="445" t="e">
        <f t="shared" ref="T258:T264" si="225">+ROUND(E258*S258,10)</f>
        <v>#REF!</v>
      </c>
      <c r="V258" s="581" t="e">
        <f>+'7,1,3,1 Tuberia H.G. 1"cuarto '!I20</f>
        <v>#REF!</v>
      </c>
      <c r="W258" s="582" t="e">
        <f t="shared" ref="W258:W264" si="226">ROUND(V258*$D258,10)</f>
        <v>#REF!</v>
      </c>
      <c r="X258" s="581">
        <f>+'7,1,3,1 Tuberia H.G. 1"cuarto '!I51</f>
        <v>5509.73</v>
      </c>
      <c r="Y258" s="582">
        <f t="shared" ref="Y258:Y264" si="227">ROUND(X258*$D258,10)</f>
        <v>0</v>
      </c>
      <c r="Z258" s="581">
        <f>+'7,1,3,1 Tuberia H.G. 1"cuarto '!I31</f>
        <v>148.4</v>
      </c>
      <c r="AA258" s="582">
        <f t="shared" ref="AA258:AA264" si="228">ROUND(Z258*$D258,10)</f>
        <v>0</v>
      </c>
      <c r="AB258" s="581">
        <f>+'7,1,3,1 Tuberia H.G. 1"cuarto '!I42</f>
        <v>0</v>
      </c>
      <c r="AC258" s="582">
        <f t="shared" ref="AC258:AC264" si="229">ROUND(AB258*$D258,10)</f>
        <v>0</v>
      </c>
      <c r="AE258" s="769" t="e">
        <f t="shared" si="168"/>
        <v>#REF!</v>
      </c>
    </row>
    <row r="259" spans="1:31" ht="15" hidden="1" customHeight="1" x14ac:dyDescent="0.2">
      <c r="A259" s="611" t="s">
        <v>1012</v>
      </c>
      <c r="B259" s="601" t="s">
        <v>1013</v>
      </c>
      <c r="C259" s="611" t="s">
        <v>111</v>
      </c>
      <c r="D259" s="576">
        <f t="shared" si="218"/>
        <v>0</v>
      </c>
      <c r="E259" s="577" t="e">
        <f t="shared" si="207"/>
        <v>#REF!</v>
      </c>
      <c r="F259" s="577" t="e">
        <f t="shared" si="219"/>
        <v>#REF!</v>
      </c>
      <c r="G259" s="578"/>
      <c r="I259" s="584"/>
      <c r="J259" s="585" t="e">
        <f t="shared" si="220"/>
        <v>#REF!</v>
      </c>
      <c r="K259" s="537"/>
      <c r="L259" s="445" t="e">
        <f t="shared" si="221"/>
        <v>#REF!</v>
      </c>
      <c r="M259" s="542"/>
      <c r="N259" s="445" t="e">
        <f t="shared" si="222"/>
        <v>#REF!</v>
      </c>
      <c r="O259" s="542"/>
      <c r="P259" s="445" t="e">
        <f t="shared" si="223"/>
        <v>#REF!</v>
      </c>
      <c r="Q259" s="542"/>
      <c r="R259" s="445" t="e">
        <f t="shared" si="224"/>
        <v>#REF!</v>
      </c>
      <c r="S259" s="542"/>
      <c r="T259" s="445" t="e">
        <f t="shared" si="225"/>
        <v>#REF!</v>
      </c>
      <c r="V259" s="581" t="e">
        <f>+'7,1,3,2  Accesorio H.G.1"cuarto'!I20</f>
        <v>#REF!</v>
      </c>
      <c r="W259" s="582" t="e">
        <f t="shared" si="226"/>
        <v>#REF!</v>
      </c>
      <c r="X259" s="581">
        <f>+'7,1,3,2  Accesorio H.G.1"cuarto'!I51</f>
        <v>1046.8499999999999</v>
      </c>
      <c r="Y259" s="582">
        <f t="shared" si="227"/>
        <v>0</v>
      </c>
      <c r="Z259" s="581">
        <f>+'7,1,3,2  Accesorio H.G.1"cuarto'!I31</f>
        <v>148.4</v>
      </c>
      <c r="AA259" s="582">
        <f t="shared" si="228"/>
        <v>0</v>
      </c>
      <c r="AB259" s="581">
        <f>+'7,1,3,2  Accesorio H.G.1"cuarto'!I42</f>
        <v>0</v>
      </c>
      <c r="AC259" s="582">
        <f t="shared" si="229"/>
        <v>0</v>
      </c>
      <c r="AE259" s="769" t="e">
        <f t="shared" si="168"/>
        <v>#REF!</v>
      </c>
    </row>
    <row r="260" spans="1:31" ht="15" hidden="1" customHeight="1" x14ac:dyDescent="0.2">
      <c r="A260" s="611" t="s">
        <v>1014</v>
      </c>
      <c r="B260" s="601" t="s">
        <v>1015</v>
      </c>
      <c r="C260" s="611" t="s">
        <v>111</v>
      </c>
      <c r="D260" s="576">
        <f t="shared" si="218"/>
        <v>0</v>
      </c>
      <c r="E260" s="577" t="e">
        <f t="shared" si="207"/>
        <v>#REF!</v>
      </c>
      <c r="F260" s="577" t="e">
        <f t="shared" si="219"/>
        <v>#REF!</v>
      </c>
      <c r="G260" s="578"/>
      <c r="I260" s="584"/>
      <c r="J260" s="585" t="e">
        <f t="shared" si="220"/>
        <v>#REF!</v>
      </c>
      <c r="K260" s="537"/>
      <c r="L260" s="445" t="e">
        <f t="shared" si="221"/>
        <v>#REF!</v>
      </c>
      <c r="M260" s="542"/>
      <c r="N260" s="445" t="e">
        <f t="shared" si="222"/>
        <v>#REF!</v>
      </c>
      <c r="O260" s="542"/>
      <c r="P260" s="445" t="e">
        <f t="shared" si="223"/>
        <v>#REF!</v>
      </c>
      <c r="Q260" s="542"/>
      <c r="R260" s="445" t="e">
        <f t="shared" si="224"/>
        <v>#REF!</v>
      </c>
      <c r="S260" s="542"/>
      <c r="T260" s="445" t="e">
        <f t="shared" si="225"/>
        <v>#REF!</v>
      </c>
      <c r="V260" s="581" t="e">
        <f>+'7,1,3,3  Registro R. W. 1"'!I20</f>
        <v>#REF!</v>
      </c>
      <c r="W260" s="582" t="e">
        <f t="shared" si="226"/>
        <v>#REF!</v>
      </c>
      <c r="X260" s="581">
        <f>+'7,1,3,3  Registro R. W. 1"'!I51</f>
        <v>5982</v>
      </c>
      <c r="Y260" s="582">
        <f t="shared" si="227"/>
        <v>0</v>
      </c>
      <c r="Z260" s="581">
        <f>+'7,1,3,3  Registro R. W. 1"'!I31</f>
        <v>148.4</v>
      </c>
      <c r="AA260" s="582">
        <f t="shared" si="228"/>
        <v>0</v>
      </c>
      <c r="AB260" s="581">
        <f>+'7,1,3,3  Registro R. W. 1"'!I42</f>
        <v>0</v>
      </c>
      <c r="AC260" s="582">
        <f t="shared" si="229"/>
        <v>0</v>
      </c>
      <c r="AE260" s="769" t="e">
        <f t="shared" si="168"/>
        <v>#REF!</v>
      </c>
    </row>
    <row r="261" spans="1:31" ht="15" customHeight="1" x14ac:dyDescent="0.2">
      <c r="A261" s="611" t="s">
        <v>1016</v>
      </c>
      <c r="B261" s="601" t="s">
        <v>1017</v>
      </c>
      <c r="C261" s="611" t="s">
        <v>111</v>
      </c>
      <c r="D261" s="576">
        <f t="shared" si="218"/>
        <v>3</v>
      </c>
      <c r="E261" s="577" t="e">
        <f t="shared" si="207"/>
        <v>#REF!</v>
      </c>
      <c r="F261" s="577" t="e">
        <f t="shared" si="219"/>
        <v>#REF!</v>
      </c>
      <c r="G261" s="578"/>
      <c r="I261" s="584"/>
      <c r="J261" s="585" t="e">
        <f t="shared" si="220"/>
        <v>#REF!</v>
      </c>
      <c r="K261" s="537"/>
      <c r="L261" s="445" t="e">
        <f t="shared" si="221"/>
        <v>#REF!</v>
      </c>
      <c r="M261" s="542"/>
      <c r="N261" s="445" t="e">
        <f t="shared" si="222"/>
        <v>#REF!</v>
      </c>
      <c r="O261" s="542">
        <v>3</v>
      </c>
      <c r="P261" s="445" t="e">
        <f t="shared" si="223"/>
        <v>#REF!</v>
      </c>
      <c r="Q261" s="542"/>
      <c r="R261" s="445" t="e">
        <f t="shared" si="224"/>
        <v>#REF!</v>
      </c>
      <c r="S261" s="542"/>
      <c r="T261" s="445" t="e">
        <f t="shared" si="225"/>
        <v>#REF!</v>
      </c>
      <c r="V261" s="581" t="e">
        <f>'7,1,3,4  Cheque Helber 1"'!I20</f>
        <v>#REF!</v>
      </c>
      <c r="W261" s="582" t="e">
        <f t="shared" si="226"/>
        <v>#REF!</v>
      </c>
      <c r="X261" s="581">
        <f>'7,1,3,4  Cheque Helber 1"'!I51</f>
        <v>5982</v>
      </c>
      <c r="Y261" s="582">
        <f t="shared" si="227"/>
        <v>17946</v>
      </c>
      <c r="Z261" s="581">
        <f>'7,1,3,4  Cheque Helber 1"'!I31</f>
        <v>148.4</v>
      </c>
      <c r="AA261" s="582">
        <f t="shared" si="228"/>
        <v>445.2</v>
      </c>
      <c r="AB261" s="581">
        <f>'7,1,3,4  Cheque Helber 1"'!I42</f>
        <v>0</v>
      </c>
      <c r="AC261" s="582">
        <f t="shared" si="229"/>
        <v>0</v>
      </c>
      <c r="AE261" s="769" t="e">
        <f t="shared" si="168"/>
        <v>#REF!</v>
      </c>
    </row>
    <row r="262" spans="1:31" ht="15" hidden="1" customHeight="1" x14ac:dyDescent="0.2">
      <c r="A262" s="611" t="s">
        <v>1018</v>
      </c>
      <c r="B262" s="601" t="s">
        <v>1019</v>
      </c>
      <c r="C262" s="611" t="s">
        <v>111</v>
      </c>
      <c r="D262" s="576">
        <f t="shared" si="218"/>
        <v>0</v>
      </c>
      <c r="E262" s="577">
        <f t="shared" si="207"/>
        <v>0</v>
      </c>
      <c r="F262" s="577">
        <f t="shared" si="219"/>
        <v>0</v>
      </c>
      <c r="G262" s="578"/>
      <c r="I262" s="584"/>
      <c r="J262" s="585">
        <f t="shared" si="220"/>
        <v>0</v>
      </c>
      <c r="K262" s="537"/>
      <c r="L262" s="445">
        <f t="shared" si="221"/>
        <v>0</v>
      </c>
      <c r="M262" s="542"/>
      <c r="N262" s="445">
        <f t="shared" si="222"/>
        <v>0</v>
      </c>
      <c r="O262" s="542"/>
      <c r="P262" s="445">
        <f t="shared" si="223"/>
        <v>0</v>
      </c>
      <c r="Q262" s="542"/>
      <c r="R262" s="445">
        <f t="shared" si="224"/>
        <v>0</v>
      </c>
      <c r="S262" s="542"/>
      <c r="T262" s="445">
        <f t="shared" si="225"/>
        <v>0</v>
      </c>
      <c r="V262" s="581"/>
      <c r="W262" s="582">
        <f t="shared" si="226"/>
        <v>0</v>
      </c>
      <c r="X262" s="581"/>
      <c r="Y262" s="582">
        <f t="shared" si="227"/>
        <v>0</v>
      </c>
      <c r="Z262" s="581"/>
      <c r="AA262" s="582">
        <f t="shared" si="228"/>
        <v>0</v>
      </c>
      <c r="AB262" s="581"/>
      <c r="AC262" s="582">
        <f t="shared" si="229"/>
        <v>0</v>
      </c>
      <c r="AE262" s="769">
        <f t="shared" si="168"/>
        <v>0</v>
      </c>
    </row>
    <row r="263" spans="1:31" ht="15" hidden="1" customHeight="1" x14ac:dyDescent="0.2">
      <c r="A263" s="611" t="s">
        <v>1020</v>
      </c>
      <c r="B263" s="601" t="s">
        <v>1021</v>
      </c>
      <c r="C263" s="611" t="s">
        <v>111</v>
      </c>
      <c r="D263" s="576">
        <f t="shared" si="218"/>
        <v>0</v>
      </c>
      <c r="E263" s="577">
        <f t="shared" si="207"/>
        <v>0</v>
      </c>
      <c r="F263" s="577">
        <f t="shared" si="219"/>
        <v>0</v>
      </c>
      <c r="G263" s="578"/>
      <c r="I263" s="584"/>
      <c r="J263" s="585">
        <f t="shared" si="220"/>
        <v>0</v>
      </c>
      <c r="K263" s="537"/>
      <c r="L263" s="445">
        <f t="shared" si="221"/>
        <v>0</v>
      </c>
      <c r="M263" s="542"/>
      <c r="N263" s="445">
        <f t="shared" si="222"/>
        <v>0</v>
      </c>
      <c r="O263" s="542"/>
      <c r="P263" s="445">
        <f t="shared" si="223"/>
        <v>0</v>
      </c>
      <c r="Q263" s="542"/>
      <c r="R263" s="445">
        <f t="shared" si="224"/>
        <v>0</v>
      </c>
      <c r="S263" s="542"/>
      <c r="T263" s="445">
        <f t="shared" si="225"/>
        <v>0</v>
      </c>
      <c r="V263" s="581"/>
      <c r="W263" s="582">
        <f t="shared" si="226"/>
        <v>0</v>
      </c>
      <c r="X263" s="581"/>
      <c r="Y263" s="582">
        <f t="shared" si="227"/>
        <v>0</v>
      </c>
      <c r="Z263" s="581"/>
      <c r="AA263" s="582">
        <f t="shared" si="228"/>
        <v>0</v>
      </c>
      <c r="AB263" s="581"/>
      <c r="AC263" s="582">
        <f t="shared" si="229"/>
        <v>0</v>
      </c>
      <c r="AE263" s="769">
        <f t="shared" si="168"/>
        <v>0</v>
      </c>
    </row>
    <row r="264" spans="1:31" ht="15" customHeight="1" x14ac:dyDescent="0.2">
      <c r="A264" s="611" t="s">
        <v>1022</v>
      </c>
      <c r="B264" s="649" t="s">
        <v>1023</v>
      </c>
      <c r="C264" s="611" t="s">
        <v>111</v>
      </c>
      <c r="D264" s="576">
        <f t="shared" si="218"/>
        <v>1</v>
      </c>
      <c r="E264" s="577" t="e">
        <f t="shared" si="207"/>
        <v>#REF!</v>
      </c>
      <c r="F264" s="577" t="e">
        <f t="shared" si="219"/>
        <v>#REF!</v>
      </c>
      <c r="G264" s="578"/>
      <c r="I264" s="597"/>
      <c r="J264" s="598" t="e">
        <f t="shared" si="220"/>
        <v>#REF!</v>
      </c>
      <c r="K264" s="537"/>
      <c r="L264" s="445" t="e">
        <f t="shared" si="221"/>
        <v>#REF!</v>
      </c>
      <c r="M264" s="542"/>
      <c r="N264" s="445" t="e">
        <f t="shared" si="222"/>
        <v>#REF!</v>
      </c>
      <c r="O264" s="542">
        <v>1</v>
      </c>
      <c r="P264" s="445" t="e">
        <f t="shared" si="223"/>
        <v>#REF!</v>
      </c>
      <c r="Q264" s="542"/>
      <c r="R264" s="445" t="e">
        <f t="shared" si="224"/>
        <v>#REF!</v>
      </c>
      <c r="S264" s="542"/>
      <c r="T264" s="445" t="e">
        <f t="shared" si="225"/>
        <v>#REF!</v>
      </c>
      <c r="V264" s="581" t="e">
        <f>#REF!</f>
        <v>#REF!</v>
      </c>
      <c r="W264" s="582" t="e">
        <f t="shared" si="226"/>
        <v>#REF!</v>
      </c>
      <c r="X264" s="581" t="e">
        <f>#REF!</f>
        <v>#REF!</v>
      </c>
      <c r="Y264" s="582" t="e">
        <f t="shared" si="227"/>
        <v>#REF!</v>
      </c>
      <c r="Z264" s="581" t="e">
        <f>#REF!</f>
        <v>#REF!</v>
      </c>
      <c r="AA264" s="582" t="e">
        <f t="shared" si="228"/>
        <v>#REF!</v>
      </c>
      <c r="AB264" s="581" t="e">
        <f>#REF!</f>
        <v>#REF!</v>
      </c>
      <c r="AC264" s="582" t="e">
        <f t="shared" si="229"/>
        <v>#REF!</v>
      </c>
      <c r="AE264" s="769" t="e">
        <f t="shared" si="168"/>
        <v>#REF!</v>
      </c>
    </row>
    <row r="265" spans="1:31" ht="15" hidden="1" customHeight="1" x14ac:dyDescent="0.2">
      <c r="A265" s="572" t="s">
        <v>1024</v>
      </c>
      <c r="B265" s="573" t="s">
        <v>1025</v>
      </c>
      <c r="C265" s="846"/>
      <c r="D265" s="576"/>
      <c r="E265" s="577"/>
      <c r="F265" s="180" t="e">
        <f>+ROUND(SUM(F266:F272),10)</f>
        <v>#REF!</v>
      </c>
      <c r="G265" s="473"/>
      <c r="H265" s="568"/>
      <c r="I265" s="613"/>
      <c r="J265" s="440" t="e">
        <f>ROUND(SUM(J266:J272),10)</f>
        <v>#REF!</v>
      </c>
      <c r="K265" s="537"/>
      <c r="L265" s="180" t="e">
        <f>ROUND(SUM(L266:L272),10)</f>
        <v>#REF!</v>
      </c>
      <c r="M265" s="542"/>
      <c r="N265" s="180" t="e">
        <f>ROUND(SUM(N266:N272),10)</f>
        <v>#REF!</v>
      </c>
      <c r="O265" s="542"/>
      <c r="P265" s="180" t="e">
        <f>ROUND(SUM(P266:P272),10)</f>
        <v>#REF!</v>
      </c>
      <c r="Q265" s="542"/>
      <c r="R265" s="180" t="e">
        <f>ROUND(SUM(R266:R272),10)</f>
        <v>#REF!</v>
      </c>
      <c r="S265" s="542"/>
      <c r="T265" s="180" t="e">
        <f>ROUND(SUM(T266:T272),10)</f>
        <v>#REF!</v>
      </c>
      <c r="U265" s="568"/>
      <c r="V265" s="575"/>
      <c r="W265" s="570" t="e">
        <f>ROUND(SUM(W266:W272),10)</f>
        <v>#REF!</v>
      </c>
      <c r="X265" s="575"/>
      <c r="Y265" s="570">
        <f>ROUND(SUM(Y266:Y272),10)</f>
        <v>0</v>
      </c>
      <c r="Z265" s="575"/>
      <c r="AA265" s="570">
        <f>ROUND(SUM(AA266:AA272),10)</f>
        <v>0</v>
      </c>
      <c r="AB265" s="575"/>
      <c r="AC265" s="570">
        <f>ROUND(SUM(AC266:AC272),10)</f>
        <v>0</v>
      </c>
      <c r="AE265" s="769" t="e">
        <f t="shared" si="168"/>
        <v>#REF!</v>
      </c>
    </row>
    <row r="266" spans="1:31" ht="15" hidden="1" customHeight="1" x14ac:dyDescent="0.2">
      <c r="A266" s="611" t="s">
        <v>1026</v>
      </c>
      <c r="B266" s="601" t="s">
        <v>1027</v>
      </c>
      <c r="C266" s="611" t="s">
        <v>114</v>
      </c>
      <c r="D266" s="576">
        <f t="shared" ref="D266:D272" si="230">+I266+K266+M266+O266+Q266+S266</f>
        <v>0</v>
      </c>
      <c r="E266" s="577" t="e">
        <f t="shared" si="207"/>
        <v>#REF!</v>
      </c>
      <c r="F266" s="577" t="e">
        <f t="shared" ref="F266:F272" si="231">ROUND(D266*E266,10)</f>
        <v>#REF!</v>
      </c>
      <c r="G266" s="578"/>
      <c r="I266" s="594"/>
      <c r="J266" s="580" t="e">
        <f t="shared" ref="J266:J272" si="232">+ROUND(E266*I266,10)</f>
        <v>#REF!</v>
      </c>
      <c r="K266" s="537"/>
      <c r="L266" s="445" t="e">
        <f t="shared" ref="L266:L272" si="233">+ROUND(E266*K266,10)</f>
        <v>#REF!</v>
      </c>
      <c r="M266" s="542"/>
      <c r="N266" s="445" t="e">
        <f t="shared" ref="N266:N272" si="234">+ROUND(E266*M266,10)</f>
        <v>#REF!</v>
      </c>
      <c r="O266" s="542"/>
      <c r="P266" s="445" t="e">
        <f t="shared" ref="P266:P272" si="235">+ROUND(E266*O266,10)</f>
        <v>#REF!</v>
      </c>
      <c r="Q266" s="542"/>
      <c r="R266" s="445" t="e">
        <f t="shared" ref="R266:R272" si="236">+ROUND(E266*Q266,10)</f>
        <v>#REF!</v>
      </c>
      <c r="S266" s="542"/>
      <c r="T266" s="445" t="e">
        <f t="shared" ref="T266:T272" si="237">+ROUND(E266*S266,10)</f>
        <v>#REF!</v>
      </c>
      <c r="V266" s="581" t="e">
        <f>+'7,1,4,1 Tuberia H.G. 1 1.2"'!I20</f>
        <v>#REF!</v>
      </c>
      <c r="W266" s="582" t="e">
        <f t="shared" ref="W266:W272" si="238">ROUND(V266*$D266,10)</f>
        <v>#REF!</v>
      </c>
      <c r="X266" s="581">
        <f>+'7,1,4,1 Tuberia H.G. 1 1.2"'!I51</f>
        <v>5509.73</v>
      </c>
      <c r="Y266" s="582">
        <f t="shared" ref="Y266:Y272" si="239">ROUND(X266*$D266,10)</f>
        <v>0</v>
      </c>
      <c r="Z266" s="581">
        <f>+'7,1,4,1 Tuberia H.G. 1 1.2"'!I31</f>
        <v>148.4</v>
      </c>
      <c r="AA266" s="582">
        <f t="shared" ref="AA266:AA272" si="240">ROUND(Z266*$D266,10)</f>
        <v>0</v>
      </c>
      <c r="AB266" s="581">
        <f>+'7,1,4,1 Tuberia H.G. 1 1.2"'!I42</f>
        <v>0</v>
      </c>
      <c r="AC266" s="582">
        <f t="shared" ref="AC266:AC272" si="241">ROUND(AB266*$D266,10)</f>
        <v>0</v>
      </c>
      <c r="AE266" s="769" t="e">
        <f t="shared" si="168"/>
        <v>#REF!</v>
      </c>
    </row>
    <row r="267" spans="1:31" ht="15" hidden="1" customHeight="1" x14ac:dyDescent="0.2">
      <c r="A267" s="611" t="s">
        <v>1028</v>
      </c>
      <c r="B267" s="601" t="s">
        <v>1029</v>
      </c>
      <c r="C267" s="611" t="s">
        <v>111</v>
      </c>
      <c r="D267" s="576">
        <f t="shared" si="230"/>
        <v>0</v>
      </c>
      <c r="E267" s="577" t="e">
        <f>V267+X267+Z267+AB267</f>
        <v>#REF!</v>
      </c>
      <c r="F267" s="577" t="e">
        <f t="shared" si="231"/>
        <v>#REF!</v>
      </c>
      <c r="G267" s="578"/>
      <c r="I267" s="584"/>
      <c r="J267" s="585" t="e">
        <f t="shared" si="232"/>
        <v>#REF!</v>
      </c>
      <c r="K267" s="537"/>
      <c r="L267" s="445" t="e">
        <f t="shared" si="233"/>
        <v>#REF!</v>
      </c>
      <c r="M267" s="542"/>
      <c r="N267" s="445" t="e">
        <f t="shared" si="234"/>
        <v>#REF!</v>
      </c>
      <c r="O267" s="542"/>
      <c r="P267" s="445" t="e">
        <f t="shared" si="235"/>
        <v>#REF!</v>
      </c>
      <c r="Q267" s="542"/>
      <c r="R267" s="445" t="e">
        <f t="shared" si="236"/>
        <v>#REF!</v>
      </c>
      <c r="S267" s="542"/>
      <c r="T267" s="445" t="e">
        <f t="shared" si="237"/>
        <v>#REF!</v>
      </c>
      <c r="V267" s="581" t="e">
        <f>+'7,1,4,2  Accesorio H.G.1 1.2"'!I20</f>
        <v>#REF!</v>
      </c>
      <c r="W267" s="582" t="e">
        <f t="shared" si="238"/>
        <v>#REF!</v>
      </c>
      <c r="X267" s="581">
        <f>+'7,1,4,2  Accesorio H.G.1 1.2"'!I51</f>
        <v>1046.8499999999999</v>
      </c>
      <c r="Y267" s="582">
        <f t="shared" si="239"/>
        <v>0</v>
      </c>
      <c r="Z267" s="581">
        <f>+'7,1,4,2  Accesorio H.G.1 1.2"'!I31</f>
        <v>148.4</v>
      </c>
      <c r="AA267" s="582">
        <f t="shared" si="240"/>
        <v>0</v>
      </c>
      <c r="AB267" s="581">
        <f>+'7,1,4,2  Accesorio H.G.1 1.2"'!I42</f>
        <v>0</v>
      </c>
      <c r="AC267" s="582">
        <f t="shared" si="241"/>
        <v>0</v>
      </c>
      <c r="AE267" s="769" t="e">
        <f t="shared" si="168"/>
        <v>#REF!</v>
      </c>
    </row>
    <row r="268" spans="1:31" ht="15" hidden="1" customHeight="1" x14ac:dyDescent="0.2">
      <c r="A268" s="611" t="s">
        <v>1030</v>
      </c>
      <c r="B268" s="601" t="s">
        <v>1031</v>
      </c>
      <c r="C268" s="611" t="s">
        <v>111</v>
      </c>
      <c r="D268" s="576">
        <f t="shared" si="230"/>
        <v>0</v>
      </c>
      <c r="E268" s="577" t="e">
        <f t="shared" si="207"/>
        <v>#REF!</v>
      </c>
      <c r="F268" s="577" t="e">
        <f t="shared" si="231"/>
        <v>#REF!</v>
      </c>
      <c r="G268" s="578"/>
      <c r="I268" s="584"/>
      <c r="J268" s="585" t="e">
        <f t="shared" si="232"/>
        <v>#REF!</v>
      </c>
      <c r="K268" s="537"/>
      <c r="L268" s="445" t="e">
        <f t="shared" si="233"/>
        <v>#REF!</v>
      </c>
      <c r="M268" s="542"/>
      <c r="N268" s="445" t="e">
        <f t="shared" si="234"/>
        <v>#REF!</v>
      </c>
      <c r="O268" s="542"/>
      <c r="P268" s="445" t="e">
        <f t="shared" si="235"/>
        <v>#REF!</v>
      </c>
      <c r="Q268" s="542"/>
      <c r="R268" s="445" t="e">
        <f t="shared" si="236"/>
        <v>#REF!</v>
      </c>
      <c r="S268" s="542"/>
      <c r="T268" s="445" t="e">
        <f t="shared" si="237"/>
        <v>#REF!</v>
      </c>
      <c r="V268" s="581" t="e">
        <f>+'7,1,4,3  Registro R. W. 1. 1.2"'!I20</f>
        <v>#REF!</v>
      </c>
      <c r="W268" s="582" t="e">
        <f t="shared" si="238"/>
        <v>#REF!</v>
      </c>
      <c r="X268" s="581">
        <f>+'7,1,4,3  Registro R. W. 1. 1.2"'!I51</f>
        <v>5982</v>
      </c>
      <c r="Y268" s="582">
        <f t="shared" si="239"/>
        <v>0</v>
      </c>
      <c r="Z268" s="581">
        <f>+'7,1,4,3  Registro R. W. 1. 1.2"'!I31</f>
        <v>148.4</v>
      </c>
      <c r="AA268" s="582">
        <f t="shared" si="240"/>
        <v>0</v>
      </c>
      <c r="AB268" s="581">
        <f>+'7,1,4,3  Registro R. W. 1. 1.2"'!I42</f>
        <v>0</v>
      </c>
      <c r="AC268" s="582">
        <f t="shared" si="241"/>
        <v>0</v>
      </c>
      <c r="AE268" s="769" t="e">
        <f t="shared" si="168"/>
        <v>#REF!</v>
      </c>
    </row>
    <row r="269" spans="1:31" ht="15" hidden="1" customHeight="1" x14ac:dyDescent="0.2">
      <c r="A269" s="611" t="s">
        <v>1032</v>
      </c>
      <c r="B269" s="601" t="s">
        <v>1033</v>
      </c>
      <c r="C269" s="611" t="s">
        <v>111</v>
      </c>
      <c r="D269" s="576">
        <f t="shared" si="230"/>
        <v>0</v>
      </c>
      <c r="E269" s="577" t="e">
        <f t="shared" si="207"/>
        <v>#REF!</v>
      </c>
      <c r="F269" s="577" t="e">
        <f t="shared" si="231"/>
        <v>#REF!</v>
      </c>
      <c r="G269" s="578"/>
      <c r="I269" s="584"/>
      <c r="J269" s="585" t="e">
        <f t="shared" si="232"/>
        <v>#REF!</v>
      </c>
      <c r="K269" s="537"/>
      <c r="L269" s="445" t="e">
        <f t="shared" si="233"/>
        <v>#REF!</v>
      </c>
      <c r="M269" s="542"/>
      <c r="N269" s="445" t="e">
        <f t="shared" si="234"/>
        <v>#REF!</v>
      </c>
      <c r="O269" s="542"/>
      <c r="P269" s="445" t="e">
        <f t="shared" si="235"/>
        <v>#REF!</v>
      </c>
      <c r="Q269" s="542"/>
      <c r="R269" s="445" t="e">
        <f t="shared" si="236"/>
        <v>#REF!</v>
      </c>
      <c r="S269" s="542"/>
      <c r="T269" s="445" t="e">
        <f t="shared" si="237"/>
        <v>#REF!</v>
      </c>
      <c r="V269" s="581" t="e">
        <f>+'7,1,4,4  Cheque  Helber 1 1.2"'!I20</f>
        <v>#REF!</v>
      </c>
      <c r="W269" s="582" t="e">
        <f t="shared" si="238"/>
        <v>#REF!</v>
      </c>
      <c r="X269" s="581">
        <f>+'7,1,4,4  Cheque  Helber 1 1.2"'!I51</f>
        <v>5982</v>
      </c>
      <c r="Y269" s="582">
        <f t="shared" si="239"/>
        <v>0</v>
      </c>
      <c r="Z269" s="581">
        <f>+'7,1,4,4  Cheque  Helber 1 1.2"'!I31</f>
        <v>148.4</v>
      </c>
      <c r="AA269" s="582">
        <f t="shared" si="240"/>
        <v>0</v>
      </c>
      <c r="AB269" s="581">
        <f>+'7,1,4,4  Cheque  Helber 1 1.2"'!I42</f>
        <v>0</v>
      </c>
      <c r="AC269" s="582">
        <f t="shared" si="241"/>
        <v>0</v>
      </c>
      <c r="AE269" s="769" t="e">
        <f t="shared" ref="AE269:AE332" si="242">SUM(AC269,AA269,Y269,W269)-SUM(T269,R269,P269,N269,L269)</f>
        <v>#REF!</v>
      </c>
    </row>
    <row r="270" spans="1:31" ht="15" hidden="1" customHeight="1" x14ac:dyDescent="0.2">
      <c r="A270" s="611" t="s">
        <v>1034</v>
      </c>
      <c r="B270" s="601" t="s">
        <v>1019</v>
      </c>
      <c r="C270" s="611" t="s">
        <v>111</v>
      </c>
      <c r="D270" s="576">
        <f t="shared" si="230"/>
        <v>0</v>
      </c>
      <c r="E270" s="577">
        <f t="shared" si="207"/>
        <v>0</v>
      </c>
      <c r="F270" s="577">
        <f t="shared" si="231"/>
        <v>0</v>
      </c>
      <c r="G270" s="578"/>
      <c r="I270" s="584"/>
      <c r="J270" s="585">
        <f t="shared" si="232"/>
        <v>0</v>
      </c>
      <c r="K270" s="537"/>
      <c r="L270" s="445">
        <f t="shared" si="233"/>
        <v>0</v>
      </c>
      <c r="M270" s="542"/>
      <c r="N270" s="445">
        <f t="shared" si="234"/>
        <v>0</v>
      </c>
      <c r="O270" s="542"/>
      <c r="P270" s="445">
        <f t="shared" si="235"/>
        <v>0</v>
      </c>
      <c r="Q270" s="542"/>
      <c r="R270" s="445">
        <f t="shared" si="236"/>
        <v>0</v>
      </c>
      <c r="S270" s="542"/>
      <c r="T270" s="445">
        <f t="shared" si="237"/>
        <v>0</v>
      </c>
      <c r="V270" s="581"/>
      <c r="W270" s="582">
        <f t="shared" si="238"/>
        <v>0</v>
      </c>
      <c r="X270" s="581"/>
      <c r="Y270" s="582">
        <f t="shared" si="239"/>
        <v>0</v>
      </c>
      <c r="Z270" s="581"/>
      <c r="AA270" s="582">
        <f t="shared" si="240"/>
        <v>0</v>
      </c>
      <c r="AB270" s="581"/>
      <c r="AC270" s="582">
        <f t="shared" si="241"/>
        <v>0</v>
      </c>
      <c r="AE270" s="769">
        <f t="shared" si="242"/>
        <v>0</v>
      </c>
    </row>
    <row r="271" spans="1:31" ht="15" hidden="1" customHeight="1" x14ac:dyDescent="0.2">
      <c r="A271" s="611" t="s">
        <v>1035</v>
      </c>
      <c r="B271" s="601" t="s">
        <v>1021</v>
      </c>
      <c r="C271" s="611" t="s">
        <v>111</v>
      </c>
      <c r="D271" s="576">
        <f t="shared" si="230"/>
        <v>0</v>
      </c>
      <c r="E271" s="577">
        <f t="shared" si="207"/>
        <v>0</v>
      </c>
      <c r="F271" s="577">
        <f t="shared" si="231"/>
        <v>0</v>
      </c>
      <c r="G271" s="578"/>
      <c r="I271" s="584"/>
      <c r="J271" s="585">
        <f t="shared" si="232"/>
        <v>0</v>
      </c>
      <c r="K271" s="537"/>
      <c r="L271" s="445">
        <f t="shared" si="233"/>
        <v>0</v>
      </c>
      <c r="M271" s="542"/>
      <c r="N271" s="445">
        <f t="shared" si="234"/>
        <v>0</v>
      </c>
      <c r="O271" s="542"/>
      <c r="P271" s="445">
        <f t="shared" si="235"/>
        <v>0</v>
      </c>
      <c r="Q271" s="542"/>
      <c r="R271" s="445">
        <f t="shared" si="236"/>
        <v>0</v>
      </c>
      <c r="S271" s="542"/>
      <c r="T271" s="445">
        <f t="shared" si="237"/>
        <v>0</v>
      </c>
      <c r="V271" s="581"/>
      <c r="W271" s="582">
        <f t="shared" si="238"/>
        <v>0</v>
      </c>
      <c r="X271" s="581"/>
      <c r="Y271" s="582">
        <f t="shared" si="239"/>
        <v>0</v>
      </c>
      <c r="Z271" s="581"/>
      <c r="AA271" s="582">
        <f t="shared" si="240"/>
        <v>0</v>
      </c>
      <c r="AB271" s="581"/>
      <c r="AC271" s="582">
        <f t="shared" si="241"/>
        <v>0</v>
      </c>
      <c r="AE271" s="769">
        <f t="shared" si="242"/>
        <v>0</v>
      </c>
    </row>
    <row r="272" spans="1:31" ht="15" hidden="1" customHeight="1" x14ac:dyDescent="0.2">
      <c r="A272" s="611" t="s">
        <v>1036</v>
      </c>
      <c r="B272" s="601" t="s">
        <v>1037</v>
      </c>
      <c r="C272" s="611" t="s">
        <v>111</v>
      </c>
      <c r="D272" s="576">
        <f t="shared" si="230"/>
        <v>0</v>
      </c>
      <c r="E272" s="577">
        <f t="shared" si="207"/>
        <v>0</v>
      </c>
      <c r="F272" s="577">
        <f t="shared" si="231"/>
        <v>0</v>
      </c>
      <c r="G272" s="578"/>
      <c r="I272" s="597"/>
      <c r="J272" s="598">
        <f t="shared" si="232"/>
        <v>0</v>
      </c>
      <c r="K272" s="537"/>
      <c r="L272" s="445">
        <f t="shared" si="233"/>
        <v>0</v>
      </c>
      <c r="M272" s="542"/>
      <c r="N272" s="445">
        <f t="shared" si="234"/>
        <v>0</v>
      </c>
      <c r="O272" s="542"/>
      <c r="P272" s="445">
        <f t="shared" si="235"/>
        <v>0</v>
      </c>
      <c r="Q272" s="542"/>
      <c r="R272" s="445">
        <f t="shared" si="236"/>
        <v>0</v>
      </c>
      <c r="S272" s="542"/>
      <c r="T272" s="445">
        <f t="shared" si="237"/>
        <v>0</v>
      </c>
      <c r="V272" s="581"/>
      <c r="W272" s="582">
        <f t="shared" si="238"/>
        <v>0</v>
      </c>
      <c r="X272" s="581"/>
      <c r="Y272" s="582">
        <f t="shared" si="239"/>
        <v>0</v>
      </c>
      <c r="Z272" s="581"/>
      <c r="AA272" s="582">
        <f t="shared" si="240"/>
        <v>0</v>
      </c>
      <c r="AB272" s="581"/>
      <c r="AC272" s="582">
        <f t="shared" si="241"/>
        <v>0</v>
      </c>
      <c r="AE272" s="769">
        <f t="shared" si="242"/>
        <v>0</v>
      </c>
    </row>
    <row r="273" spans="1:31" s="595" customFormat="1" ht="15.75" x14ac:dyDescent="0.2">
      <c r="A273" s="572" t="s">
        <v>1038</v>
      </c>
      <c r="B273" s="573" t="s">
        <v>1039</v>
      </c>
      <c r="C273" s="846"/>
      <c r="D273" s="576"/>
      <c r="E273" s="577"/>
      <c r="F273" s="180" t="e">
        <f>+ROUND(SUM(F274:F281),10)</f>
        <v>#REF!</v>
      </c>
      <c r="G273" s="473"/>
      <c r="H273" s="568"/>
      <c r="I273" s="613"/>
      <c r="J273" s="440" t="e">
        <f>ROUND(SUM(J274:J281),10)</f>
        <v>#REF!</v>
      </c>
      <c r="K273" s="537"/>
      <c r="L273" s="180" t="e">
        <f>ROUND(SUM(L274:L281),10)</f>
        <v>#REF!</v>
      </c>
      <c r="M273" s="542"/>
      <c r="N273" s="180" t="e">
        <f>ROUND(SUM(N274:N281),10)</f>
        <v>#REF!</v>
      </c>
      <c r="O273" s="542"/>
      <c r="P273" s="180" t="e">
        <f>ROUND(SUM(P274:P281),10)</f>
        <v>#REF!</v>
      </c>
      <c r="Q273" s="542"/>
      <c r="R273" s="180" t="e">
        <f>ROUND(SUM(R274:R281),10)</f>
        <v>#REF!</v>
      </c>
      <c r="S273" s="542"/>
      <c r="T273" s="180" t="e">
        <f>ROUND(SUM(T274:T281),10)</f>
        <v>#REF!</v>
      </c>
      <c r="U273" s="568"/>
      <c r="V273" s="575"/>
      <c r="W273" s="570" t="e">
        <f>ROUND(SUM(W274:W281),10)</f>
        <v>#REF!</v>
      </c>
      <c r="X273" s="575"/>
      <c r="Y273" s="570" t="e">
        <f>ROUND(SUM(Y274:Y281),10)</f>
        <v>#REF!</v>
      </c>
      <c r="Z273" s="575"/>
      <c r="AA273" s="570" t="e">
        <f>ROUND(SUM(AA274:AA281),10)</f>
        <v>#REF!</v>
      </c>
      <c r="AB273" s="575"/>
      <c r="AC273" s="570" t="e">
        <f>ROUND(SUM(AC274:AC281),10)</f>
        <v>#REF!</v>
      </c>
      <c r="AD273" s="912"/>
      <c r="AE273" s="769" t="e">
        <f t="shared" si="242"/>
        <v>#REF!</v>
      </c>
    </row>
    <row r="274" spans="1:31" s="595" customFormat="1" ht="15" hidden="1" customHeight="1" x14ac:dyDescent="0.2">
      <c r="A274" s="611" t="s">
        <v>1040</v>
      </c>
      <c r="B274" s="601" t="s">
        <v>1041</v>
      </c>
      <c r="C274" s="611" t="s">
        <v>111</v>
      </c>
      <c r="D274" s="576">
        <f t="shared" ref="D274:D281" si="243">+I274+K274+M274+O274+Q274+S274</f>
        <v>0</v>
      </c>
      <c r="E274" s="577" t="e">
        <f t="shared" si="207"/>
        <v>#REF!</v>
      </c>
      <c r="F274" s="577" t="e">
        <f t="shared" ref="F274:F281" si="244">ROUND(D274*E274,10)</f>
        <v>#REF!</v>
      </c>
      <c r="G274" s="578"/>
      <c r="H274" s="552"/>
      <c r="I274" s="594"/>
      <c r="J274" s="580" t="e">
        <f>+ROUND(E274*I274,10)</f>
        <v>#REF!</v>
      </c>
      <c r="K274" s="537"/>
      <c r="L274" s="445" t="e">
        <f>+ROUND(E274*K274,10)</f>
        <v>#REF!</v>
      </c>
      <c r="M274" s="542"/>
      <c r="N274" s="445" t="e">
        <f>+ROUND(E274*M274,10)</f>
        <v>#REF!</v>
      </c>
      <c r="O274" s="542"/>
      <c r="P274" s="445" t="e">
        <f t="shared" ref="P274:P281" si="245">+ROUND(E274*O274,10)</f>
        <v>#REF!</v>
      </c>
      <c r="Q274" s="542"/>
      <c r="R274" s="445" t="e">
        <f t="shared" ref="R274:R281" si="246">+ROUND(E274*Q274,10)</f>
        <v>#REF!</v>
      </c>
      <c r="S274" s="542"/>
      <c r="T274" s="445" t="e">
        <f t="shared" ref="T274:T281" si="247">+ROUND(E274*S274,10)</f>
        <v>#REF!</v>
      </c>
      <c r="U274" s="552"/>
      <c r="V274" s="581" t="e">
        <f>+#REF!</f>
        <v>#REF!</v>
      </c>
      <c r="W274" s="582" t="e">
        <f>ROUND(V274*$D274,10)</f>
        <v>#REF!</v>
      </c>
      <c r="X274" s="581" t="e">
        <f>+#REF!</f>
        <v>#REF!</v>
      </c>
      <c r="Y274" s="582" t="e">
        <f t="shared" ref="Y274:Y281" si="248">ROUND(X274*$D274,10)</f>
        <v>#REF!</v>
      </c>
      <c r="Z274" s="581" t="e">
        <f>+#REF!</f>
        <v>#REF!</v>
      </c>
      <c r="AA274" s="582" t="e">
        <f>ROUND(Z274*$D274,10)</f>
        <v>#REF!</v>
      </c>
      <c r="AB274" s="581" t="e">
        <f>+#REF!</f>
        <v>#REF!</v>
      </c>
      <c r="AC274" s="582" t="e">
        <f t="shared" ref="AC274:AC281" si="249">ROUND(AB274*$D274,10)</f>
        <v>#REF!</v>
      </c>
      <c r="AD274" s="912"/>
      <c r="AE274" s="769" t="e">
        <f t="shared" si="242"/>
        <v>#REF!</v>
      </c>
    </row>
    <row r="275" spans="1:31" s="595" customFormat="1" x14ac:dyDescent="0.2">
      <c r="A275" s="611" t="s">
        <v>1042</v>
      </c>
      <c r="B275" s="601" t="s">
        <v>1043</v>
      </c>
      <c r="C275" s="611" t="s">
        <v>111</v>
      </c>
      <c r="D275" s="576">
        <f t="shared" si="243"/>
        <v>3</v>
      </c>
      <c r="E275" s="577" t="e">
        <f t="shared" si="207"/>
        <v>#REF!</v>
      </c>
      <c r="F275" s="577" t="e">
        <f t="shared" si="244"/>
        <v>#REF!</v>
      </c>
      <c r="G275" s="578"/>
      <c r="H275" s="552"/>
      <c r="I275" s="594"/>
      <c r="J275" s="580"/>
      <c r="K275" s="537"/>
      <c r="L275" s="445" t="e">
        <f t="shared" ref="L275:L280" si="250">+ROUND(E275*K275,10)</f>
        <v>#REF!</v>
      </c>
      <c r="M275" s="542">
        <v>1</v>
      </c>
      <c r="N275" s="445" t="e">
        <f t="shared" ref="N275:N280" si="251">+ROUND(E275*M275,10)</f>
        <v>#REF!</v>
      </c>
      <c r="O275" s="542">
        <v>2</v>
      </c>
      <c r="P275" s="445" t="e">
        <f t="shared" si="245"/>
        <v>#REF!</v>
      </c>
      <c r="Q275" s="542"/>
      <c r="R275" s="445" t="e">
        <f t="shared" si="246"/>
        <v>#REF!</v>
      </c>
      <c r="S275" s="542"/>
      <c r="T275" s="445" t="e">
        <f t="shared" si="247"/>
        <v>#REF!</v>
      </c>
      <c r="U275" s="552"/>
      <c r="V275" s="581" t="e">
        <f>+#REF!</f>
        <v>#REF!</v>
      </c>
      <c r="W275" s="582" t="e">
        <f t="shared" ref="W275:W280" si="252">ROUND(V275*$D275,10)</f>
        <v>#REF!</v>
      </c>
      <c r="X275" s="581" t="e">
        <f>+#REF!</f>
        <v>#REF!</v>
      </c>
      <c r="Y275" s="582" t="e">
        <f t="shared" si="248"/>
        <v>#REF!</v>
      </c>
      <c r="Z275" s="581" t="e">
        <f>+#REF!</f>
        <v>#REF!</v>
      </c>
      <c r="AA275" s="582" t="e">
        <f t="shared" ref="AA275:AA280" si="253">ROUND(Z275*$D275,10)</f>
        <v>#REF!</v>
      </c>
      <c r="AB275" s="581" t="e">
        <f>+#REF!</f>
        <v>#REF!</v>
      </c>
      <c r="AC275" s="582" t="e">
        <f t="shared" si="249"/>
        <v>#REF!</v>
      </c>
      <c r="AD275" s="912"/>
      <c r="AE275" s="769" t="e">
        <f t="shared" si="242"/>
        <v>#REF!</v>
      </c>
    </row>
    <row r="276" spans="1:31" s="595" customFormat="1" ht="15.75" customHeight="1" x14ac:dyDescent="0.2">
      <c r="A276" s="611" t="s">
        <v>1044</v>
      </c>
      <c r="B276" s="601" t="s">
        <v>1045</v>
      </c>
      <c r="C276" s="611" t="s">
        <v>111</v>
      </c>
      <c r="D276" s="576">
        <f t="shared" si="243"/>
        <v>19</v>
      </c>
      <c r="E276" s="577" t="e">
        <f t="shared" si="207"/>
        <v>#REF!</v>
      </c>
      <c r="F276" s="577" t="e">
        <f t="shared" si="244"/>
        <v>#REF!</v>
      </c>
      <c r="G276" s="578"/>
      <c r="H276" s="552"/>
      <c r="I276" s="594"/>
      <c r="J276" s="580"/>
      <c r="K276" s="537"/>
      <c r="L276" s="445" t="e">
        <f t="shared" si="250"/>
        <v>#REF!</v>
      </c>
      <c r="M276" s="542">
        <v>8</v>
      </c>
      <c r="N276" s="445" t="e">
        <f t="shared" si="251"/>
        <v>#REF!</v>
      </c>
      <c r="O276" s="542">
        <v>11</v>
      </c>
      <c r="P276" s="445" t="e">
        <f t="shared" si="245"/>
        <v>#REF!</v>
      </c>
      <c r="Q276" s="542"/>
      <c r="R276" s="445" t="e">
        <f t="shared" si="246"/>
        <v>#REF!</v>
      </c>
      <c r="S276" s="542"/>
      <c r="T276" s="445" t="e">
        <f t="shared" si="247"/>
        <v>#REF!</v>
      </c>
      <c r="U276" s="552"/>
      <c r="V276" s="581" t="e">
        <f>+#REF!</f>
        <v>#REF!</v>
      </c>
      <c r="W276" s="582" t="e">
        <f t="shared" si="252"/>
        <v>#REF!</v>
      </c>
      <c r="X276" s="581" t="e">
        <f>+#REF!</f>
        <v>#REF!</v>
      </c>
      <c r="Y276" s="582" t="e">
        <f t="shared" si="248"/>
        <v>#REF!</v>
      </c>
      <c r="Z276" s="581" t="e">
        <f>+#REF!</f>
        <v>#REF!</v>
      </c>
      <c r="AA276" s="582" t="e">
        <f t="shared" si="253"/>
        <v>#REF!</v>
      </c>
      <c r="AB276" s="581" t="e">
        <f>+#REF!</f>
        <v>#REF!</v>
      </c>
      <c r="AC276" s="582" t="e">
        <f t="shared" si="249"/>
        <v>#REF!</v>
      </c>
      <c r="AD276" s="912"/>
      <c r="AE276" s="769" t="e">
        <f t="shared" si="242"/>
        <v>#REF!</v>
      </c>
    </row>
    <row r="277" spans="1:31" s="595" customFormat="1" ht="15" hidden="1" customHeight="1" x14ac:dyDescent="0.2">
      <c r="A277" s="611" t="s">
        <v>1046</v>
      </c>
      <c r="B277" s="601" t="s">
        <v>1047</v>
      </c>
      <c r="C277" s="611" t="s">
        <v>111</v>
      </c>
      <c r="D277" s="576">
        <f t="shared" si="243"/>
        <v>0</v>
      </c>
      <c r="E277" s="577" t="e">
        <f t="shared" si="207"/>
        <v>#REF!</v>
      </c>
      <c r="F277" s="577" t="e">
        <f t="shared" si="244"/>
        <v>#REF!</v>
      </c>
      <c r="G277" s="578"/>
      <c r="H277" s="552"/>
      <c r="I277" s="594"/>
      <c r="J277" s="580"/>
      <c r="K277" s="537"/>
      <c r="L277" s="445" t="e">
        <f t="shared" si="250"/>
        <v>#REF!</v>
      </c>
      <c r="M277" s="542"/>
      <c r="N277" s="445" t="e">
        <f t="shared" si="251"/>
        <v>#REF!</v>
      </c>
      <c r="O277" s="542"/>
      <c r="P277" s="445" t="e">
        <f t="shared" si="245"/>
        <v>#REF!</v>
      </c>
      <c r="Q277" s="542"/>
      <c r="R277" s="445" t="e">
        <f t="shared" si="246"/>
        <v>#REF!</v>
      </c>
      <c r="S277" s="542"/>
      <c r="T277" s="445" t="e">
        <f t="shared" si="247"/>
        <v>#REF!</v>
      </c>
      <c r="U277" s="552"/>
      <c r="V277" s="581" t="e">
        <f>+'7,1,5,4 Registro 114'!I20</f>
        <v>#REF!</v>
      </c>
      <c r="W277" s="582" t="e">
        <f t="shared" si="252"/>
        <v>#REF!</v>
      </c>
      <c r="X277" s="581">
        <f>+'7,1,5,4 Registro 114'!I51</f>
        <v>10468.49</v>
      </c>
      <c r="Y277" s="582">
        <f t="shared" si="248"/>
        <v>0</v>
      </c>
      <c r="Z277" s="581">
        <f>+'7,1,5,4 Registro 114'!I31</f>
        <v>161.30000000000001</v>
      </c>
      <c r="AA277" s="582">
        <f t="shared" si="253"/>
        <v>0</v>
      </c>
      <c r="AB277" s="581">
        <f>+'7,1,5,4 Registro 114'!I42</f>
        <v>0</v>
      </c>
      <c r="AC277" s="582">
        <f t="shared" si="249"/>
        <v>0</v>
      </c>
      <c r="AD277" s="912"/>
      <c r="AE277" s="769" t="e">
        <f t="shared" si="242"/>
        <v>#REF!</v>
      </c>
    </row>
    <row r="278" spans="1:31" s="595" customFormat="1" ht="15" hidden="1" customHeight="1" x14ac:dyDescent="0.2">
      <c r="A278" s="611" t="s">
        <v>1048</v>
      </c>
      <c r="B278" s="601" t="s">
        <v>1049</v>
      </c>
      <c r="C278" s="611" t="s">
        <v>111</v>
      </c>
      <c r="D278" s="576">
        <f t="shared" si="243"/>
        <v>0</v>
      </c>
      <c r="E278" s="577" t="e">
        <f t="shared" si="207"/>
        <v>#REF!</v>
      </c>
      <c r="F278" s="577" t="e">
        <f t="shared" si="244"/>
        <v>#REF!</v>
      </c>
      <c r="G278" s="578"/>
      <c r="H278" s="552"/>
      <c r="I278" s="594"/>
      <c r="J278" s="580"/>
      <c r="K278" s="537"/>
      <c r="L278" s="445" t="e">
        <f t="shared" si="250"/>
        <v>#REF!</v>
      </c>
      <c r="M278" s="542"/>
      <c r="N278" s="445" t="e">
        <f t="shared" si="251"/>
        <v>#REF!</v>
      </c>
      <c r="O278" s="542"/>
      <c r="P278" s="445" t="e">
        <f t="shared" si="245"/>
        <v>#REF!</v>
      </c>
      <c r="Q278" s="542"/>
      <c r="R278" s="445" t="e">
        <f t="shared" si="246"/>
        <v>#REF!</v>
      </c>
      <c r="S278" s="542"/>
      <c r="T278" s="445" t="e">
        <f t="shared" si="247"/>
        <v>#REF!</v>
      </c>
      <c r="U278" s="552"/>
      <c r="V278" s="581" t="e">
        <f>+'7,1,5,5 Registro 1 12'!I20</f>
        <v>#REF!</v>
      </c>
      <c r="W278" s="582" t="e">
        <f t="shared" si="252"/>
        <v>#REF!</v>
      </c>
      <c r="X278" s="581">
        <f>+'7,1,5,5 Registro 1 12'!I51</f>
        <v>10468.49</v>
      </c>
      <c r="Y278" s="582">
        <f t="shared" si="248"/>
        <v>0</v>
      </c>
      <c r="Z278" s="581">
        <f>+'7,1,5,5 Registro 1 12'!I31</f>
        <v>161.30000000000001</v>
      </c>
      <c r="AA278" s="582">
        <f t="shared" si="253"/>
        <v>0</v>
      </c>
      <c r="AB278" s="581">
        <f>+'7,1,5,5 Registro 1 12'!I42</f>
        <v>0</v>
      </c>
      <c r="AC278" s="582">
        <f t="shared" si="249"/>
        <v>0</v>
      </c>
      <c r="AD278" s="912"/>
      <c r="AE278" s="769" t="e">
        <f t="shared" si="242"/>
        <v>#REF!</v>
      </c>
    </row>
    <row r="279" spans="1:31" s="595" customFormat="1" ht="15" hidden="1" customHeight="1" x14ac:dyDescent="0.2">
      <c r="A279" s="611" t="s">
        <v>1050</v>
      </c>
      <c r="B279" s="601" t="s">
        <v>1051</v>
      </c>
      <c r="C279" s="611" t="s">
        <v>111</v>
      </c>
      <c r="D279" s="576">
        <f t="shared" si="243"/>
        <v>0</v>
      </c>
      <c r="E279" s="577" t="e">
        <f t="shared" si="207"/>
        <v>#REF!</v>
      </c>
      <c r="F279" s="577" t="e">
        <f t="shared" si="244"/>
        <v>#REF!</v>
      </c>
      <c r="G279" s="578"/>
      <c r="H279" s="552"/>
      <c r="I279" s="584"/>
      <c r="J279" s="585" t="e">
        <f>+ROUND(E279*I279,10)</f>
        <v>#REF!</v>
      </c>
      <c r="K279" s="537"/>
      <c r="L279" s="445" t="e">
        <f t="shared" si="250"/>
        <v>#REF!</v>
      </c>
      <c r="M279" s="542"/>
      <c r="N279" s="445" t="e">
        <f t="shared" si="251"/>
        <v>#REF!</v>
      </c>
      <c r="O279" s="542"/>
      <c r="P279" s="445" t="e">
        <f t="shared" si="245"/>
        <v>#REF!</v>
      </c>
      <c r="Q279" s="542"/>
      <c r="R279" s="445" t="e">
        <f t="shared" si="246"/>
        <v>#REF!</v>
      </c>
      <c r="S279" s="542"/>
      <c r="T279" s="445" t="e">
        <f t="shared" si="247"/>
        <v>#REF!</v>
      </c>
      <c r="U279" s="552"/>
      <c r="V279" s="581" t="e">
        <f>+'7,1,5,6 Registro 2 '!I20</f>
        <v>#REF!</v>
      </c>
      <c r="W279" s="582" t="e">
        <f t="shared" si="252"/>
        <v>#REF!</v>
      </c>
      <c r="X279" s="581">
        <f>+'7,1,5,6 Registro 2 '!I51</f>
        <v>10468.49</v>
      </c>
      <c r="Y279" s="582">
        <f t="shared" si="248"/>
        <v>0</v>
      </c>
      <c r="Z279" s="581">
        <f>+'7,1,5,6 Registro 2 '!I31</f>
        <v>161.30000000000001</v>
      </c>
      <c r="AA279" s="582">
        <f t="shared" si="253"/>
        <v>0</v>
      </c>
      <c r="AB279" s="581">
        <f>+'7,1,5,6 Registro 2 '!I42</f>
        <v>0</v>
      </c>
      <c r="AC279" s="582">
        <f t="shared" si="249"/>
        <v>0</v>
      </c>
      <c r="AD279" s="912"/>
      <c r="AE279" s="769" t="e">
        <f t="shared" si="242"/>
        <v>#REF!</v>
      </c>
    </row>
    <row r="280" spans="1:31" s="595" customFormat="1" ht="15" hidden="1" customHeight="1" x14ac:dyDescent="0.2">
      <c r="A280" s="611" t="s">
        <v>1052</v>
      </c>
      <c r="B280" s="601" t="s">
        <v>1053</v>
      </c>
      <c r="C280" s="611" t="s">
        <v>111</v>
      </c>
      <c r="D280" s="576">
        <f t="shared" si="243"/>
        <v>0</v>
      </c>
      <c r="E280" s="577">
        <f t="shared" si="207"/>
        <v>0</v>
      </c>
      <c r="F280" s="577">
        <f t="shared" si="244"/>
        <v>0</v>
      </c>
      <c r="G280" s="578"/>
      <c r="H280" s="552"/>
      <c r="I280" s="584"/>
      <c r="J280" s="585">
        <f>+ROUND(E280*I280,10)</f>
        <v>0</v>
      </c>
      <c r="K280" s="537"/>
      <c r="L280" s="445">
        <f t="shared" si="250"/>
        <v>0</v>
      </c>
      <c r="M280" s="542"/>
      <c r="N280" s="445">
        <f t="shared" si="251"/>
        <v>0</v>
      </c>
      <c r="O280" s="542"/>
      <c r="P280" s="445">
        <f t="shared" si="245"/>
        <v>0</v>
      </c>
      <c r="Q280" s="542"/>
      <c r="R280" s="445">
        <f t="shared" si="246"/>
        <v>0</v>
      </c>
      <c r="S280" s="542"/>
      <c r="T280" s="445">
        <f t="shared" si="247"/>
        <v>0</v>
      </c>
      <c r="U280" s="552"/>
      <c r="V280" s="581"/>
      <c r="W280" s="582">
        <f t="shared" si="252"/>
        <v>0</v>
      </c>
      <c r="X280" s="581"/>
      <c r="Y280" s="582">
        <f t="shared" si="248"/>
        <v>0</v>
      </c>
      <c r="Z280" s="581"/>
      <c r="AA280" s="582">
        <f t="shared" si="253"/>
        <v>0</v>
      </c>
      <c r="AB280" s="581"/>
      <c r="AC280" s="582">
        <f t="shared" si="249"/>
        <v>0</v>
      </c>
      <c r="AD280" s="912"/>
      <c r="AE280" s="769">
        <f t="shared" si="242"/>
        <v>0</v>
      </c>
    </row>
    <row r="281" spans="1:31" s="595" customFormat="1" x14ac:dyDescent="0.2">
      <c r="A281" s="611" t="s">
        <v>1054</v>
      </c>
      <c r="B281" s="601" t="s">
        <v>1055</v>
      </c>
      <c r="C281" s="611" t="s">
        <v>111</v>
      </c>
      <c r="D281" s="576">
        <f t="shared" si="243"/>
        <v>10</v>
      </c>
      <c r="E281" s="577" t="e">
        <f t="shared" si="207"/>
        <v>#REF!</v>
      </c>
      <c r="F281" s="577" t="e">
        <f t="shared" si="244"/>
        <v>#REF!</v>
      </c>
      <c r="G281" s="578"/>
      <c r="H281" s="552"/>
      <c r="I281" s="597"/>
      <c r="J281" s="598" t="e">
        <f>+ROUND(E281*I281,10)</f>
        <v>#REF!</v>
      </c>
      <c r="K281" s="537"/>
      <c r="L281" s="445" t="e">
        <f>+ROUND(E281*K281,10)</f>
        <v>#REF!</v>
      </c>
      <c r="M281" s="542">
        <v>3</v>
      </c>
      <c r="N281" s="445" t="e">
        <f>+ROUND(E281*M281,10)</f>
        <v>#REF!</v>
      </c>
      <c r="O281" s="542">
        <v>7</v>
      </c>
      <c r="P281" s="445" t="e">
        <f t="shared" si="245"/>
        <v>#REF!</v>
      </c>
      <c r="Q281" s="542"/>
      <c r="R281" s="445" t="e">
        <f t="shared" si="246"/>
        <v>#REF!</v>
      </c>
      <c r="S281" s="542"/>
      <c r="T281" s="445" t="e">
        <f t="shared" si="247"/>
        <v>#REF!</v>
      </c>
      <c r="U281" s="552"/>
      <c r="V281" s="581" t="e">
        <f>+#REF!</f>
        <v>#REF!</v>
      </c>
      <c r="W281" s="582" t="e">
        <f>ROUND(V281*$D281,10)</f>
        <v>#REF!</v>
      </c>
      <c r="X281" s="581" t="e">
        <f>+#REF!</f>
        <v>#REF!</v>
      </c>
      <c r="Y281" s="582" t="e">
        <f t="shared" si="248"/>
        <v>#REF!</v>
      </c>
      <c r="Z281" s="581" t="e">
        <f>+#REF!</f>
        <v>#REF!</v>
      </c>
      <c r="AA281" s="582" t="e">
        <f>ROUND(Z281*$D281,10)</f>
        <v>#REF!</v>
      </c>
      <c r="AB281" s="581" t="e">
        <f>+#REF!</f>
        <v>#REF!</v>
      </c>
      <c r="AC281" s="582" t="e">
        <f t="shared" si="249"/>
        <v>#REF!</v>
      </c>
      <c r="AD281" s="912"/>
      <c r="AE281" s="769" t="e">
        <f t="shared" si="242"/>
        <v>#REF!</v>
      </c>
    </row>
    <row r="282" spans="1:31" s="595" customFormat="1" ht="27" customHeight="1" x14ac:dyDescent="0.2">
      <c r="A282" s="572" t="s">
        <v>1056</v>
      </c>
      <c r="B282" s="573" t="s">
        <v>1057</v>
      </c>
      <c r="C282" s="846"/>
      <c r="D282" s="576"/>
      <c r="E282" s="577"/>
      <c r="F282" s="180" t="e">
        <f>+ROUND(SUM(F283:F293),10)</f>
        <v>#REF!</v>
      </c>
      <c r="G282" s="473"/>
      <c r="H282" s="568"/>
      <c r="I282" s="613"/>
      <c r="J282" s="440" t="e">
        <f>ROUND(SUM(J283:J293),10)</f>
        <v>#REF!</v>
      </c>
      <c r="K282" s="537"/>
      <c r="L282" s="180" t="e">
        <f>ROUND(SUM(L283:L293),10)</f>
        <v>#REF!</v>
      </c>
      <c r="M282" s="542"/>
      <c r="N282" s="180" t="e">
        <f>ROUND(SUM(N283:N293),10)</f>
        <v>#REF!</v>
      </c>
      <c r="O282" s="542"/>
      <c r="P282" s="180" t="e">
        <f>ROUND(SUM(P283:P293),10)</f>
        <v>#REF!</v>
      </c>
      <c r="Q282" s="542"/>
      <c r="R282" s="180" t="e">
        <f>ROUND(SUM(R283:R293),10)</f>
        <v>#REF!</v>
      </c>
      <c r="S282" s="542"/>
      <c r="T282" s="180" t="e">
        <f>ROUND(SUM(T283:T293),10)</f>
        <v>#REF!</v>
      </c>
      <c r="U282" s="568"/>
      <c r="V282" s="575"/>
      <c r="W282" s="570" t="e">
        <f>ROUND(SUM(W283:W293),10)</f>
        <v>#REF!</v>
      </c>
      <c r="X282" s="575"/>
      <c r="Y282" s="570" t="e">
        <f>ROUND(SUM(Y283:Y293),10)</f>
        <v>#REF!</v>
      </c>
      <c r="Z282" s="575"/>
      <c r="AA282" s="570" t="e">
        <f>ROUND(SUM(AA283:AA293),10)</f>
        <v>#REF!</v>
      </c>
      <c r="AB282" s="575"/>
      <c r="AC282" s="570" t="e">
        <f>ROUND(SUM(AC283:AC293),10)</f>
        <v>#REF!</v>
      </c>
      <c r="AD282" s="912"/>
      <c r="AE282" s="769" t="e">
        <f t="shared" si="242"/>
        <v>#REF!</v>
      </c>
    </row>
    <row r="283" spans="1:31" s="595" customFormat="1" x14ac:dyDescent="0.2">
      <c r="A283" s="611" t="s">
        <v>1058</v>
      </c>
      <c r="B283" s="601" t="s">
        <v>1059</v>
      </c>
      <c r="C283" s="611" t="s">
        <v>114</v>
      </c>
      <c r="D283" s="576">
        <f t="shared" ref="D283:D293" si="254">+I283+K283+M283+O283+Q283+S283</f>
        <v>41</v>
      </c>
      <c r="E283" s="577" t="e">
        <f t="shared" si="207"/>
        <v>#REF!</v>
      </c>
      <c r="F283" s="577" t="e">
        <f t="shared" ref="F283:F293" si="255">ROUND(D283*E283,10)</f>
        <v>#REF!</v>
      </c>
      <c r="G283" s="578"/>
      <c r="H283" s="552"/>
      <c r="I283" s="594"/>
      <c r="J283" s="580" t="e">
        <f>+ROUND(E283*I283,10)</f>
        <v>#REF!</v>
      </c>
      <c r="K283" s="537"/>
      <c r="L283" s="445" t="e">
        <f t="shared" ref="L283:L293" si="256">+ROUND(E283*K283,10)</f>
        <v>#REF!</v>
      </c>
      <c r="M283" s="542"/>
      <c r="N283" s="445" t="e">
        <f t="shared" ref="N283:N293" si="257">+ROUND(E283*M283,10)</f>
        <v>#REF!</v>
      </c>
      <c r="O283" s="542">
        <v>41</v>
      </c>
      <c r="P283" s="445" t="e">
        <f t="shared" ref="P283:P293" si="258">+ROUND(E283*O283,10)</f>
        <v>#REF!</v>
      </c>
      <c r="Q283" s="542"/>
      <c r="R283" s="445" t="e">
        <f t="shared" ref="R283:R293" si="259">+ROUND(E283*Q283,10)</f>
        <v>#REF!</v>
      </c>
      <c r="S283" s="542"/>
      <c r="T283" s="445" t="e">
        <f t="shared" ref="T283:T293" si="260">+ROUND(E283*S283,10)</f>
        <v>#REF!</v>
      </c>
      <c r="U283" s="552"/>
      <c r="V283" s="581" t="e">
        <f>+#REF!</f>
        <v>#REF!</v>
      </c>
      <c r="W283" s="582" t="e">
        <f t="shared" ref="W283:W293" si="261">ROUND(V283*$D283,10)</f>
        <v>#REF!</v>
      </c>
      <c r="X283" s="581" t="e">
        <f>+#REF!</f>
        <v>#REF!</v>
      </c>
      <c r="Y283" s="582" t="e">
        <f t="shared" ref="Y283:Y293" si="262">ROUND(X283*$D283,10)</f>
        <v>#REF!</v>
      </c>
      <c r="Z283" s="581" t="e">
        <f>+#REF!</f>
        <v>#REF!</v>
      </c>
      <c r="AA283" s="582" t="e">
        <f t="shared" ref="AA283:AA293" si="263">ROUND(Z283*$D283,10)</f>
        <v>#REF!</v>
      </c>
      <c r="AB283" s="581"/>
      <c r="AC283" s="582">
        <f t="shared" ref="AC283:AC293" si="264">ROUND(AB283*$D283,10)</f>
        <v>0</v>
      </c>
      <c r="AD283" s="912"/>
      <c r="AE283" s="769" t="e">
        <f t="shared" si="242"/>
        <v>#REF!</v>
      </c>
    </row>
    <row r="284" spans="1:31" s="595" customFormat="1" x14ac:dyDescent="0.2">
      <c r="A284" s="611" t="s">
        <v>1060</v>
      </c>
      <c r="B284" s="610" t="s">
        <v>1061</v>
      </c>
      <c r="C284" s="611" t="s">
        <v>114</v>
      </c>
      <c r="D284" s="576">
        <f t="shared" si="254"/>
        <v>36</v>
      </c>
      <c r="E284" s="577" t="e">
        <f t="shared" si="207"/>
        <v>#REF!</v>
      </c>
      <c r="F284" s="577" t="e">
        <f t="shared" si="255"/>
        <v>#REF!</v>
      </c>
      <c r="G284" s="578"/>
      <c r="H284" s="552"/>
      <c r="I284" s="584"/>
      <c r="J284" s="585" t="e">
        <f>+ROUND(E284*I284,10)</f>
        <v>#REF!</v>
      </c>
      <c r="K284" s="537"/>
      <c r="L284" s="445" t="e">
        <f t="shared" si="256"/>
        <v>#REF!</v>
      </c>
      <c r="M284" s="542"/>
      <c r="N284" s="445" t="e">
        <f t="shared" si="257"/>
        <v>#REF!</v>
      </c>
      <c r="O284" s="542">
        <v>36</v>
      </c>
      <c r="P284" s="445" t="e">
        <f t="shared" si="258"/>
        <v>#REF!</v>
      </c>
      <c r="Q284" s="542"/>
      <c r="R284" s="445" t="e">
        <f t="shared" si="259"/>
        <v>#REF!</v>
      </c>
      <c r="S284" s="542"/>
      <c r="T284" s="445" t="e">
        <f t="shared" si="260"/>
        <v>#REF!</v>
      </c>
      <c r="U284" s="552"/>
      <c r="V284" s="581" t="e">
        <f>+#REF!</f>
        <v>#REF!</v>
      </c>
      <c r="W284" s="582" t="e">
        <f t="shared" si="261"/>
        <v>#REF!</v>
      </c>
      <c r="X284" s="581" t="e">
        <f>+#REF!</f>
        <v>#REF!</v>
      </c>
      <c r="Y284" s="582" t="e">
        <f t="shared" si="262"/>
        <v>#REF!</v>
      </c>
      <c r="Z284" s="581" t="e">
        <f>+#REF!</f>
        <v>#REF!</v>
      </c>
      <c r="AA284" s="582" t="e">
        <f t="shared" si="263"/>
        <v>#REF!</v>
      </c>
      <c r="AB284" s="581"/>
      <c r="AC284" s="582">
        <f t="shared" si="264"/>
        <v>0</v>
      </c>
      <c r="AD284" s="912"/>
      <c r="AE284" s="769" t="e">
        <f t="shared" si="242"/>
        <v>#REF!</v>
      </c>
    </row>
    <row r="285" spans="1:31" s="595" customFormat="1" x14ac:dyDescent="0.2">
      <c r="A285" s="611" t="s">
        <v>1062</v>
      </c>
      <c r="B285" s="610" t="s">
        <v>1063</v>
      </c>
      <c r="C285" s="611" t="s">
        <v>114</v>
      </c>
      <c r="D285" s="576">
        <f t="shared" si="254"/>
        <v>97.5</v>
      </c>
      <c r="E285" s="577" t="e">
        <f t="shared" si="207"/>
        <v>#REF!</v>
      </c>
      <c r="F285" s="577" t="e">
        <f t="shared" si="255"/>
        <v>#REF!</v>
      </c>
      <c r="G285" s="578"/>
      <c r="H285" s="552"/>
      <c r="I285" s="584"/>
      <c r="J285" s="585" t="e">
        <f>+ROUND(E285*I285,10)</f>
        <v>#REF!</v>
      </c>
      <c r="K285" s="537"/>
      <c r="L285" s="445" t="e">
        <f t="shared" si="256"/>
        <v>#REF!</v>
      </c>
      <c r="M285" s="542"/>
      <c r="N285" s="445" t="e">
        <f t="shared" si="257"/>
        <v>#REF!</v>
      </c>
      <c r="O285" s="542">
        <v>97.5</v>
      </c>
      <c r="P285" s="445" t="e">
        <f t="shared" si="258"/>
        <v>#REF!</v>
      </c>
      <c r="Q285" s="542"/>
      <c r="R285" s="445" t="e">
        <f t="shared" si="259"/>
        <v>#REF!</v>
      </c>
      <c r="S285" s="542"/>
      <c r="T285" s="445" t="e">
        <f t="shared" si="260"/>
        <v>#REF!</v>
      </c>
      <c r="U285" s="552"/>
      <c r="V285" s="581" t="e">
        <f>+#REF!</f>
        <v>#REF!</v>
      </c>
      <c r="W285" s="582" t="e">
        <f t="shared" si="261"/>
        <v>#REF!</v>
      </c>
      <c r="X285" s="581" t="e">
        <f>+#REF!</f>
        <v>#REF!</v>
      </c>
      <c r="Y285" s="582" t="e">
        <f t="shared" si="262"/>
        <v>#REF!</v>
      </c>
      <c r="Z285" s="581" t="e">
        <f>+#REF!</f>
        <v>#REF!</v>
      </c>
      <c r="AA285" s="582" t="e">
        <f t="shared" si="263"/>
        <v>#REF!</v>
      </c>
      <c r="AB285" s="581"/>
      <c r="AC285" s="582">
        <f t="shared" si="264"/>
        <v>0</v>
      </c>
      <c r="AD285" s="912"/>
      <c r="AE285" s="769" t="e">
        <f t="shared" si="242"/>
        <v>#REF!</v>
      </c>
    </row>
    <row r="286" spans="1:31" s="595" customFormat="1" ht="15" hidden="1" customHeight="1" x14ac:dyDescent="0.2">
      <c r="A286" s="611" t="s">
        <v>1064</v>
      </c>
      <c r="B286" s="610" t="s">
        <v>1065</v>
      </c>
      <c r="C286" s="611" t="s">
        <v>114</v>
      </c>
      <c r="D286" s="576">
        <f t="shared" si="254"/>
        <v>0</v>
      </c>
      <c r="E286" s="577" t="e">
        <f t="shared" si="207"/>
        <v>#REF!</v>
      </c>
      <c r="F286" s="577" t="e">
        <f t="shared" si="255"/>
        <v>#REF!</v>
      </c>
      <c r="G286" s="578"/>
      <c r="H286" s="552"/>
      <c r="I286" s="584"/>
      <c r="J286" s="585" t="e">
        <f>+ROUND(E286*I286,10)</f>
        <v>#REF!</v>
      </c>
      <c r="K286" s="537"/>
      <c r="L286" s="445" t="e">
        <f t="shared" si="256"/>
        <v>#REF!</v>
      </c>
      <c r="M286" s="542"/>
      <c r="N286" s="445" t="e">
        <f t="shared" si="257"/>
        <v>#REF!</v>
      </c>
      <c r="O286" s="542"/>
      <c r="P286" s="445" t="e">
        <f t="shared" si="258"/>
        <v>#REF!</v>
      </c>
      <c r="Q286" s="542"/>
      <c r="R286" s="445" t="e">
        <f t="shared" si="259"/>
        <v>#REF!</v>
      </c>
      <c r="S286" s="542"/>
      <c r="T286" s="445" t="e">
        <f t="shared" si="260"/>
        <v>#REF!</v>
      </c>
      <c r="U286" s="552"/>
      <c r="V286" s="581" t="e">
        <f>+'7,1,6,4 Acometida 1 14'!I20</f>
        <v>#REF!</v>
      </c>
      <c r="W286" s="582" t="e">
        <f t="shared" si="261"/>
        <v>#REF!</v>
      </c>
      <c r="X286" s="581">
        <f>+'7,1,6,4 Acometida 1 14'!I51</f>
        <v>2868.08</v>
      </c>
      <c r="Y286" s="582">
        <f t="shared" si="262"/>
        <v>0</v>
      </c>
      <c r="Z286" s="581">
        <f>+'7,1,6,4 Acometida 1 14'!I31</f>
        <v>154.58000000000001</v>
      </c>
      <c r="AA286" s="582">
        <f t="shared" si="263"/>
        <v>0</v>
      </c>
      <c r="AB286" s="581"/>
      <c r="AC286" s="582">
        <f t="shared" si="264"/>
        <v>0</v>
      </c>
      <c r="AD286" s="912"/>
      <c r="AE286" s="769" t="e">
        <f t="shared" si="242"/>
        <v>#REF!</v>
      </c>
    </row>
    <row r="287" spans="1:31" s="595" customFormat="1" x14ac:dyDescent="0.2">
      <c r="A287" s="611" t="s">
        <v>1066</v>
      </c>
      <c r="B287" s="610" t="s">
        <v>1067</v>
      </c>
      <c r="C287" s="611" t="s">
        <v>114</v>
      </c>
      <c r="D287" s="576">
        <f t="shared" si="254"/>
        <v>159.5</v>
      </c>
      <c r="E287" s="577" t="e">
        <f t="shared" si="207"/>
        <v>#REF!</v>
      </c>
      <c r="F287" s="577" t="e">
        <f t="shared" si="255"/>
        <v>#REF!</v>
      </c>
      <c r="G287" s="578"/>
      <c r="H287" s="552"/>
      <c r="I287" s="597"/>
      <c r="J287" s="598"/>
      <c r="K287" s="537"/>
      <c r="L287" s="445" t="e">
        <f t="shared" si="256"/>
        <v>#REF!</v>
      </c>
      <c r="M287" s="542"/>
      <c r="N287" s="445" t="e">
        <f t="shared" si="257"/>
        <v>#REF!</v>
      </c>
      <c r="O287" s="542">
        <v>159.5</v>
      </c>
      <c r="P287" s="445" t="e">
        <f t="shared" si="258"/>
        <v>#REF!</v>
      </c>
      <c r="Q287" s="542"/>
      <c r="R287" s="445" t="e">
        <f t="shared" si="259"/>
        <v>#REF!</v>
      </c>
      <c r="S287" s="542"/>
      <c r="T287" s="445" t="e">
        <f t="shared" si="260"/>
        <v>#REF!</v>
      </c>
      <c r="U287" s="552"/>
      <c r="V287" s="581" t="e">
        <f>+#REF!</f>
        <v>#REF!</v>
      </c>
      <c r="W287" s="582" t="e">
        <f t="shared" si="261"/>
        <v>#REF!</v>
      </c>
      <c r="X287" s="581" t="e">
        <f>+#REF!</f>
        <v>#REF!</v>
      </c>
      <c r="Y287" s="582" t="e">
        <f t="shared" si="262"/>
        <v>#REF!</v>
      </c>
      <c r="Z287" s="581" t="e">
        <f>+#REF!</f>
        <v>#REF!</v>
      </c>
      <c r="AA287" s="582" t="e">
        <f t="shared" si="263"/>
        <v>#REF!</v>
      </c>
      <c r="AB287" s="581" t="e">
        <f>+#REF!</f>
        <v>#REF!</v>
      </c>
      <c r="AC287" s="582" t="e">
        <f t="shared" si="264"/>
        <v>#REF!</v>
      </c>
      <c r="AD287" s="912"/>
      <c r="AE287" s="769" t="e">
        <f t="shared" si="242"/>
        <v>#REF!</v>
      </c>
    </row>
    <row r="288" spans="1:31" s="595" customFormat="1" x14ac:dyDescent="0.2">
      <c r="A288" s="611" t="s">
        <v>1068</v>
      </c>
      <c r="B288" s="601" t="s">
        <v>1069</v>
      </c>
      <c r="C288" s="611" t="s">
        <v>114</v>
      </c>
      <c r="D288" s="576">
        <f t="shared" si="254"/>
        <v>4</v>
      </c>
      <c r="E288" s="577" t="e">
        <f t="shared" si="207"/>
        <v>#REF!</v>
      </c>
      <c r="F288" s="577" t="e">
        <f t="shared" si="255"/>
        <v>#REF!</v>
      </c>
      <c r="G288" s="578"/>
      <c r="H288" s="552"/>
      <c r="I288" s="597"/>
      <c r="J288" s="598"/>
      <c r="K288" s="537"/>
      <c r="L288" s="445" t="e">
        <f t="shared" si="256"/>
        <v>#REF!</v>
      </c>
      <c r="M288" s="542"/>
      <c r="N288" s="445" t="e">
        <f t="shared" si="257"/>
        <v>#REF!</v>
      </c>
      <c r="O288" s="542">
        <v>4</v>
      </c>
      <c r="P288" s="445" t="e">
        <f t="shared" si="258"/>
        <v>#REF!</v>
      </c>
      <c r="Q288" s="542"/>
      <c r="R288" s="445" t="e">
        <f t="shared" si="259"/>
        <v>#REF!</v>
      </c>
      <c r="S288" s="542"/>
      <c r="T288" s="445" t="e">
        <f t="shared" si="260"/>
        <v>#REF!</v>
      </c>
      <c r="U288" s="552"/>
      <c r="V288" s="581" t="e">
        <f>+'7,1,6,6 Acometida 2'!I20</f>
        <v>#REF!</v>
      </c>
      <c r="W288" s="582" t="e">
        <f t="shared" si="261"/>
        <v>#REF!</v>
      </c>
      <c r="X288" s="581">
        <f>+'7,1,6,6 Acometida 2'!I51</f>
        <v>2868.08</v>
      </c>
      <c r="Y288" s="582">
        <f t="shared" si="262"/>
        <v>11472.32</v>
      </c>
      <c r="Z288" s="581">
        <f>+'7,1,6,6 Acometida 2'!I31</f>
        <v>154.58000000000001</v>
      </c>
      <c r="AA288" s="582">
        <f t="shared" si="263"/>
        <v>618.32000000000005</v>
      </c>
      <c r="AB288" s="581"/>
      <c r="AC288" s="582">
        <f t="shared" si="264"/>
        <v>0</v>
      </c>
      <c r="AD288" s="912"/>
      <c r="AE288" s="769" t="e">
        <f t="shared" si="242"/>
        <v>#REF!</v>
      </c>
    </row>
    <row r="289" spans="1:31" s="595" customFormat="1" ht="15" hidden="1" customHeight="1" x14ac:dyDescent="0.2">
      <c r="A289" s="611" t="s">
        <v>1070</v>
      </c>
      <c r="B289" s="610" t="s">
        <v>1071</v>
      </c>
      <c r="C289" s="611" t="s">
        <v>111</v>
      </c>
      <c r="D289" s="576">
        <f t="shared" si="254"/>
        <v>0</v>
      </c>
      <c r="E289" s="577" t="e">
        <f t="shared" si="207"/>
        <v>#REF!</v>
      </c>
      <c r="F289" s="577" t="e">
        <f t="shared" si="255"/>
        <v>#REF!</v>
      </c>
      <c r="G289" s="578"/>
      <c r="H289" s="552"/>
      <c r="I289" s="597"/>
      <c r="J289" s="598"/>
      <c r="K289" s="537"/>
      <c r="L289" s="445" t="e">
        <f t="shared" si="256"/>
        <v>#REF!</v>
      </c>
      <c r="M289" s="542"/>
      <c r="N289" s="445" t="e">
        <f t="shared" si="257"/>
        <v>#REF!</v>
      </c>
      <c r="O289" s="542"/>
      <c r="P289" s="445" t="e">
        <f t="shared" si="258"/>
        <v>#REF!</v>
      </c>
      <c r="Q289" s="542"/>
      <c r="R289" s="445" t="e">
        <f t="shared" si="259"/>
        <v>#REF!</v>
      </c>
      <c r="S289" s="542"/>
      <c r="T289" s="445" t="e">
        <f t="shared" si="260"/>
        <v>#REF!</v>
      </c>
      <c r="U289" s="552"/>
      <c r="V289" s="581" t="e">
        <f>+'7,1,6,7 Tubo UZ 2"'!I20</f>
        <v>#REF!</v>
      </c>
      <c r="W289" s="582" t="e">
        <f t="shared" si="261"/>
        <v>#REF!</v>
      </c>
      <c r="X289" s="581">
        <f>+'7,1,6,7 Tubo UZ 2"'!I51</f>
        <v>14802.720000000001</v>
      </c>
      <c r="Y289" s="582">
        <f t="shared" si="262"/>
        <v>0</v>
      </c>
      <c r="Z289" s="581">
        <f>+'7,1,6,7 Tubo UZ 2"'!I31</f>
        <v>381.6</v>
      </c>
      <c r="AA289" s="582">
        <f t="shared" si="263"/>
        <v>0</v>
      </c>
      <c r="AB289" s="581"/>
      <c r="AC289" s="582">
        <f t="shared" si="264"/>
        <v>0</v>
      </c>
      <c r="AD289" s="912"/>
      <c r="AE289" s="769" t="e">
        <f t="shared" si="242"/>
        <v>#REF!</v>
      </c>
    </row>
    <row r="290" spans="1:31" s="595" customFormat="1" ht="15" hidden="1" customHeight="1" x14ac:dyDescent="0.2">
      <c r="A290" s="611" t="s">
        <v>1072</v>
      </c>
      <c r="B290" s="610" t="s">
        <v>1073</v>
      </c>
      <c r="C290" s="611" t="s">
        <v>114</v>
      </c>
      <c r="D290" s="576">
        <f t="shared" si="254"/>
        <v>0</v>
      </c>
      <c r="E290" s="577" t="e">
        <f>V290+X290+Z290+AB290</f>
        <v>#REF!</v>
      </c>
      <c r="F290" s="577" t="e">
        <f t="shared" si="255"/>
        <v>#REF!</v>
      </c>
      <c r="G290" s="578"/>
      <c r="H290" s="552"/>
      <c r="I290" s="597"/>
      <c r="J290" s="598"/>
      <c r="K290" s="537"/>
      <c r="L290" s="445" t="e">
        <f t="shared" si="256"/>
        <v>#REF!</v>
      </c>
      <c r="M290" s="542"/>
      <c r="N290" s="445" t="e">
        <f t="shared" si="257"/>
        <v>#REF!</v>
      </c>
      <c r="O290" s="542"/>
      <c r="P290" s="445" t="e">
        <f t="shared" si="258"/>
        <v>#REF!</v>
      </c>
      <c r="Q290" s="542"/>
      <c r="R290" s="445" t="e">
        <f t="shared" si="259"/>
        <v>#REF!</v>
      </c>
      <c r="S290" s="542"/>
      <c r="T290" s="445" t="e">
        <f t="shared" si="260"/>
        <v>#REF!</v>
      </c>
      <c r="U290" s="552"/>
      <c r="V290" s="581" t="e">
        <f>+'7,1,6,8 Acometida 1 12'!I20</f>
        <v>#REF!</v>
      </c>
      <c r="W290" s="582" t="e">
        <f t="shared" si="261"/>
        <v>#REF!</v>
      </c>
      <c r="X290" s="581">
        <f>+'7,1,6,8 Acometida 1 12'!I51</f>
        <v>9296.01</v>
      </c>
      <c r="Y290" s="582">
        <f t="shared" si="262"/>
        <v>0</v>
      </c>
      <c r="Z290" s="581">
        <f>+'7,1,6,8 Acometida 1 12'!I31</f>
        <v>387.78</v>
      </c>
      <c r="AA290" s="582">
        <f t="shared" si="263"/>
        <v>0</v>
      </c>
      <c r="AB290" s="581"/>
      <c r="AC290" s="582">
        <f t="shared" si="264"/>
        <v>0</v>
      </c>
      <c r="AD290" s="912"/>
      <c r="AE290" s="769" t="e">
        <f t="shared" si="242"/>
        <v>#REF!</v>
      </c>
    </row>
    <row r="291" spans="1:31" s="595" customFormat="1" ht="15" hidden="1" customHeight="1" x14ac:dyDescent="0.2">
      <c r="A291" s="611" t="s">
        <v>1074</v>
      </c>
      <c r="B291" s="610" t="s">
        <v>1075</v>
      </c>
      <c r="C291" s="611" t="s">
        <v>111</v>
      </c>
      <c r="D291" s="576">
        <f t="shared" si="254"/>
        <v>0</v>
      </c>
      <c r="E291" s="577" t="e">
        <f t="shared" si="207"/>
        <v>#REF!</v>
      </c>
      <c r="F291" s="577" t="e">
        <f t="shared" si="255"/>
        <v>#REF!</v>
      </c>
      <c r="G291" s="578"/>
      <c r="H291" s="552"/>
      <c r="I291" s="597"/>
      <c r="J291" s="598"/>
      <c r="K291" s="537"/>
      <c r="L291" s="445" t="e">
        <f t="shared" si="256"/>
        <v>#REF!</v>
      </c>
      <c r="M291" s="542"/>
      <c r="N291" s="445" t="e">
        <f t="shared" si="257"/>
        <v>#REF!</v>
      </c>
      <c r="O291" s="542"/>
      <c r="P291" s="445" t="e">
        <f t="shared" si="258"/>
        <v>#REF!</v>
      </c>
      <c r="Q291" s="542"/>
      <c r="R291" s="445" t="e">
        <f t="shared" si="259"/>
        <v>#REF!</v>
      </c>
      <c r="S291" s="542"/>
      <c r="T291" s="445" t="e">
        <f t="shared" si="260"/>
        <v>#REF!</v>
      </c>
      <c r="U291" s="552"/>
      <c r="V291" s="581" t="e">
        <f>+'7,1,6,9 Tuberia UZ 3"'!I20</f>
        <v>#REF!</v>
      </c>
      <c r="W291" s="582" t="e">
        <f t="shared" si="261"/>
        <v>#REF!</v>
      </c>
      <c r="X291" s="581">
        <f>+'7,1,6,9 Tuberia UZ 3"'!I51</f>
        <v>16896.419999999998</v>
      </c>
      <c r="Y291" s="582">
        <f t="shared" si="262"/>
        <v>0</v>
      </c>
      <c r="Z291" s="581">
        <f>+'7,1,6,9 Tuberia UZ 3"'!I31</f>
        <v>161.30000000000001</v>
      </c>
      <c r="AA291" s="582">
        <f t="shared" si="263"/>
        <v>0</v>
      </c>
      <c r="AB291" s="581"/>
      <c r="AC291" s="582">
        <f t="shared" si="264"/>
        <v>0</v>
      </c>
      <c r="AD291" s="912"/>
      <c r="AE291" s="769" t="e">
        <f t="shared" si="242"/>
        <v>#REF!</v>
      </c>
    </row>
    <row r="292" spans="1:31" s="595" customFormat="1" ht="15" hidden="1" customHeight="1" x14ac:dyDescent="0.2">
      <c r="A292" s="611" t="s">
        <v>1076</v>
      </c>
      <c r="B292" s="610" t="s">
        <v>1077</v>
      </c>
      <c r="C292" s="611" t="s">
        <v>114</v>
      </c>
      <c r="D292" s="576">
        <f t="shared" si="254"/>
        <v>0</v>
      </c>
      <c r="E292" s="577" t="e">
        <f t="shared" si="207"/>
        <v>#REF!</v>
      </c>
      <c r="F292" s="577" t="e">
        <f t="shared" si="255"/>
        <v>#REF!</v>
      </c>
      <c r="G292" s="578"/>
      <c r="H292" s="552"/>
      <c r="I292" s="597"/>
      <c r="J292" s="598"/>
      <c r="K292" s="537"/>
      <c r="L292" s="445" t="e">
        <f t="shared" si="256"/>
        <v>#REF!</v>
      </c>
      <c r="M292" s="542"/>
      <c r="N292" s="445" t="e">
        <f t="shared" si="257"/>
        <v>#REF!</v>
      </c>
      <c r="O292" s="542"/>
      <c r="P292" s="445" t="e">
        <f t="shared" si="258"/>
        <v>#REF!</v>
      </c>
      <c r="Q292" s="542"/>
      <c r="R292" s="445" t="e">
        <f t="shared" si="259"/>
        <v>#REF!</v>
      </c>
      <c r="S292" s="542"/>
      <c r="T292" s="445" t="e">
        <f t="shared" si="260"/>
        <v>#REF!</v>
      </c>
      <c r="U292" s="552"/>
      <c r="V292" s="581" t="e">
        <f>+'7,1,6,10 Accesorio UZ  2"'!I20</f>
        <v>#REF!</v>
      </c>
      <c r="W292" s="582" t="e">
        <f t="shared" si="261"/>
        <v>#REF!</v>
      </c>
      <c r="X292" s="581">
        <f>+'7,1,6,10 Accesorio UZ  2"'!I51</f>
        <v>4667.8999999999996</v>
      </c>
      <c r="Y292" s="582">
        <f t="shared" si="262"/>
        <v>0</v>
      </c>
      <c r="Z292" s="581">
        <f>+'7,1,6,10 Accesorio UZ  2"'!I31</f>
        <v>154.58000000000001</v>
      </c>
      <c r="AA292" s="582">
        <f t="shared" si="263"/>
        <v>0</v>
      </c>
      <c r="AB292" s="581"/>
      <c r="AC292" s="582">
        <f t="shared" si="264"/>
        <v>0</v>
      </c>
      <c r="AD292" s="912"/>
      <c r="AE292" s="769" t="e">
        <f t="shared" si="242"/>
        <v>#REF!</v>
      </c>
    </row>
    <row r="293" spans="1:31" s="595" customFormat="1" ht="15" hidden="1" customHeight="1" x14ac:dyDescent="0.2">
      <c r="A293" s="611" t="s">
        <v>1078</v>
      </c>
      <c r="B293" s="610" t="s">
        <v>1079</v>
      </c>
      <c r="C293" s="611" t="s">
        <v>111</v>
      </c>
      <c r="D293" s="576">
        <f t="shared" si="254"/>
        <v>0</v>
      </c>
      <c r="E293" s="577" t="e">
        <f>V293+X293+Z293+AB293</f>
        <v>#REF!</v>
      </c>
      <c r="F293" s="577" t="e">
        <f t="shared" si="255"/>
        <v>#REF!</v>
      </c>
      <c r="G293" s="578"/>
      <c r="H293" s="552"/>
      <c r="I293" s="597"/>
      <c r="J293" s="598" t="e">
        <f>+ROUND(E293*I293,10)</f>
        <v>#REF!</v>
      </c>
      <c r="K293" s="537"/>
      <c r="L293" s="445" t="e">
        <f t="shared" si="256"/>
        <v>#REF!</v>
      </c>
      <c r="M293" s="542"/>
      <c r="N293" s="445" t="e">
        <f t="shared" si="257"/>
        <v>#REF!</v>
      </c>
      <c r="O293" s="542"/>
      <c r="P293" s="445" t="e">
        <f t="shared" si="258"/>
        <v>#REF!</v>
      </c>
      <c r="Q293" s="542"/>
      <c r="R293" s="445" t="e">
        <f t="shared" si="259"/>
        <v>#REF!</v>
      </c>
      <c r="S293" s="542"/>
      <c r="T293" s="445" t="e">
        <f t="shared" si="260"/>
        <v>#REF!</v>
      </c>
      <c r="U293" s="552"/>
      <c r="V293" s="581" t="e">
        <f>+'7,1,6,11 Accesorio UZ 3"'!I20</f>
        <v>#REF!</v>
      </c>
      <c r="W293" s="582" t="e">
        <f t="shared" si="261"/>
        <v>#REF!</v>
      </c>
      <c r="X293" s="581">
        <f>+'7,1,6,11 Accesorio UZ 3"'!I51</f>
        <v>4667.8999999999996</v>
      </c>
      <c r="Y293" s="582">
        <f t="shared" si="262"/>
        <v>0</v>
      </c>
      <c r="Z293" s="581">
        <f>+'7,1,6,11 Accesorio UZ 3"'!I31</f>
        <v>161.30000000000001</v>
      </c>
      <c r="AA293" s="582">
        <f t="shared" si="263"/>
        <v>0</v>
      </c>
      <c r="AB293" s="581"/>
      <c r="AC293" s="582">
        <f t="shared" si="264"/>
        <v>0</v>
      </c>
      <c r="AD293" s="912"/>
      <c r="AE293" s="769" t="e">
        <f t="shared" si="242"/>
        <v>#REF!</v>
      </c>
    </row>
    <row r="294" spans="1:31" ht="15" hidden="1" customHeight="1" x14ac:dyDescent="0.2">
      <c r="A294" s="572" t="s">
        <v>1080</v>
      </c>
      <c r="B294" s="573" t="s">
        <v>1081</v>
      </c>
      <c r="C294" s="846"/>
      <c r="D294" s="576"/>
      <c r="E294" s="577"/>
      <c r="F294" s="180" t="e">
        <f>+ROUND(SUM(F295:F301),10)</f>
        <v>#REF!</v>
      </c>
      <c r="G294" s="473"/>
      <c r="H294" s="568"/>
      <c r="I294" s="613"/>
      <c r="J294" s="440" t="e">
        <f>ROUND(SUM(J295:J301),10)</f>
        <v>#REF!</v>
      </c>
      <c r="K294" s="537"/>
      <c r="L294" s="180" t="e">
        <f>ROUND(SUM(L295:L301),10)</f>
        <v>#REF!</v>
      </c>
      <c r="M294" s="542"/>
      <c r="N294" s="180" t="e">
        <f>ROUND(SUM(N295:N301),10)</f>
        <v>#REF!</v>
      </c>
      <c r="O294" s="542"/>
      <c r="P294" s="180" t="e">
        <f>ROUND(SUM(P295:P301),10)</f>
        <v>#REF!</v>
      </c>
      <c r="Q294" s="542"/>
      <c r="R294" s="180" t="e">
        <f>ROUND(SUM(R295:R301),10)</f>
        <v>#REF!</v>
      </c>
      <c r="S294" s="542"/>
      <c r="T294" s="180" t="e">
        <f>ROUND(SUM(T295:T301),10)</f>
        <v>#REF!</v>
      </c>
      <c r="U294" s="568"/>
      <c r="V294" s="575"/>
      <c r="W294" s="570" t="e">
        <f>ROUND(SUM(W295:W301),10)</f>
        <v>#REF!</v>
      </c>
      <c r="X294" s="575"/>
      <c r="Y294" s="570">
        <f>ROUND(SUM(Y295:Y301),10)</f>
        <v>0</v>
      </c>
      <c r="Z294" s="575"/>
      <c r="AA294" s="570">
        <f>ROUND(SUM(AA295:AA301),10)</f>
        <v>0</v>
      </c>
      <c r="AB294" s="575"/>
      <c r="AC294" s="570">
        <f>ROUND(SUM(AC295:AC301),10)</f>
        <v>0</v>
      </c>
      <c r="AE294" s="769" t="e">
        <f t="shared" si="242"/>
        <v>#REF!</v>
      </c>
    </row>
    <row r="295" spans="1:31" ht="15" hidden="1" customHeight="1" x14ac:dyDescent="0.2">
      <c r="A295" s="611" t="s">
        <v>1082</v>
      </c>
      <c r="B295" s="601" t="s">
        <v>1083</v>
      </c>
      <c r="C295" s="611" t="s">
        <v>114</v>
      </c>
      <c r="D295" s="576">
        <f t="shared" ref="D295:D301" si="265">+I295+K295+M295+O295+Q295+S295</f>
        <v>0</v>
      </c>
      <c r="E295" s="577" t="e">
        <f t="shared" si="207"/>
        <v>#REF!</v>
      </c>
      <c r="F295" s="577" t="e">
        <f t="shared" ref="F295:F301" si="266">ROUND(D295*E295,10)</f>
        <v>#REF!</v>
      </c>
      <c r="G295" s="578"/>
      <c r="I295" s="594"/>
      <c r="J295" s="580" t="e">
        <f t="shared" ref="J295:J301" si="267">+ROUND(E295*I295,10)</f>
        <v>#REF!</v>
      </c>
      <c r="K295" s="537"/>
      <c r="L295" s="445" t="e">
        <f t="shared" ref="L295:L301" si="268">+ROUND(E295*K295,10)</f>
        <v>#REF!</v>
      </c>
      <c r="M295" s="542"/>
      <c r="N295" s="445" t="e">
        <f t="shared" ref="N295:N301" si="269">+ROUND(E295*M295,10)</f>
        <v>#REF!</v>
      </c>
      <c r="O295" s="542"/>
      <c r="P295" s="445" t="e">
        <f t="shared" ref="P295:P301" si="270">+ROUND(E295*O295,10)</f>
        <v>#REF!</v>
      </c>
      <c r="Q295" s="542"/>
      <c r="R295" s="445" t="e">
        <f t="shared" ref="R295:R301" si="271">+ROUND(E295*Q295,10)</f>
        <v>#REF!</v>
      </c>
      <c r="S295" s="542"/>
      <c r="T295" s="445" t="e">
        <f t="shared" ref="T295:T301" si="272">+ROUND(E295*S295,10)</f>
        <v>#REF!</v>
      </c>
      <c r="V295" s="581" t="e">
        <f>+'7,1,7,1 Tuberia H.G. 1.2"'!I20</f>
        <v>#REF!</v>
      </c>
      <c r="W295" s="582" t="e">
        <f t="shared" ref="W295:W301" si="273">ROUND(V295*$D295,10)</f>
        <v>#REF!</v>
      </c>
      <c r="X295" s="581">
        <f>+'7,1,7,1 Tuberia H.G. 1.2"'!I51</f>
        <v>5509.73</v>
      </c>
      <c r="Y295" s="582">
        <f t="shared" ref="Y295:Y301" si="274">ROUND(X295*$D295,10)</f>
        <v>0</v>
      </c>
      <c r="Z295" s="581">
        <f>+'7,1,7,1 Tuberia H.G. 1.2"'!I31</f>
        <v>148.4</v>
      </c>
      <c r="AA295" s="582">
        <f t="shared" ref="AA295:AA301" si="275">ROUND(Z295*$D295,10)</f>
        <v>0</v>
      </c>
      <c r="AB295" s="581">
        <f>+'7,1,7,1 Tuberia H.G. 1.2"'!I42</f>
        <v>0</v>
      </c>
      <c r="AC295" s="582">
        <f t="shared" ref="AC295:AC301" si="276">ROUND(AB295*$D295,10)</f>
        <v>0</v>
      </c>
      <c r="AE295" s="769" t="e">
        <f t="shared" si="242"/>
        <v>#REF!</v>
      </c>
    </row>
    <row r="296" spans="1:31" ht="15" hidden="1" customHeight="1" x14ac:dyDescent="0.2">
      <c r="A296" s="611" t="s">
        <v>1084</v>
      </c>
      <c r="B296" s="601" t="s">
        <v>1085</v>
      </c>
      <c r="C296" s="611" t="s">
        <v>111</v>
      </c>
      <c r="D296" s="576">
        <f t="shared" si="265"/>
        <v>0</v>
      </c>
      <c r="E296" s="577" t="e">
        <f t="shared" si="207"/>
        <v>#REF!</v>
      </c>
      <c r="F296" s="577" t="e">
        <f t="shared" si="266"/>
        <v>#REF!</v>
      </c>
      <c r="G296" s="578"/>
      <c r="I296" s="584"/>
      <c r="J296" s="585" t="e">
        <f t="shared" si="267"/>
        <v>#REF!</v>
      </c>
      <c r="K296" s="537"/>
      <c r="L296" s="445" t="e">
        <f t="shared" si="268"/>
        <v>#REF!</v>
      </c>
      <c r="M296" s="542"/>
      <c r="N296" s="445" t="e">
        <f t="shared" si="269"/>
        <v>#REF!</v>
      </c>
      <c r="O296" s="542"/>
      <c r="P296" s="445" t="e">
        <f t="shared" si="270"/>
        <v>#REF!</v>
      </c>
      <c r="Q296" s="542"/>
      <c r="R296" s="445" t="e">
        <f t="shared" si="271"/>
        <v>#REF!</v>
      </c>
      <c r="S296" s="542"/>
      <c r="T296" s="445" t="e">
        <f t="shared" si="272"/>
        <v>#REF!</v>
      </c>
      <c r="V296" s="581" t="e">
        <f>+'7,1,7,2  Accesorio H.G.1.2"'!I20</f>
        <v>#REF!</v>
      </c>
      <c r="W296" s="582" t="e">
        <f t="shared" si="273"/>
        <v>#REF!</v>
      </c>
      <c r="X296" s="581">
        <f>+'7,1,7,2  Accesorio H.G.1.2"'!I51</f>
        <v>418.74</v>
      </c>
      <c r="Y296" s="582">
        <f t="shared" si="274"/>
        <v>0</v>
      </c>
      <c r="Z296" s="581">
        <f>+'7,1,7,2  Accesorio H.G.1.2"'!I31</f>
        <v>148.4</v>
      </c>
      <c r="AA296" s="582">
        <f t="shared" si="275"/>
        <v>0</v>
      </c>
      <c r="AB296" s="581">
        <f>+'7,1,7,2  Accesorio H.G.1.2"'!I42</f>
        <v>0</v>
      </c>
      <c r="AC296" s="582">
        <f t="shared" si="276"/>
        <v>0</v>
      </c>
      <c r="AE296" s="769" t="e">
        <f t="shared" si="242"/>
        <v>#REF!</v>
      </c>
    </row>
    <row r="297" spans="1:31" ht="15" hidden="1" customHeight="1" x14ac:dyDescent="0.2">
      <c r="A297" s="611" t="s">
        <v>1086</v>
      </c>
      <c r="B297" s="601" t="s">
        <v>1087</v>
      </c>
      <c r="C297" s="611" t="s">
        <v>111</v>
      </c>
      <c r="D297" s="576">
        <f t="shared" si="265"/>
        <v>0</v>
      </c>
      <c r="E297" s="577" t="e">
        <f t="shared" si="207"/>
        <v>#REF!</v>
      </c>
      <c r="F297" s="577" t="e">
        <f t="shared" si="266"/>
        <v>#REF!</v>
      </c>
      <c r="G297" s="578"/>
      <c r="I297" s="584"/>
      <c r="J297" s="585" t="e">
        <f t="shared" si="267"/>
        <v>#REF!</v>
      </c>
      <c r="K297" s="537"/>
      <c r="L297" s="445" t="e">
        <f t="shared" si="268"/>
        <v>#REF!</v>
      </c>
      <c r="M297" s="542"/>
      <c r="N297" s="445" t="e">
        <f t="shared" si="269"/>
        <v>#REF!</v>
      </c>
      <c r="O297" s="542"/>
      <c r="P297" s="445" t="e">
        <f t="shared" si="270"/>
        <v>#REF!</v>
      </c>
      <c r="Q297" s="542"/>
      <c r="R297" s="445" t="e">
        <f t="shared" si="271"/>
        <v>#REF!</v>
      </c>
      <c r="S297" s="542"/>
      <c r="T297" s="445" t="e">
        <f t="shared" si="272"/>
        <v>#REF!</v>
      </c>
      <c r="V297" s="581" t="e">
        <f>+'7,1,7,3 Registro Corte 1.2" '!I20</f>
        <v>#REF!</v>
      </c>
      <c r="W297" s="582" t="e">
        <f t="shared" si="273"/>
        <v>#REF!</v>
      </c>
      <c r="X297" s="581">
        <f>+'7,1,7,3 Registro Corte 1.2" '!I51</f>
        <v>6978.99</v>
      </c>
      <c r="Y297" s="582">
        <f t="shared" si="274"/>
        <v>0</v>
      </c>
      <c r="Z297" s="581"/>
      <c r="AA297" s="582">
        <f t="shared" si="275"/>
        <v>0</v>
      </c>
      <c r="AB297" s="581"/>
      <c r="AC297" s="582">
        <f t="shared" si="276"/>
        <v>0</v>
      </c>
      <c r="AE297" s="769" t="e">
        <f t="shared" si="242"/>
        <v>#REF!</v>
      </c>
    </row>
    <row r="298" spans="1:31" ht="15" hidden="1" customHeight="1" x14ac:dyDescent="0.2">
      <c r="A298" s="611" t="s">
        <v>1088</v>
      </c>
      <c r="B298" s="601" t="s">
        <v>1089</v>
      </c>
      <c r="C298" s="611" t="s">
        <v>111</v>
      </c>
      <c r="D298" s="576">
        <f t="shared" si="265"/>
        <v>0</v>
      </c>
      <c r="E298" s="577" t="e">
        <f t="shared" si="207"/>
        <v>#REF!</v>
      </c>
      <c r="F298" s="577" t="e">
        <f t="shared" si="266"/>
        <v>#REF!</v>
      </c>
      <c r="G298" s="578"/>
      <c r="I298" s="584"/>
      <c r="J298" s="585" t="e">
        <f t="shared" si="267"/>
        <v>#REF!</v>
      </c>
      <c r="K298" s="537"/>
      <c r="L298" s="445" t="e">
        <f t="shared" si="268"/>
        <v>#REF!</v>
      </c>
      <c r="M298" s="542"/>
      <c r="N298" s="445" t="e">
        <f t="shared" si="269"/>
        <v>#REF!</v>
      </c>
      <c r="O298" s="542"/>
      <c r="P298" s="445" t="e">
        <f t="shared" si="270"/>
        <v>#REF!</v>
      </c>
      <c r="Q298" s="542"/>
      <c r="R298" s="445" t="e">
        <f t="shared" si="271"/>
        <v>#REF!</v>
      </c>
      <c r="S298" s="542"/>
      <c r="T298" s="445" t="e">
        <f t="shared" si="272"/>
        <v>#REF!</v>
      </c>
      <c r="V298" s="581" t="e">
        <f>+'7,1,7,4 Registro 1.2"'!I20</f>
        <v>#REF!</v>
      </c>
      <c r="W298" s="582" t="e">
        <f t="shared" si="273"/>
        <v>#REF!</v>
      </c>
      <c r="X298" s="581">
        <f>+'7,1,7,4 Registro 1.2"'!I51</f>
        <v>7477.49</v>
      </c>
      <c r="Y298" s="582">
        <f t="shared" si="274"/>
        <v>0</v>
      </c>
      <c r="Z298" s="581">
        <f>+'7,1,7,4 Registro 1.2"'!I31</f>
        <v>154.58000000000001</v>
      </c>
      <c r="AA298" s="582">
        <f t="shared" si="275"/>
        <v>0</v>
      </c>
      <c r="AB298" s="581">
        <f>+'7,1,7,4 Registro 1.2"'!I42</f>
        <v>0</v>
      </c>
      <c r="AC298" s="582">
        <f t="shared" si="276"/>
        <v>0</v>
      </c>
      <c r="AE298" s="769" t="e">
        <f t="shared" si="242"/>
        <v>#REF!</v>
      </c>
    </row>
    <row r="299" spans="1:31" ht="15" hidden="1" customHeight="1" x14ac:dyDescent="0.2">
      <c r="A299" s="611" t="s">
        <v>1090</v>
      </c>
      <c r="B299" s="601" t="s">
        <v>1091</v>
      </c>
      <c r="C299" s="611" t="s">
        <v>111</v>
      </c>
      <c r="D299" s="576">
        <f t="shared" si="265"/>
        <v>0</v>
      </c>
      <c r="E299" s="577" t="e">
        <f t="shared" si="207"/>
        <v>#REF!</v>
      </c>
      <c r="F299" s="577" t="e">
        <f t="shared" si="266"/>
        <v>#REF!</v>
      </c>
      <c r="G299" s="578"/>
      <c r="I299" s="584"/>
      <c r="J299" s="585" t="e">
        <f t="shared" si="267"/>
        <v>#REF!</v>
      </c>
      <c r="K299" s="537"/>
      <c r="L299" s="445" t="e">
        <f t="shared" si="268"/>
        <v>#REF!</v>
      </c>
      <c r="M299" s="542"/>
      <c r="N299" s="445" t="e">
        <f t="shared" si="269"/>
        <v>#REF!</v>
      </c>
      <c r="O299" s="542"/>
      <c r="P299" s="445" t="e">
        <f t="shared" si="270"/>
        <v>#REF!</v>
      </c>
      <c r="Q299" s="542"/>
      <c r="R299" s="445" t="e">
        <f t="shared" si="271"/>
        <v>#REF!</v>
      </c>
      <c r="S299" s="542"/>
      <c r="T299" s="445" t="e">
        <f t="shared" si="272"/>
        <v>#REF!</v>
      </c>
      <c r="V299" s="581" t="e">
        <f>+'7,1,7,5 Caja para medidor'!I20</f>
        <v>#REF!</v>
      </c>
      <c r="W299" s="582" t="e">
        <f t="shared" si="273"/>
        <v>#REF!</v>
      </c>
      <c r="X299" s="581">
        <f>+'7,1,7,5 Caja para medidor'!I51</f>
        <v>18291.61</v>
      </c>
      <c r="Y299" s="582">
        <f t="shared" si="274"/>
        <v>0</v>
      </c>
      <c r="Z299" s="581">
        <f>+'7,1,7,5 Caja para medidor'!I31</f>
        <v>154.58000000000001</v>
      </c>
      <c r="AA299" s="582">
        <f t="shared" si="275"/>
        <v>0</v>
      </c>
      <c r="AB299" s="581">
        <f>+'7,1,7,5 Caja para medidor'!I42</f>
        <v>0</v>
      </c>
      <c r="AC299" s="582">
        <f t="shared" si="276"/>
        <v>0</v>
      </c>
      <c r="AE299" s="769" t="e">
        <f t="shared" si="242"/>
        <v>#REF!</v>
      </c>
    </row>
    <row r="300" spans="1:31" ht="15" hidden="1" customHeight="1" x14ac:dyDescent="0.2">
      <c r="A300" s="611" t="s">
        <v>1092</v>
      </c>
      <c r="B300" s="601" t="s">
        <v>1093</v>
      </c>
      <c r="C300" s="611" t="s">
        <v>111</v>
      </c>
      <c r="D300" s="576">
        <f t="shared" si="265"/>
        <v>0</v>
      </c>
      <c r="E300" s="577">
        <f t="shared" si="207"/>
        <v>0</v>
      </c>
      <c r="F300" s="577">
        <f t="shared" si="266"/>
        <v>0</v>
      </c>
      <c r="G300" s="578"/>
      <c r="I300" s="584"/>
      <c r="J300" s="585">
        <f t="shared" si="267"/>
        <v>0</v>
      </c>
      <c r="K300" s="537"/>
      <c r="L300" s="445">
        <f t="shared" si="268"/>
        <v>0</v>
      </c>
      <c r="M300" s="542"/>
      <c r="N300" s="445">
        <f t="shared" si="269"/>
        <v>0</v>
      </c>
      <c r="O300" s="542"/>
      <c r="P300" s="445">
        <f t="shared" si="270"/>
        <v>0</v>
      </c>
      <c r="Q300" s="542"/>
      <c r="R300" s="445">
        <f t="shared" si="271"/>
        <v>0</v>
      </c>
      <c r="S300" s="542"/>
      <c r="T300" s="445">
        <f t="shared" si="272"/>
        <v>0</v>
      </c>
      <c r="V300" s="581"/>
      <c r="W300" s="582">
        <f t="shared" si="273"/>
        <v>0</v>
      </c>
      <c r="X300" s="581"/>
      <c r="Y300" s="582">
        <f t="shared" si="274"/>
        <v>0</v>
      </c>
      <c r="Z300" s="581"/>
      <c r="AA300" s="582">
        <f t="shared" si="275"/>
        <v>0</v>
      </c>
      <c r="AB300" s="581"/>
      <c r="AC300" s="582">
        <f t="shared" si="276"/>
        <v>0</v>
      </c>
      <c r="AE300" s="769">
        <f t="shared" si="242"/>
        <v>0</v>
      </c>
    </row>
    <row r="301" spans="1:31" ht="15" hidden="1" customHeight="1" x14ac:dyDescent="0.2">
      <c r="A301" s="611" t="s">
        <v>1094</v>
      </c>
      <c r="B301" s="601" t="s">
        <v>1095</v>
      </c>
      <c r="C301" s="611" t="s">
        <v>111</v>
      </c>
      <c r="D301" s="576">
        <f t="shared" si="265"/>
        <v>0</v>
      </c>
      <c r="E301" s="577">
        <f t="shared" si="207"/>
        <v>0</v>
      </c>
      <c r="F301" s="577">
        <f t="shared" si="266"/>
        <v>0</v>
      </c>
      <c r="G301" s="578"/>
      <c r="I301" s="597"/>
      <c r="J301" s="598">
        <f t="shared" si="267"/>
        <v>0</v>
      </c>
      <c r="K301" s="537"/>
      <c r="L301" s="445">
        <f t="shared" si="268"/>
        <v>0</v>
      </c>
      <c r="M301" s="542"/>
      <c r="N301" s="445">
        <f t="shared" si="269"/>
        <v>0</v>
      </c>
      <c r="O301" s="542"/>
      <c r="P301" s="445">
        <f t="shared" si="270"/>
        <v>0</v>
      </c>
      <c r="Q301" s="542"/>
      <c r="R301" s="445">
        <f t="shared" si="271"/>
        <v>0</v>
      </c>
      <c r="S301" s="542"/>
      <c r="T301" s="445">
        <f t="shared" si="272"/>
        <v>0</v>
      </c>
      <c r="V301" s="581"/>
      <c r="W301" s="582">
        <f t="shared" si="273"/>
        <v>0</v>
      </c>
      <c r="X301" s="581"/>
      <c r="Y301" s="582">
        <f t="shared" si="274"/>
        <v>0</v>
      </c>
      <c r="Z301" s="581"/>
      <c r="AA301" s="582">
        <f t="shared" si="275"/>
        <v>0</v>
      </c>
      <c r="AB301" s="581"/>
      <c r="AC301" s="582">
        <f t="shared" si="276"/>
        <v>0</v>
      </c>
      <c r="AE301" s="769">
        <f t="shared" si="242"/>
        <v>0</v>
      </c>
    </row>
    <row r="302" spans="1:31" ht="15" customHeight="1" x14ac:dyDescent="0.2">
      <c r="A302" s="572" t="s">
        <v>1096</v>
      </c>
      <c r="B302" s="573" t="s">
        <v>1097</v>
      </c>
      <c r="C302" s="846"/>
      <c r="D302" s="576"/>
      <c r="E302" s="577"/>
      <c r="F302" s="626" t="e">
        <f>+ROUND(SUM(F303:F315),10)</f>
        <v>#REF!</v>
      </c>
      <c r="G302" s="473"/>
      <c r="H302" s="568"/>
      <c r="I302" s="613"/>
      <c r="J302" s="440" t="e">
        <f>ROUND(SUM(J303:J315),10)</f>
        <v>#REF!</v>
      </c>
      <c r="K302" s="537"/>
      <c r="L302" s="180" t="e">
        <f>ROUND(SUM(L303:L315),10)</f>
        <v>#REF!</v>
      </c>
      <c r="M302" s="542"/>
      <c r="N302" s="180" t="e">
        <f>ROUND(SUM(N303:N315),10)</f>
        <v>#REF!</v>
      </c>
      <c r="O302" s="542"/>
      <c r="P302" s="180" t="e">
        <f>ROUND(SUM(P303:P315),10)</f>
        <v>#REF!</v>
      </c>
      <c r="Q302" s="542"/>
      <c r="R302" s="180" t="e">
        <f>ROUND(SUM(R303:R315),10)</f>
        <v>#REF!</v>
      </c>
      <c r="S302" s="542"/>
      <c r="T302" s="180" t="e">
        <f>ROUND(SUM(T303:T315),10)</f>
        <v>#REF!</v>
      </c>
      <c r="U302" s="568"/>
      <c r="V302" s="575"/>
      <c r="W302" s="570" t="e">
        <f>ROUND(SUM(W303:W315),10)</f>
        <v>#REF!</v>
      </c>
      <c r="X302" s="575"/>
      <c r="Y302" s="570" t="e">
        <f>ROUND(SUM(Y303:Y315),10)</f>
        <v>#REF!</v>
      </c>
      <c r="Z302" s="575"/>
      <c r="AA302" s="570" t="e">
        <f>ROUND(SUM(AA303:AA315),10)</f>
        <v>#REF!</v>
      </c>
      <c r="AB302" s="575"/>
      <c r="AC302" s="570">
        <f>ROUND(SUM(AC303:AC315),10)</f>
        <v>0</v>
      </c>
      <c r="AE302" s="769" t="e">
        <f t="shared" si="242"/>
        <v>#REF!</v>
      </c>
    </row>
    <row r="303" spans="1:31" ht="25.5" x14ac:dyDescent="0.2">
      <c r="A303" s="611" t="s">
        <v>1098</v>
      </c>
      <c r="B303" s="601" t="s">
        <v>1099</v>
      </c>
      <c r="C303" s="611" t="s">
        <v>111</v>
      </c>
      <c r="D303" s="576">
        <f t="shared" ref="D303:D315" si="277">+I303+K303+M303+O303+Q303+S303</f>
        <v>47</v>
      </c>
      <c r="E303" s="577" t="e">
        <f t="shared" si="207"/>
        <v>#REF!</v>
      </c>
      <c r="F303" s="577" t="e">
        <f t="shared" ref="F303:F315" si="278">ROUND(D303*E303,10)</f>
        <v>#REF!</v>
      </c>
      <c r="G303" s="578"/>
      <c r="I303" s="594"/>
      <c r="J303" s="580" t="e">
        <f t="shared" ref="J303:J315" si="279">+ROUND(E303*I303,10)</f>
        <v>#REF!</v>
      </c>
      <c r="K303" s="537"/>
      <c r="L303" s="445" t="e">
        <f t="shared" ref="L303:L315" si="280">+ROUND(E303*K303,10)</f>
        <v>#REF!</v>
      </c>
      <c r="M303" s="542"/>
      <c r="N303" s="445" t="e">
        <f t="shared" ref="N303:N315" si="281">+ROUND(E303*M303,10)</f>
        <v>#REF!</v>
      </c>
      <c r="O303" s="542">
        <v>47</v>
      </c>
      <c r="P303" s="445" t="e">
        <f t="shared" ref="P303:P315" si="282">+ROUND(E303*O303,10)</f>
        <v>#REF!</v>
      </c>
      <c r="Q303" s="542"/>
      <c r="R303" s="445" t="e">
        <f t="shared" ref="R303:R315" si="283">+ROUND(E303*Q303,10)</f>
        <v>#REF!</v>
      </c>
      <c r="S303" s="542"/>
      <c r="T303" s="445" t="e">
        <f t="shared" ref="T303:T315" si="284">+ROUND(E303*S303,10)</f>
        <v>#REF!</v>
      </c>
      <c r="V303" s="581" t="e">
        <f>+#REF!</f>
        <v>#REF!</v>
      </c>
      <c r="W303" s="582" t="e">
        <f t="shared" ref="W303:W315" si="285">ROUND(V303*$D303,10)</f>
        <v>#REF!</v>
      </c>
      <c r="X303" s="581" t="e">
        <f>+#REF!</f>
        <v>#REF!</v>
      </c>
      <c r="Y303" s="582" t="e">
        <f t="shared" ref="Y303:Y315" si="286">ROUND(X303*$D303,10)</f>
        <v>#REF!</v>
      </c>
      <c r="Z303" s="581" t="e">
        <f>+#REF!</f>
        <v>#REF!</v>
      </c>
      <c r="AA303" s="582" t="e">
        <f t="shared" ref="AA303:AA315" si="287">ROUND(Z303*$D303,10)</f>
        <v>#REF!</v>
      </c>
      <c r="AB303" s="581"/>
      <c r="AC303" s="582">
        <f t="shared" ref="AC303:AC315" si="288">ROUND(AB303*$D303,10)</f>
        <v>0</v>
      </c>
      <c r="AE303" s="769" t="e">
        <f t="shared" si="242"/>
        <v>#REF!</v>
      </c>
    </row>
    <row r="304" spans="1:31" ht="15" hidden="1" customHeight="1" x14ac:dyDescent="0.2">
      <c r="A304" s="611" t="s">
        <v>1100</v>
      </c>
      <c r="B304" s="601" t="s">
        <v>1101</v>
      </c>
      <c r="C304" s="611" t="s">
        <v>111</v>
      </c>
      <c r="D304" s="576">
        <f t="shared" si="277"/>
        <v>0</v>
      </c>
      <c r="E304" s="577" t="e">
        <f t="shared" si="207"/>
        <v>#REF!</v>
      </c>
      <c r="F304" s="577" t="e">
        <f t="shared" si="278"/>
        <v>#REF!</v>
      </c>
      <c r="G304" s="578"/>
      <c r="I304" s="584"/>
      <c r="J304" s="585" t="e">
        <f t="shared" si="279"/>
        <v>#REF!</v>
      </c>
      <c r="K304" s="537"/>
      <c r="L304" s="445" t="e">
        <f t="shared" si="280"/>
        <v>#REF!</v>
      </c>
      <c r="M304" s="542"/>
      <c r="N304" s="445" t="e">
        <f t="shared" si="281"/>
        <v>#REF!</v>
      </c>
      <c r="O304" s="542"/>
      <c r="P304" s="445" t="e">
        <f t="shared" si="282"/>
        <v>#REF!</v>
      </c>
      <c r="Q304" s="542"/>
      <c r="R304" s="445" t="e">
        <f t="shared" si="283"/>
        <v>#REF!</v>
      </c>
      <c r="S304" s="542"/>
      <c r="T304" s="445" t="e">
        <f t="shared" si="284"/>
        <v>#REF!</v>
      </c>
      <c r="V304" s="581" t="e">
        <f>+'7,1,8,2 Punto  Agua Fria 1 1.2"'!I20</f>
        <v>#REF!</v>
      </c>
      <c r="W304" s="582" t="e">
        <f t="shared" si="285"/>
        <v>#REF!</v>
      </c>
      <c r="X304" s="581">
        <f>+'7,1,8,2 Punto  Agua Fria 1 1.2"'!I51</f>
        <v>26171.23</v>
      </c>
      <c r="Y304" s="582">
        <f t="shared" si="286"/>
        <v>0</v>
      </c>
      <c r="Z304" s="581">
        <f>+'7,1,8,2 Punto  Agua Fria 1 1.2"'!I31</f>
        <v>3710</v>
      </c>
      <c r="AA304" s="582">
        <f t="shared" si="287"/>
        <v>0</v>
      </c>
      <c r="AB304" s="581">
        <f>+'7,1,8,2 Punto  Agua Fria 1 1.2"'!I42</f>
        <v>0</v>
      </c>
      <c r="AC304" s="582">
        <f t="shared" si="288"/>
        <v>0</v>
      </c>
      <c r="AE304" s="769" t="e">
        <f t="shared" si="242"/>
        <v>#REF!</v>
      </c>
    </row>
    <row r="305" spans="1:31" ht="15" hidden="1" customHeight="1" x14ac:dyDescent="0.2">
      <c r="A305" s="611" t="s">
        <v>1102</v>
      </c>
      <c r="B305" s="601" t="s">
        <v>1103</v>
      </c>
      <c r="C305" s="611" t="s">
        <v>111</v>
      </c>
      <c r="D305" s="576">
        <f t="shared" si="277"/>
        <v>0</v>
      </c>
      <c r="E305" s="577" t="e">
        <f t="shared" si="207"/>
        <v>#REF!</v>
      </c>
      <c r="F305" s="577" t="e">
        <f t="shared" si="278"/>
        <v>#REF!</v>
      </c>
      <c r="G305" s="578"/>
      <c r="I305" s="584"/>
      <c r="J305" s="585" t="e">
        <f t="shared" si="279"/>
        <v>#REF!</v>
      </c>
      <c r="K305" s="537"/>
      <c r="L305" s="445" t="e">
        <f t="shared" si="280"/>
        <v>#REF!</v>
      </c>
      <c r="M305" s="542"/>
      <c r="N305" s="445" t="e">
        <f t="shared" si="281"/>
        <v>#REF!</v>
      </c>
      <c r="O305" s="542"/>
      <c r="P305" s="445" t="e">
        <f t="shared" si="282"/>
        <v>#REF!</v>
      </c>
      <c r="Q305" s="542"/>
      <c r="R305" s="445" t="e">
        <f t="shared" si="283"/>
        <v>#REF!</v>
      </c>
      <c r="S305" s="542"/>
      <c r="T305" s="445" t="e">
        <f t="shared" si="284"/>
        <v>#REF!</v>
      </c>
      <c r="V305" s="581" t="e">
        <f>+'7,1,8,3 P Agua Fria Sanitarios'!I21</f>
        <v>#REF!</v>
      </c>
      <c r="W305" s="582" t="e">
        <f t="shared" si="285"/>
        <v>#REF!</v>
      </c>
      <c r="X305" s="581">
        <f>+'7,1,8,3 P Agua Fria Sanitarios'!I52</f>
        <v>23263.32</v>
      </c>
      <c r="Y305" s="582">
        <f t="shared" si="286"/>
        <v>0</v>
      </c>
      <c r="Z305" s="581">
        <f>+'7,1,8,3 P Agua Fria Sanitarios'!I32</f>
        <v>3710</v>
      </c>
      <c r="AA305" s="582">
        <f t="shared" si="287"/>
        <v>0</v>
      </c>
      <c r="AB305" s="581"/>
      <c r="AC305" s="582">
        <f t="shared" si="288"/>
        <v>0</v>
      </c>
      <c r="AE305" s="769" t="e">
        <f t="shared" si="242"/>
        <v>#REF!</v>
      </c>
    </row>
    <row r="306" spans="1:31" ht="15" hidden="1" customHeight="1" x14ac:dyDescent="0.2">
      <c r="A306" s="611" t="s">
        <v>1104</v>
      </c>
      <c r="B306" s="601" t="s">
        <v>1105</v>
      </c>
      <c r="C306" s="611" t="s">
        <v>111</v>
      </c>
      <c r="D306" s="576">
        <f t="shared" si="277"/>
        <v>0</v>
      </c>
      <c r="E306" s="577" t="e">
        <f t="shared" si="207"/>
        <v>#REF!</v>
      </c>
      <c r="F306" s="577" t="e">
        <f t="shared" si="278"/>
        <v>#REF!</v>
      </c>
      <c r="G306" s="578"/>
      <c r="I306" s="584"/>
      <c r="J306" s="585" t="e">
        <f t="shared" si="279"/>
        <v>#REF!</v>
      </c>
      <c r="K306" s="537"/>
      <c r="L306" s="445" t="e">
        <f t="shared" si="280"/>
        <v>#REF!</v>
      </c>
      <c r="M306" s="542"/>
      <c r="N306" s="445" t="e">
        <f t="shared" si="281"/>
        <v>#REF!</v>
      </c>
      <c r="O306" s="542"/>
      <c r="P306" s="445" t="e">
        <f t="shared" si="282"/>
        <v>#REF!</v>
      </c>
      <c r="Q306" s="542"/>
      <c r="R306" s="445" t="e">
        <f t="shared" si="283"/>
        <v>#REF!</v>
      </c>
      <c r="S306" s="542"/>
      <c r="T306" s="445" t="e">
        <f t="shared" si="284"/>
        <v>#REF!</v>
      </c>
      <c r="V306" s="581" t="e">
        <f>+'7,1,8,4 P Agua Fria Orinales'!I21</f>
        <v>#REF!</v>
      </c>
      <c r="W306" s="582" t="e">
        <f t="shared" si="285"/>
        <v>#REF!</v>
      </c>
      <c r="X306" s="581">
        <f>+'7,1,8,4 P Agua Fria Orinales'!I52</f>
        <v>23263.32</v>
      </c>
      <c r="Y306" s="582">
        <f t="shared" si="286"/>
        <v>0</v>
      </c>
      <c r="Z306" s="581">
        <f>+'7,1,8,4 P Agua Fria Orinales'!I32</f>
        <v>3710</v>
      </c>
      <c r="AA306" s="582">
        <f t="shared" si="287"/>
        <v>0</v>
      </c>
      <c r="AB306" s="581"/>
      <c r="AC306" s="582">
        <f t="shared" si="288"/>
        <v>0</v>
      </c>
      <c r="AE306" s="769" t="e">
        <f t="shared" si="242"/>
        <v>#REF!</v>
      </c>
    </row>
    <row r="307" spans="1:31" ht="15" hidden="1" customHeight="1" x14ac:dyDescent="0.2">
      <c r="A307" s="611" t="s">
        <v>1106</v>
      </c>
      <c r="B307" s="601" t="s">
        <v>1107</v>
      </c>
      <c r="C307" s="611" t="s">
        <v>111</v>
      </c>
      <c r="D307" s="576">
        <f t="shared" si="277"/>
        <v>0</v>
      </c>
      <c r="E307" s="577" t="e">
        <f t="shared" si="207"/>
        <v>#REF!</v>
      </c>
      <c r="F307" s="577" t="e">
        <f t="shared" si="278"/>
        <v>#REF!</v>
      </c>
      <c r="G307" s="578"/>
      <c r="I307" s="584"/>
      <c r="J307" s="585" t="e">
        <f t="shared" si="279"/>
        <v>#REF!</v>
      </c>
      <c r="K307" s="537"/>
      <c r="L307" s="445" t="e">
        <f t="shared" si="280"/>
        <v>#REF!</v>
      </c>
      <c r="M307" s="542"/>
      <c r="N307" s="445" t="e">
        <f t="shared" si="281"/>
        <v>#REF!</v>
      </c>
      <c r="O307" s="542"/>
      <c r="P307" s="445" t="e">
        <f t="shared" si="282"/>
        <v>#REF!</v>
      </c>
      <c r="Q307" s="542"/>
      <c r="R307" s="445" t="e">
        <f t="shared" si="283"/>
        <v>#REF!</v>
      </c>
      <c r="S307" s="542"/>
      <c r="T307" s="445" t="e">
        <f t="shared" si="284"/>
        <v>#REF!</v>
      </c>
      <c r="V307" s="581" t="e">
        <f>+'7,1,8,5 P Agua Fria pocetas lab'!I21</f>
        <v>#REF!</v>
      </c>
      <c r="W307" s="582" t="e">
        <f t="shared" si="285"/>
        <v>#REF!</v>
      </c>
      <c r="X307" s="581">
        <f>+'7,1,8,5 P Agua Fria pocetas lab'!I52</f>
        <v>23263.32</v>
      </c>
      <c r="Y307" s="582">
        <f t="shared" si="286"/>
        <v>0</v>
      </c>
      <c r="Z307" s="581">
        <f>+'7,1,8,5 P Agua Fria pocetas lab'!I32</f>
        <v>3710</v>
      </c>
      <c r="AA307" s="582">
        <f t="shared" si="287"/>
        <v>0</v>
      </c>
      <c r="AB307" s="581">
        <f>+'7,1,8,5 P Agua Fria pocetas lab'!I43</f>
        <v>0</v>
      </c>
      <c r="AC307" s="582">
        <f t="shared" si="288"/>
        <v>0</v>
      </c>
      <c r="AE307" s="769" t="e">
        <f t="shared" si="242"/>
        <v>#REF!</v>
      </c>
    </row>
    <row r="308" spans="1:31" ht="15" hidden="1" customHeight="1" x14ac:dyDescent="0.2">
      <c r="A308" s="611" t="s">
        <v>1108</v>
      </c>
      <c r="B308" s="601" t="s">
        <v>1109</v>
      </c>
      <c r="C308" s="611" t="s">
        <v>111</v>
      </c>
      <c r="D308" s="576">
        <f t="shared" si="277"/>
        <v>0</v>
      </c>
      <c r="E308" s="577" t="e">
        <f t="shared" si="207"/>
        <v>#REF!</v>
      </c>
      <c r="F308" s="577" t="e">
        <f t="shared" si="278"/>
        <v>#REF!</v>
      </c>
      <c r="G308" s="578"/>
      <c r="I308" s="584"/>
      <c r="J308" s="585" t="e">
        <f t="shared" si="279"/>
        <v>#REF!</v>
      </c>
      <c r="K308" s="537"/>
      <c r="L308" s="445" t="e">
        <f t="shared" si="280"/>
        <v>#REF!</v>
      </c>
      <c r="M308" s="542"/>
      <c r="N308" s="445" t="e">
        <f t="shared" si="281"/>
        <v>#REF!</v>
      </c>
      <c r="O308" s="542"/>
      <c r="P308" s="445" t="e">
        <f t="shared" si="282"/>
        <v>#REF!</v>
      </c>
      <c r="Q308" s="542"/>
      <c r="R308" s="445" t="e">
        <f t="shared" si="283"/>
        <v>#REF!</v>
      </c>
      <c r="S308" s="542"/>
      <c r="T308" s="445" t="e">
        <f t="shared" si="284"/>
        <v>#REF!</v>
      </c>
      <c r="V308" s="581" t="e">
        <f>+'7,1,8,6 P Agua Fria Ducha'!I21</f>
        <v>#REF!</v>
      </c>
      <c r="W308" s="582" t="e">
        <f t="shared" si="285"/>
        <v>#REF!</v>
      </c>
      <c r="X308" s="581">
        <f>+'7,1,8,6 P Agua Fria Ducha'!I52</f>
        <v>23263.32</v>
      </c>
      <c r="Y308" s="582">
        <f t="shared" si="286"/>
        <v>0</v>
      </c>
      <c r="Z308" s="581">
        <f>+'7,1,8,6 P Agua Fria Ducha'!I32</f>
        <v>3710</v>
      </c>
      <c r="AA308" s="582">
        <f t="shared" si="287"/>
        <v>0</v>
      </c>
      <c r="AB308" s="581">
        <f>+'7,1,8,6 P Agua Fria Ducha'!I43</f>
        <v>0</v>
      </c>
      <c r="AC308" s="582">
        <f t="shared" si="288"/>
        <v>0</v>
      </c>
      <c r="AE308" s="769" t="e">
        <f t="shared" si="242"/>
        <v>#REF!</v>
      </c>
    </row>
    <row r="309" spans="1:31" ht="15" hidden="1" customHeight="1" x14ac:dyDescent="0.2">
      <c r="A309" s="611" t="s">
        <v>1110</v>
      </c>
      <c r="B309" s="601" t="s">
        <v>1111</v>
      </c>
      <c r="C309" s="611" t="s">
        <v>111</v>
      </c>
      <c r="D309" s="576">
        <f t="shared" si="277"/>
        <v>0</v>
      </c>
      <c r="E309" s="577" t="e">
        <f t="shared" si="207"/>
        <v>#REF!</v>
      </c>
      <c r="F309" s="577" t="e">
        <f t="shared" si="278"/>
        <v>#REF!</v>
      </c>
      <c r="G309" s="578"/>
      <c r="I309" s="584"/>
      <c r="J309" s="585" t="e">
        <f t="shared" si="279"/>
        <v>#REF!</v>
      </c>
      <c r="K309" s="537"/>
      <c r="L309" s="445" t="e">
        <f t="shared" si="280"/>
        <v>#REF!</v>
      </c>
      <c r="M309" s="542"/>
      <c r="N309" s="445" t="e">
        <f t="shared" si="281"/>
        <v>#REF!</v>
      </c>
      <c r="O309" s="542"/>
      <c r="P309" s="445" t="e">
        <f t="shared" si="282"/>
        <v>#REF!</v>
      </c>
      <c r="Q309" s="542"/>
      <c r="R309" s="445" t="e">
        <f t="shared" si="283"/>
        <v>#REF!</v>
      </c>
      <c r="S309" s="542"/>
      <c r="T309" s="445" t="e">
        <f t="shared" si="284"/>
        <v>#REF!</v>
      </c>
      <c r="V309" s="581" t="e">
        <f>+'7,1,8,7 P Agua Fria Pocetas'!I20</f>
        <v>#REF!</v>
      </c>
      <c r="W309" s="582" t="e">
        <f t="shared" si="285"/>
        <v>#REF!</v>
      </c>
      <c r="X309" s="581">
        <f>+'7,1,8,7 P Agua Fria Pocetas'!I51</f>
        <v>23263.32</v>
      </c>
      <c r="Y309" s="582">
        <f t="shared" si="286"/>
        <v>0</v>
      </c>
      <c r="Z309" s="581">
        <f>+'7,1,8,7 P Agua Fria Pocetas'!I31</f>
        <v>74.2</v>
      </c>
      <c r="AA309" s="582">
        <f t="shared" si="287"/>
        <v>0</v>
      </c>
      <c r="AB309" s="581"/>
      <c r="AC309" s="582">
        <f t="shared" si="288"/>
        <v>0</v>
      </c>
      <c r="AE309" s="769" t="e">
        <f t="shared" si="242"/>
        <v>#REF!</v>
      </c>
    </row>
    <row r="310" spans="1:31" ht="15" hidden="1" customHeight="1" x14ac:dyDescent="0.2">
      <c r="A310" s="611" t="s">
        <v>1112</v>
      </c>
      <c r="B310" s="601" t="s">
        <v>1113</v>
      </c>
      <c r="C310" s="611" t="s">
        <v>111</v>
      </c>
      <c r="D310" s="576">
        <f t="shared" si="277"/>
        <v>0</v>
      </c>
      <c r="E310" s="577" t="e">
        <f t="shared" ref="E310:E372" si="289">V310+X310+Z310+AB310</f>
        <v>#REF!</v>
      </c>
      <c r="F310" s="577" t="e">
        <f t="shared" si="278"/>
        <v>#REF!</v>
      </c>
      <c r="G310" s="578"/>
      <c r="I310" s="584"/>
      <c r="J310" s="585" t="e">
        <f t="shared" si="279"/>
        <v>#REF!</v>
      </c>
      <c r="K310" s="537"/>
      <c r="L310" s="445" t="e">
        <f t="shared" si="280"/>
        <v>#REF!</v>
      </c>
      <c r="M310" s="542"/>
      <c r="N310" s="445" t="e">
        <f t="shared" si="281"/>
        <v>#REF!</v>
      </c>
      <c r="O310" s="542"/>
      <c r="P310" s="445" t="e">
        <f t="shared" si="282"/>
        <v>#REF!</v>
      </c>
      <c r="Q310" s="542"/>
      <c r="R310" s="445" t="e">
        <f t="shared" si="283"/>
        <v>#REF!</v>
      </c>
      <c r="S310" s="542"/>
      <c r="T310" s="445" t="e">
        <f t="shared" si="284"/>
        <v>#REF!</v>
      </c>
      <c r="V310" s="581" t="e">
        <f>+'7,1,8,8 Llave  Manguera 1.2"'!I20</f>
        <v>#REF!</v>
      </c>
      <c r="W310" s="582" t="e">
        <f t="shared" si="285"/>
        <v>#REF!</v>
      </c>
      <c r="X310" s="581">
        <f>+'7,1,8,8 Llave  Manguera 1.2"'!I51</f>
        <v>4187.3999999999996</v>
      </c>
      <c r="Y310" s="582">
        <f t="shared" si="286"/>
        <v>0</v>
      </c>
      <c r="Z310" s="581">
        <f>+'7,1,8,8 Llave  Manguera 1.2"'!I31</f>
        <v>154.58000000000001</v>
      </c>
      <c r="AA310" s="582">
        <f t="shared" si="287"/>
        <v>0</v>
      </c>
      <c r="AB310" s="581">
        <f>+'7,1,8,8 Llave  Manguera 1.2"'!I42</f>
        <v>0</v>
      </c>
      <c r="AC310" s="582">
        <f t="shared" si="288"/>
        <v>0</v>
      </c>
      <c r="AE310" s="769" t="e">
        <f t="shared" si="242"/>
        <v>#REF!</v>
      </c>
    </row>
    <row r="311" spans="1:31" ht="15" hidden="1" customHeight="1" x14ac:dyDescent="0.2">
      <c r="A311" s="611" t="s">
        <v>1114</v>
      </c>
      <c r="B311" s="601" t="s">
        <v>1115</v>
      </c>
      <c r="C311" s="611" t="s">
        <v>111</v>
      </c>
      <c r="D311" s="576">
        <f t="shared" si="277"/>
        <v>0</v>
      </c>
      <c r="E311" s="577">
        <f t="shared" si="289"/>
        <v>0</v>
      </c>
      <c r="F311" s="577">
        <f t="shared" si="278"/>
        <v>0</v>
      </c>
      <c r="G311" s="578"/>
      <c r="I311" s="584"/>
      <c r="J311" s="585">
        <f t="shared" si="279"/>
        <v>0</v>
      </c>
      <c r="K311" s="537"/>
      <c r="L311" s="445">
        <f t="shared" si="280"/>
        <v>0</v>
      </c>
      <c r="M311" s="542"/>
      <c r="N311" s="445">
        <f t="shared" si="281"/>
        <v>0</v>
      </c>
      <c r="O311" s="542"/>
      <c r="P311" s="445">
        <f t="shared" si="282"/>
        <v>0</v>
      </c>
      <c r="Q311" s="542"/>
      <c r="R311" s="445">
        <f t="shared" si="283"/>
        <v>0</v>
      </c>
      <c r="S311" s="542"/>
      <c r="T311" s="445">
        <f t="shared" si="284"/>
        <v>0</v>
      </c>
      <c r="V311" s="581"/>
      <c r="W311" s="582">
        <f t="shared" si="285"/>
        <v>0</v>
      </c>
      <c r="X311" s="581"/>
      <c r="Y311" s="582">
        <f t="shared" si="286"/>
        <v>0</v>
      </c>
      <c r="Z311" s="581"/>
      <c r="AA311" s="582">
        <f t="shared" si="287"/>
        <v>0</v>
      </c>
      <c r="AB311" s="581"/>
      <c r="AC311" s="582">
        <f t="shared" si="288"/>
        <v>0</v>
      </c>
      <c r="AE311" s="769">
        <f t="shared" si="242"/>
        <v>0</v>
      </c>
    </row>
    <row r="312" spans="1:31" ht="15" hidden="1" customHeight="1" x14ac:dyDescent="0.2">
      <c r="A312" s="611" t="s">
        <v>1116</v>
      </c>
      <c r="B312" s="601" t="s">
        <v>1117</v>
      </c>
      <c r="C312" s="611" t="s">
        <v>111</v>
      </c>
      <c r="D312" s="576">
        <f t="shared" si="277"/>
        <v>0</v>
      </c>
      <c r="E312" s="577" t="e">
        <f t="shared" si="289"/>
        <v>#REF!</v>
      </c>
      <c r="F312" s="577" t="e">
        <f t="shared" si="278"/>
        <v>#REF!</v>
      </c>
      <c r="G312" s="578"/>
      <c r="I312" s="584"/>
      <c r="J312" s="585" t="e">
        <f t="shared" si="279"/>
        <v>#REF!</v>
      </c>
      <c r="K312" s="537"/>
      <c r="L312" s="445" t="e">
        <f t="shared" si="280"/>
        <v>#REF!</v>
      </c>
      <c r="M312" s="542"/>
      <c r="N312" s="445" t="e">
        <f t="shared" si="281"/>
        <v>#REF!</v>
      </c>
      <c r="O312" s="542"/>
      <c r="P312" s="445" t="e">
        <f t="shared" si="282"/>
        <v>#REF!</v>
      </c>
      <c r="Q312" s="542"/>
      <c r="R312" s="445" t="e">
        <f t="shared" si="283"/>
        <v>#REF!</v>
      </c>
      <c r="S312" s="542"/>
      <c r="T312" s="445" t="e">
        <f t="shared" si="284"/>
        <v>#REF!</v>
      </c>
      <c r="V312" s="581" t="e">
        <f>'7,1,8,10  Tapòn H.G.1.2"'!I19</f>
        <v>#REF!</v>
      </c>
      <c r="W312" s="582" t="e">
        <f t="shared" si="285"/>
        <v>#REF!</v>
      </c>
      <c r="X312" s="581">
        <f>'7,1,8,10  Tapòn H.G.1.2"'!I50</f>
        <v>418.74</v>
      </c>
      <c r="Y312" s="582">
        <f t="shared" si="286"/>
        <v>0</v>
      </c>
      <c r="Z312" s="581">
        <f>'7,1,8,10  Tapòn H.G.1.2"'!I30</f>
        <v>148.4</v>
      </c>
      <c r="AA312" s="582">
        <f t="shared" si="287"/>
        <v>0</v>
      </c>
      <c r="AB312" s="581">
        <f>'7,1,8,10  Tapòn H.G.1.2"'!I41</f>
        <v>0</v>
      </c>
      <c r="AC312" s="582">
        <f t="shared" si="288"/>
        <v>0</v>
      </c>
      <c r="AE312" s="769" t="e">
        <f t="shared" si="242"/>
        <v>#REF!</v>
      </c>
    </row>
    <row r="313" spans="1:31" ht="15" hidden="1" customHeight="1" x14ac:dyDescent="0.2">
      <c r="A313" s="611" t="s">
        <v>1118</v>
      </c>
      <c r="B313" s="601" t="s">
        <v>1119</v>
      </c>
      <c r="C313" s="611" t="s">
        <v>111</v>
      </c>
      <c r="D313" s="576">
        <f t="shared" si="277"/>
        <v>0</v>
      </c>
      <c r="E313" s="577" t="e">
        <f t="shared" si="289"/>
        <v>#REF!</v>
      </c>
      <c r="F313" s="577" t="e">
        <f t="shared" si="278"/>
        <v>#REF!</v>
      </c>
      <c r="G313" s="578"/>
      <c r="I313" s="584"/>
      <c r="J313" s="585" t="e">
        <f t="shared" si="279"/>
        <v>#REF!</v>
      </c>
      <c r="K313" s="537"/>
      <c r="L313" s="445" t="e">
        <f t="shared" si="280"/>
        <v>#REF!</v>
      </c>
      <c r="M313" s="542"/>
      <c r="N313" s="445" t="e">
        <f t="shared" si="281"/>
        <v>#REF!</v>
      </c>
      <c r="O313" s="542"/>
      <c r="P313" s="445" t="e">
        <f t="shared" si="282"/>
        <v>#REF!</v>
      </c>
      <c r="Q313" s="542"/>
      <c r="R313" s="445" t="e">
        <f t="shared" si="283"/>
        <v>#REF!</v>
      </c>
      <c r="S313" s="542"/>
      <c r="T313" s="445" t="e">
        <f t="shared" si="284"/>
        <v>#REF!</v>
      </c>
      <c r="V313" s="581" t="e">
        <f>'7,1,8,11  Tapòn P.V.C.1.2" '!I19</f>
        <v>#REF!</v>
      </c>
      <c r="W313" s="582" t="e">
        <f t="shared" si="285"/>
        <v>#REF!</v>
      </c>
      <c r="X313" s="581">
        <f>'7,1,8,11  Tapòn P.V.C.1.2" '!I50</f>
        <v>418.74</v>
      </c>
      <c r="Y313" s="582">
        <f t="shared" si="286"/>
        <v>0</v>
      </c>
      <c r="Z313" s="581">
        <f>'7,1,8,11  Tapòn P.V.C.1.2" '!I30</f>
        <v>148.4</v>
      </c>
      <c r="AA313" s="582">
        <f t="shared" si="287"/>
        <v>0</v>
      </c>
      <c r="AB313" s="581">
        <f>'7,1,8,11  Tapòn P.V.C.1.2" '!I41</f>
        <v>0</v>
      </c>
      <c r="AC313" s="582">
        <f t="shared" si="288"/>
        <v>0</v>
      </c>
      <c r="AE313" s="769" t="e">
        <f t="shared" si="242"/>
        <v>#REF!</v>
      </c>
    </row>
    <row r="314" spans="1:31" ht="15" hidden="1" customHeight="1" x14ac:dyDescent="0.2">
      <c r="A314" s="611" t="s">
        <v>1120</v>
      </c>
      <c r="B314" s="601" t="s">
        <v>1121</v>
      </c>
      <c r="C314" s="611" t="s">
        <v>111</v>
      </c>
      <c r="D314" s="576">
        <f t="shared" si="277"/>
        <v>0</v>
      </c>
      <c r="E314" s="577" t="e">
        <f t="shared" si="289"/>
        <v>#REF!</v>
      </c>
      <c r="F314" s="577" t="e">
        <f t="shared" si="278"/>
        <v>#REF!</v>
      </c>
      <c r="G314" s="578"/>
      <c r="I314" s="584"/>
      <c r="J314" s="585" t="e">
        <f t="shared" si="279"/>
        <v>#REF!</v>
      </c>
      <c r="K314" s="537"/>
      <c r="L314" s="445" t="e">
        <f t="shared" si="280"/>
        <v>#REF!</v>
      </c>
      <c r="M314" s="542"/>
      <c r="N314" s="445" t="e">
        <f t="shared" si="281"/>
        <v>#REF!</v>
      </c>
      <c r="O314" s="542"/>
      <c r="P314" s="445" t="e">
        <f t="shared" si="282"/>
        <v>#REF!</v>
      </c>
      <c r="Q314" s="542"/>
      <c r="R314" s="445" t="e">
        <f t="shared" si="283"/>
        <v>#REF!</v>
      </c>
      <c r="S314" s="542"/>
      <c r="T314" s="445" t="e">
        <f t="shared" si="284"/>
        <v>#REF!</v>
      </c>
      <c r="V314" s="581" t="e">
        <f>+'7,1,8,12  Camara aire H.G.1.2"'!I19</f>
        <v>#REF!</v>
      </c>
      <c r="W314" s="582" t="e">
        <f t="shared" si="285"/>
        <v>#REF!</v>
      </c>
      <c r="X314" s="581">
        <f>+'7,1,8,12  Camara aire H.G.1.2"'!I50</f>
        <v>8374.7900000000009</v>
      </c>
      <c r="Y314" s="582">
        <f t="shared" si="286"/>
        <v>0</v>
      </c>
      <c r="Z314" s="581">
        <f>+'7,1,8,12  Camara aire H.G.1.2"'!I30</f>
        <v>148.4</v>
      </c>
      <c r="AA314" s="582">
        <f t="shared" si="287"/>
        <v>0</v>
      </c>
      <c r="AB314" s="581">
        <f>+'7,1,8,12  Camara aire H.G.1.2"'!I41</f>
        <v>0</v>
      </c>
      <c r="AC314" s="582">
        <f t="shared" si="288"/>
        <v>0</v>
      </c>
      <c r="AE314" s="769" t="e">
        <f t="shared" si="242"/>
        <v>#REF!</v>
      </c>
    </row>
    <row r="315" spans="1:31" ht="15" hidden="1" customHeight="1" x14ac:dyDescent="0.2">
      <c r="A315" s="611" t="s">
        <v>1122</v>
      </c>
      <c r="B315" s="601" t="s">
        <v>1123</v>
      </c>
      <c r="C315" s="611" t="s">
        <v>111</v>
      </c>
      <c r="D315" s="576">
        <f t="shared" si="277"/>
        <v>0</v>
      </c>
      <c r="E315" s="577" t="e">
        <f t="shared" si="289"/>
        <v>#REF!</v>
      </c>
      <c r="F315" s="577" t="e">
        <f t="shared" si="278"/>
        <v>#REF!</v>
      </c>
      <c r="G315" s="578"/>
      <c r="I315" s="584"/>
      <c r="J315" s="585" t="e">
        <f t="shared" si="279"/>
        <v>#REF!</v>
      </c>
      <c r="K315" s="537"/>
      <c r="L315" s="445" t="e">
        <f t="shared" si="280"/>
        <v>#REF!</v>
      </c>
      <c r="M315" s="542"/>
      <c r="N315" s="445" t="e">
        <f t="shared" si="281"/>
        <v>#REF!</v>
      </c>
      <c r="O315" s="542"/>
      <c r="P315" s="445" t="e">
        <f t="shared" si="282"/>
        <v>#REF!</v>
      </c>
      <c r="Q315" s="542"/>
      <c r="R315" s="445" t="e">
        <f t="shared" si="283"/>
        <v>#REF!</v>
      </c>
      <c r="S315" s="542"/>
      <c r="T315" s="445" t="e">
        <f t="shared" si="284"/>
        <v>#REF!</v>
      </c>
      <c r="V315" s="581" t="e">
        <f>+'7,1,8,13  Camara aire P.V.C.P '!I19</f>
        <v>#REF!</v>
      </c>
      <c r="W315" s="582" t="e">
        <f t="shared" si="285"/>
        <v>#REF!</v>
      </c>
      <c r="X315" s="581">
        <f>+'7,1,8,13  Camara aire P.V.C.P '!I50</f>
        <v>8374.7900000000009</v>
      </c>
      <c r="Y315" s="582">
        <f t="shared" si="286"/>
        <v>0</v>
      </c>
      <c r="Z315" s="581">
        <f>+'7,1,8,13  Camara aire P.V.C.P '!I30</f>
        <v>148.4</v>
      </c>
      <c r="AA315" s="582">
        <f t="shared" si="287"/>
        <v>0</v>
      </c>
      <c r="AB315" s="581">
        <f>+'7,1,8,13  Camara aire P.V.C.P '!I41</f>
        <v>0</v>
      </c>
      <c r="AC315" s="582">
        <f t="shared" si="288"/>
        <v>0</v>
      </c>
      <c r="AE315" s="769" t="e">
        <f t="shared" si="242"/>
        <v>#REF!</v>
      </c>
    </row>
    <row r="316" spans="1:31" ht="15" customHeight="1" x14ac:dyDescent="0.2">
      <c r="A316" s="572" t="s">
        <v>1124</v>
      </c>
      <c r="B316" s="573" t="s">
        <v>1125</v>
      </c>
      <c r="C316" s="846"/>
      <c r="D316" s="576"/>
      <c r="E316" s="577"/>
      <c r="F316" s="626" t="e">
        <f>+ROUND(SUM(F317:F325),10)</f>
        <v>#REF!</v>
      </c>
      <c r="G316" s="473"/>
      <c r="H316" s="568"/>
      <c r="I316" s="613"/>
      <c r="J316" s="440" t="e">
        <f>ROUND(SUM(J317:J325),10)</f>
        <v>#REF!</v>
      </c>
      <c r="K316" s="537"/>
      <c r="L316" s="180" t="e">
        <f>ROUND(SUM(L317:L325),10)</f>
        <v>#REF!</v>
      </c>
      <c r="M316" s="542"/>
      <c r="N316" s="180" t="e">
        <f>ROUND(SUM(N317:N325),10)</f>
        <v>#REF!</v>
      </c>
      <c r="O316" s="542"/>
      <c r="P316" s="180" t="e">
        <f>ROUND(SUM(P317:P325),10)</f>
        <v>#REF!</v>
      </c>
      <c r="Q316" s="542"/>
      <c r="R316" s="180" t="e">
        <f>ROUND(SUM(R317:R325),10)</f>
        <v>#REF!</v>
      </c>
      <c r="S316" s="542"/>
      <c r="T316" s="180" t="e">
        <f>ROUND(SUM(T317:T325),10)</f>
        <v>#REF!</v>
      </c>
      <c r="U316" s="568"/>
      <c r="V316" s="575"/>
      <c r="W316" s="570" t="e">
        <f>ROUND(SUM(W317:W325),10)</f>
        <v>#REF!</v>
      </c>
      <c r="X316" s="575"/>
      <c r="Y316" s="570" t="e">
        <f>ROUND(SUM(Y317:Y325),10)</f>
        <v>#REF!</v>
      </c>
      <c r="Z316" s="575"/>
      <c r="AA316" s="570" t="e">
        <f>ROUND(SUM(AA317:AA325),10)</f>
        <v>#REF!</v>
      </c>
      <c r="AB316" s="575"/>
      <c r="AC316" s="570" t="e">
        <f>ROUND(SUM(AC317:AC325),10)</f>
        <v>#REF!</v>
      </c>
      <c r="AE316" s="769" t="e">
        <f t="shared" si="242"/>
        <v>#REF!</v>
      </c>
    </row>
    <row r="317" spans="1:31" ht="15" customHeight="1" x14ac:dyDescent="0.2">
      <c r="A317" s="611" t="s">
        <v>1126</v>
      </c>
      <c r="B317" s="601" t="s">
        <v>1127</v>
      </c>
      <c r="C317" s="611" t="s">
        <v>111</v>
      </c>
      <c r="D317" s="576">
        <f t="shared" ref="D317:D327" si="290">+I317+K317+M317+O317+Q317+S317</f>
        <v>30</v>
      </c>
      <c r="E317" s="577" t="e">
        <f t="shared" si="289"/>
        <v>#REF!</v>
      </c>
      <c r="F317" s="577" t="e">
        <f t="shared" ref="F317:F327" si="291">ROUND(D317*E317,10)</f>
        <v>#REF!</v>
      </c>
      <c r="G317" s="578"/>
      <c r="I317" s="594"/>
      <c r="J317" s="580" t="e">
        <f t="shared" ref="J317:J325" si="292">+ROUND(E317*I317,10)</f>
        <v>#REF!</v>
      </c>
      <c r="K317" s="537"/>
      <c r="L317" s="445" t="e">
        <f t="shared" ref="L317:L325" si="293">+ROUND(E317*K317,10)</f>
        <v>#REF!</v>
      </c>
      <c r="M317" s="542"/>
      <c r="N317" s="445" t="e">
        <f t="shared" ref="N317:N325" si="294">+ROUND(E317*M317,10)</f>
        <v>#REF!</v>
      </c>
      <c r="O317" s="542">
        <v>30</v>
      </c>
      <c r="P317" s="445" t="e">
        <f t="shared" ref="P317:P325" si="295">+ROUND(E317*O317,10)</f>
        <v>#REF!</v>
      </c>
      <c r="Q317" s="542"/>
      <c r="R317" s="445" t="e">
        <f t="shared" ref="R317:R325" si="296">+ROUND(E317*Q317,10)</f>
        <v>#REF!</v>
      </c>
      <c r="S317" s="542"/>
      <c r="T317" s="445" t="e">
        <f t="shared" ref="T317:T325" si="297">+ROUND(E317*S317,10)</f>
        <v>#REF!</v>
      </c>
      <c r="V317" s="581" t="e">
        <f>+#REF!</f>
        <v>#REF!</v>
      </c>
      <c r="W317" s="582" t="e">
        <f t="shared" ref="W317:W325" si="298">ROUND(V317*$D317,10)</f>
        <v>#REF!</v>
      </c>
      <c r="X317" s="581" t="e">
        <f>+#REF!</f>
        <v>#REF!</v>
      </c>
      <c r="Y317" s="582" t="e">
        <f t="shared" ref="Y317:Y325" si="299">ROUND(X317*$D317,10)</f>
        <v>#REF!</v>
      </c>
      <c r="Z317" s="581" t="e">
        <f>+#REF!</f>
        <v>#REF!</v>
      </c>
      <c r="AA317" s="582" t="e">
        <f t="shared" ref="AA317:AA325" si="300">ROUND(Z317*$D317,10)</f>
        <v>#REF!</v>
      </c>
      <c r="AB317" s="581"/>
      <c r="AC317" s="582">
        <f t="shared" ref="AC317:AC325" si="301">ROUND(AB317*$D317,10)</f>
        <v>0</v>
      </c>
      <c r="AE317" s="769" t="e">
        <f t="shared" si="242"/>
        <v>#REF!</v>
      </c>
    </row>
    <row r="318" spans="1:31" ht="15" customHeight="1" x14ac:dyDescent="0.2">
      <c r="A318" s="611" t="s">
        <v>1128</v>
      </c>
      <c r="B318" s="601" t="s">
        <v>1129</v>
      </c>
      <c r="C318" s="611" t="s">
        <v>111</v>
      </c>
      <c r="D318" s="576">
        <f t="shared" si="290"/>
        <v>17</v>
      </c>
      <c r="E318" s="577" t="e">
        <f t="shared" si="289"/>
        <v>#REF!</v>
      </c>
      <c r="F318" s="577" t="e">
        <f t="shared" si="291"/>
        <v>#REF!</v>
      </c>
      <c r="G318" s="578"/>
      <c r="I318" s="584"/>
      <c r="J318" s="585" t="e">
        <f t="shared" si="292"/>
        <v>#REF!</v>
      </c>
      <c r="K318" s="537"/>
      <c r="L318" s="445" t="e">
        <f t="shared" si="293"/>
        <v>#REF!</v>
      </c>
      <c r="M318" s="542"/>
      <c r="N318" s="445" t="e">
        <f t="shared" si="294"/>
        <v>#REF!</v>
      </c>
      <c r="O318" s="542">
        <v>17</v>
      </c>
      <c r="P318" s="445" t="e">
        <f t="shared" si="295"/>
        <v>#REF!</v>
      </c>
      <c r="Q318" s="542"/>
      <c r="R318" s="445" t="e">
        <f t="shared" si="296"/>
        <v>#REF!</v>
      </c>
      <c r="S318" s="542"/>
      <c r="T318" s="445" t="e">
        <f t="shared" si="297"/>
        <v>#REF!</v>
      </c>
      <c r="V318" s="581" t="e">
        <f>+#REF!</f>
        <v>#REF!</v>
      </c>
      <c r="W318" s="582" t="e">
        <f t="shared" si="298"/>
        <v>#REF!</v>
      </c>
      <c r="X318" s="581" t="e">
        <f>+#REF!</f>
        <v>#REF!</v>
      </c>
      <c r="Y318" s="582" t="e">
        <f t="shared" si="299"/>
        <v>#REF!</v>
      </c>
      <c r="Z318" s="581" t="e">
        <f>+#REF!</f>
        <v>#REF!</v>
      </c>
      <c r="AA318" s="582" t="e">
        <f t="shared" si="300"/>
        <v>#REF!</v>
      </c>
      <c r="AB318" s="581"/>
      <c r="AC318" s="582">
        <f t="shared" si="301"/>
        <v>0</v>
      </c>
      <c r="AE318" s="769" t="e">
        <f t="shared" si="242"/>
        <v>#REF!</v>
      </c>
    </row>
    <row r="319" spans="1:31" ht="15" customHeight="1" x14ac:dyDescent="0.2">
      <c r="A319" s="611" t="s">
        <v>1130</v>
      </c>
      <c r="B319" s="601" t="s">
        <v>1131</v>
      </c>
      <c r="C319" s="611" t="s">
        <v>111</v>
      </c>
      <c r="D319" s="576">
        <f t="shared" si="290"/>
        <v>6</v>
      </c>
      <c r="E319" s="577" t="e">
        <f t="shared" si="289"/>
        <v>#REF!</v>
      </c>
      <c r="F319" s="577" t="e">
        <f t="shared" si="291"/>
        <v>#REF!</v>
      </c>
      <c r="G319" s="578"/>
      <c r="I319" s="584"/>
      <c r="J319" s="585" t="e">
        <f t="shared" si="292"/>
        <v>#REF!</v>
      </c>
      <c r="K319" s="537"/>
      <c r="L319" s="445" t="e">
        <f t="shared" si="293"/>
        <v>#REF!</v>
      </c>
      <c r="M319" s="542"/>
      <c r="N319" s="445" t="e">
        <f t="shared" si="294"/>
        <v>#REF!</v>
      </c>
      <c r="O319" s="542">
        <v>6</v>
      </c>
      <c r="P319" s="445" t="e">
        <f t="shared" si="295"/>
        <v>#REF!</v>
      </c>
      <c r="Q319" s="542"/>
      <c r="R319" s="445" t="e">
        <f t="shared" si="296"/>
        <v>#REF!</v>
      </c>
      <c r="S319" s="542"/>
      <c r="T319" s="445" t="e">
        <f t="shared" si="297"/>
        <v>#REF!</v>
      </c>
      <c r="V319" s="581" t="e">
        <f>+#REF!</f>
        <v>#REF!</v>
      </c>
      <c r="W319" s="582" t="e">
        <f t="shared" si="298"/>
        <v>#REF!</v>
      </c>
      <c r="X319" s="581" t="e">
        <f>+#REF!</f>
        <v>#REF!</v>
      </c>
      <c r="Y319" s="582" t="e">
        <f t="shared" si="299"/>
        <v>#REF!</v>
      </c>
      <c r="Z319" s="581" t="e">
        <f>+#REF!</f>
        <v>#REF!</v>
      </c>
      <c r="AA319" s="582" t="e">
        <f t="shared" si="300"/>
        <v>#REF!</v>
      </c>
      <c r="AB319" s="581"/>
      <c r="AC319" s="582">
        <f t="shared" si="301"/>
        <v>0</v>
      </c>
      <c r="AE319" s="769" t="e">
        <f t="shared" si="242"/>
        <v>#REF!</v>
      </c>
    </row>
    <row r="320" spans="1:31" ht="15" hidden="1" customHeight="1" x14ac:dyDescent="0.2">
      <c r="A320" s="611" t="s">
        <v>1132</v>
      </c>
      <c r="B320" s="601" t="s">
        <v>1133</v>
      </c>
      <c r="C320" s="611" t="s">
        <v>111</v>
      </c>
      <c r="D320" s="576">
        <f t="shared" si="290"/>
        <v>0</v>
      </c>
      <c r="E320" s="577" t="e">
        <f t="shared" si="289"/>
        <v>#REF!</v>
      </c>
      <c r="F320" s="577" t="e">
        <f t="shared" si="291"/>
        <v>#REF!</v>
      </c>
      <c r="G320" s="578"/>
      <c r="I320" s="584"/>
      <c r="J320" s="585" t="e">
        <f t="shared" si="292"/>
        <v>#REF!</v>
      </c>
      <c r="K320" s="537"/>
      <c r="L320" s="445" t="e">
        <f t="shared" si="293"/>
        <v>#REF!</v>
      </c>
      <c r="M320" s="542"/>
      <c r="N320" s="445" t="e">
        <f t="shared" si="294"/>
        <v>#REF!</v>
      </c>
      <c r="O320" s="542"/>
      <c r="P320" s="445" t="e">
        <f t="shared" si="295"/>
        <v>#REF!</v>
      </c>
      <c r="Q320" s="542"/>
      <c r="R320" s="445" t="e">
        <f t="shared" si="296"/>
        <v>#REF!</v>
      </c>
      <c r="S320" s="542"/>
      <c r="T320" s="445" t="e">
        <f t="shared" si="297"/>
        <v>#REF!</v>
      </c>
      <c r="V320" s="581" t="e">
        <f>'7,1,9,5  P Sifòn PVC-S 4"'!I20</f>
        <v>#REF!</v>
      </c>
      <c r="W320" s="582" t="e">
        <f t="shared" si="298"/>
        <v>#REF!</v>
      </c>
      <c r="X320" s="581">
        <f>'7,1,9,5  P Sifòn PVC-S 4"'!I51</f>
        <v>20936.98</v>
      </c>
      <c r="Y320" s="582">
        <f t="shared" si="299"/>
        <v>0</v>
      </c>
      <c r="Z320" s="581">
        <f>'7,1,9,5  P Sifòn PVC-S 4"'!I31</f>
        <v>3710</v>
      </c>
      <c r="AA320" s="582">
        <f t="shared" si="300"/>
        <v>0</v>
      </c>
      <c r="AB320" s="581">
        <f>'7,1,9,5  P Sifòn PVC-S 4"'!I42</f>
        <v>0</v>
      </c>
      <c r="AC320" s="582">
        <f t="shared" si="301"/>
        <v>0</v>
      </c>
      <c r="AE320" s="769" t="e">
        <f t="shared" si="242"/>
        <v>#REF!</v>
      </c>
    </row>
    <row r="321" spans="1:31" ht="15" customHeight="1" x14ac:dyDescent="0.2">
      <c r="A321" s="611" t="s">
        <v>1134</v>
      </c>
      <c r="B321" s="601" t="s">
        <v>1135</v>
      </c>
      <c r="C321" s="611" t="s">
        <v>111</v>
      </c>
      <c r="D321" s="576">
        <f t="shared" si="290"/>
        <v>1</v>
      </c>
      <c r="E321" s="577" t="e">
        <f t="shared" si="289"/>
        <v>#REF!</v>
      </c>
      <c r="F321" s="577" t="e">
        <f t="shared" si="291"/>
        <v>#REF!</v>
      </c>
      <c r="G321" s="578"/>
      <c r="I321" s="584"/>
      <c r="J321" s="585" t="e">
        <f t="shared" si="292"/>
        <v>#REF!</v>
      </c>
      <c r="K321" s="537"/>
      <c r="L321" s="445" t="e">
        <f t="shared" si="293"/>
        <v>#REF!</v>
      </c>
      <c r="M321" s="542"/>
      <c r="N321" s="445" t="e">
        <f t="shared" si="294"/>
        <v>#REF!</v>
      </c>
      <c r="O321" s="542">
        <v>1</v>
      </c>
      <c r="P321" s="445" t="e">
        <f t="shared" si="295"/>
        <v>#REF!</v>
      </c>
      <c r="Q321" s="542"/>
      <c r="R321" s="445" t="e">
        <f t="shared" si="296"/>
        <v>#REF!</v>
      </c>
      <c r="S321" s="542"/>
      <c r="T321" s="445" t="e">
        <f t="shared" si="297"/>
        <v>#REF!</v>
      </c>
      <c r="V321" s="581" t="e">
        <f>#REF!</f>
        <v>#REF!</v>
      </c>
      <c r="W321" s="582" t="e">
        <f t="shared" si="298"/>
        <v>#REF!</v>
      </c>
      <c r="X321" s="581" t="e">
        <f>#REF!</f>
        <v>#REF!</v>
      </c>
      <c r="Y321" s="582" t="e">
        <f t="shared" si="299"/>
        <v>#REF!</v>
      </c>
      <c r="Z321" s="581" t="e">
        <f>#REF!</f>
        <v>#REF!</v>
      </c>
      <c r="AA321" s="582" t="e">
        <f t="shared" si="300"/>
        <v>#REF!</v>
      </c>
      <c r="AB321" s="581" t="e">
        <f>#REF!</f>
        <v>#REF!</v>
      </c>
      <c r="AC321" s="582" t="e">
        <f t="shared" si="301"/>
        <v>#REF!</v>
      </c>
      <c r="AE321" s="769" t="e">
        <f t="shared" si="242"/>
        <v>#REF!</v>
      </c>
    </row>
    <row r="322" spans="1:31" ht="15" customHeight="1" x14ac:dyDescent="0.2">
      <c r="A322" s="611" t="s">
        <v>1136</v>
      </c>
      <c r="B322" s="601" t="s">
        <v>1137</v>
      </c>
      <c r="C322" s="611" t="s">
        <v>111</v>
      </c>
      <c r="D322" s="576">
        <f t="shared" si="290"/>
        <v>12</v>
      </c>
      <c r="E322" s="577" t="e">
        <f t="shared" si="289"/>
        <v>#REF!</v>
      </c>
      <c r="F322" s="577" t="e">
        <f t="shared" si="291"/>
        <v>#REF!</v>
      </c>
      <c r="G322" s="578"/>
      <c r="I322" s="584"/>
      <c r="J322" s="585" t="e">
        <f t="shared" si="292"/>
        <v>#REF!</v>
      </c>
      <c r="K322" s="537"/>
      <c r="L322" s="445" t="e">
        <f t="shared" si="293"/>
        <v>#REF!</v>
      </c>
      <c r="M322" s="542">
        <v>12</v>
      </c>
      <c r="N322" s="445" t="e">
        <f t="shared" si="294"/>
        <v>#REF!</v>
      </c>
      <c r="O322" s="542"/>
      <c r="P322" s="445" t="e">
        <f t="shared" si="295"/>
        <v>#REF!</v>
      </c>
      <c r="Q322" s="542"/>
      <c r="R322" s="445" t="e">
        <f t="shared" si="296"/>
        <v>#REF!</v>
      </c>
      <c r="S322" s="542"/>
      <c r="T322" s="445" t="e">
        <f t="shared" si="297"/>
        <v>#REF!</v>
      </c>
      <c r="V322" s="581" t="e">
        <f>+#REF!</f>
        <v>#REF!</v>
      </c>
      <c r="W322" s="582" t="e">
        <f t="shared" si="298"/>
        <v>#REF!</v>
      </c>
      <c r="X322" s="581" t="e">
        <f>+#REF!</f>
        <v>#REF!</v>
      </c>
      <c r="Y322" s="582" t="e">
        <f t="shared" si="299"/>
        <v>#REF!</v>
      </c>
      <c r="Z322" s="581" t="e">
        <f>+#REF!</f>
        <v>#REF!</v>
      </c>
      <c r="AA322" s="582" t="e">
        <f t="shared" si="300"/>
        <v>#REF!</v>
      </c>
      <c r="AB322" s="581"/>
      <c r="AC322" s="582">
        <f t="shared" si="301"/>
        <v>0</v>
      </c>
      <c r="AE322" s="769" t="e">
        <f t="shared" si="242"/>
        <v>#REF!</v>
      </c>
    </row>
    <row r="323" spans="1:31" ht="15" hidden="1" customHeight="1" x14ac:dyDescent="0.2">
      <c r="A323" s="611" t="s">
        <v>1138</v>
      </c>
      <c r="B323" s="601" t="s">
        <v>1115</v>
      </c>
      <c r="C323" s="611" t="s">
        <v>111</v>
      </c>
      <c r="D323" s="576">
        <f t="shared" si="290"/>
        <v>0</v>
      </c>
      <c r="E323" s="577">
        <f t="shared" si="289"/>
        <v>0</v>
      </c>
      <c r="F323" s="577">
        <f t="shared" si="291"/>
        <v>0</v>
      </c>
      <c r="G323" s="578"/>
      <c r="I323" s="584"/>
      <c r="J323" s="585">
        <f t="shared" si="292"/>
        <v>0</v>
      </c>
      <c r="K323" s="537"/>
      <c r="L323" s="445">
        <f t="shared" si="293"/>
        <v>0</v>
      </c>
      <c r="M323" s="542"/>
      <c r="N323" s="445">
        <f t="shared" si="294"/>
        <v>0</v>
      </c>
      <c r="O323" s="542"/>
      <c r="P323" s="445">
        <f t="shared" si="295"/>
        <v>0</v>
      </c>
      <c r="Q323" s="542"/>
      <c r="R323" s="445">
        <f t="shared" si="296"/>
        <v>0</v>
      </c>
      <c r="S323" s="542"/>
      <c r="T323" s="445">
        <f t="shared" si="297"/>
        <v>0</v>
      </c>
      <c r="V323" s="581"/>
      <c r="W323" s="582">
        <f t="shared" si="298"/>
        <v>0</v>
      </c>
      <c r="X323" s="581"/>
      <c r="Y323" s="582">
        <f t="shared" si="299"/>
        <v>0</v>
      </c>
      <c r="Z323" s="581"/>
      <c r="AA323" s="582">
        <f t="shared" si="300"/>
        <v>0</v>
      </c>
      <c r="AB323" s="581"/>
      <c r="AC323" s="582">
        <f t="shared" si="301"/>
        <v>0</v>
      </c>
      <c r="AE323" s="769">
        <f t="shared" si="242"/>
        <v>0</v>
      </c>
    </row>
    <row r="324" spans="1:31" ht="15" customHeight="1" x14ac:dyDescent="0.2">
      <c r="A324" s="611" t="s">
        <v>1139</v>
      </c>
      <c r="B324" s="610" t="s">
        <v>1140</v>
      </c>
      <c r="C324" s="611" t="s">
        <v>111</v>
      </c>
      <c r="D324" s="576">
        <f t="shared" si="290"/>
        <v>10</v>
      </c>
      <c r="E324" s="577" t="e">
        <f t="shared" si="289"/>
        <v>#REF!</v>
      </c>
      <c r="F324" s="577" t="e">
        <f t="shared" si="291"/>
        <v>#REF!</v>
      </c>
      <c r="G324" s="578"/>
      <c r="I324" s="584"/>
      <c r="J324" s="585" t="e">
        <f t="shared" si="292"/>
        <v>#REF!</v>
      </c>
      <c r="K324" s="537">
        <v>10</v>
      </c>
      <c r="L324" s="445" t="e">
        <f t="shared" si="293"/>
        <v>#REF!</v>
      </c>
      <c r="M324" s="542"/>
      <c r="N324" s="445" t="e">
        <f t="shared" si="294"/>
        <v>#REF!</v>
      </c>
      <c r="O324" s="542"/>
      <c r="P324" s="445" t="e">
        <f t="shared" si="295"/>
        <v>#REF!</v>
      </c>
      <c r="Q324" s="542"/>
      <c r="R324" s="445" t="e">
        <f t="shared" si="296"/>
        <v>#REF!</v>
      </c>
      <c r="S324" s="542"/>
      <c r="T324" s="445" t="e">
        <f t="shared" si="297"/>
        <v>#REF!</v>
      </c>
      <c r="V324" s="581" t="e">
        <f>+#REF!</f>
        <v>#REF!</v>
      </c>
      <c r="W324" s="582" t="e">
        <f t="shared" si="298"/>
        <v>#REF!</v>
      </c>
      <c r="X324" s="581" t="e">
        <f>+#REF!</f>
        <v>#REF!</v>
      </c>
      <c r="Y324" s="582" t="e">
        <f t="shared" si="299"/>
        <v>#REF!</v>
      </c>
      <c r="Z324" s="581" t="e">
        <f>+#REF!</f>
        <v>#REF!</v>
      </c>
      <c r="AA324" s="582" t="e">
        <f t="shared" si="300"/>
        <v>#REF!</v>
      </c>
      <c r="AB324" s="581"/>
      <c r="AC324" s="582">
        <f t="shared" si="301"/>
        <v>0</v>
      </c>
      <c r="AE324" s="769" t="e">
        <f t="shared" si="242"/>
        <v>#REF!</v>
      </c>
    </row>
    <row r="325" spans="1:31" ht="15" hidden="1" customHeight="1" x14ac:dyDescent="0.2">
      <c r="A325" s="611" t="s">
        <v>1141</v>
      </c>
      <c r="B325" s="601" t="s">
        <v>1142</v>
      </c>
      <c r="C325" s="611" t="s">
        <v>111</v>
      </c>
      <c r="D325" s="576">
        <f t="shared" si="290"/>
        <v>0</v>
      </c>
      <c r="E325" s="577">
        <f t="shared" si="289"/>
        <v>0</v>
      </c>
      <c r="F325" s="577">
        <f t="shared" si="291"/>
        <v>0</v>
      </c>
      <c r="G325" s="578"/>
      <c r="I325" s="584"/>
      <c r="J325" s="585">
        <f t="shared" si="292"/>
        <v>0</v>
      </c>
      <c r="K325" s="537"/>
      <c r="L325" s="445">
        <f t="shared" si="293"/>
        <v>0</v>
      </c>
      <c r="M325" s="542"/>
      <c r="N325" s="445">
        <f t="shared" si="294"/>
        <v>0</v>
      </c>
      <c r="O325" s="542"/>
      <c r="P325" s="445">
        <f t="shared" si="295"/>
        <v>0</v>
      </c>
      <c r="Q325" s="542"/>
      <c r="R325" s="445">
        <f t="shared" si="296"/>
        <v>0</v>
      </c>
      <c r="S325" s="542"/>
      <c r="T325" s="445">
        <f t="shared" si="297"/>
        <v>0</v>
      </c>
      <c r="V325" s="581"/>
      <c r="W325" s="582">
        <f t="shared" si="298"/>
        <v>0</v>
      </c>
      <c r="X325" s="581"/>
      <c r="Y325" s="582">
        <f t="shared" si="299"/>
        <v>0</v>
      </c>
      <c r="Z325" s="581"/>
      <c r="AA325" s="582">
        <f t="shared" si="300"/>
        <v>0</v>
      </c>
      <c r="AB325" s="581"/>
      <c r="AC325" s="582">
        <f t="shared" si="301"/>
        <v>0</v>
      </c>
      <c r="AE325" s="769">
        <f t="shared" si="242"/>
        <v>0</v>
      </c>
    </row>
    <row r="326" spans="1:31" ht="15" hidden="1" customHeight="1" x14ac:dyDescent="0.2">
      <c r="A326" s="611" t="s">
        <v>1143</v>
      </c>
      <c r="B326" s="601" t="s">
        <v>1144</v>
      </c>
      <c r="C326" s="611" t="s">
        <v>111</v>
      </c>
      <c r="D326" s="576">
        <f t="shared" si="290"/>
        <v>0</v>
      </c>
      <c r="E326" s="577">
        <f t="shared" si="289"/>
        <v>0</v>
      </c>
      <c r="F326" s="577">
        <f t="shared" si="291"/>
        <v>0</v>
      </c>
      <c r="G326" s="578"/>
      <c r="I326" s="633"/>
      <c r="J326" s="648"/>
      <c r="K326" s="537"/>
      <c r="L326" s="445"/>
      <c r="M326" s="542"/>
      <c r="N326" s="445"/>
      <c r="O326" s="542"/>
      <c r="P326" s="445"/>
      <c r="Q326" s="542"/>
      <c r="R326" s="445"/>
      <c r="S326" s="542"/>
      <c r="T326" s="445"/>
      <c r="V326" s="581"/>
      <c r="W326" s="582"/>
      <c r="X326" s="581"/>
      <c r="Y326" s="582"/>
      <c r="Z326" s="581"/>
      <c r="AA326" s="582"/>
      <c r="AB326" s="581"/>
      <c r="AC326" s="582"/>
      <c r="AE326" s="769">
        <f t="shared" si="242"/>
        <v>0</v>
      </c>
    </row>
    <row r="327" spans="1:31" ht="15" hidden="1" customHeight="1" x14ac:dyDescent="0.2">
      <c r="A327" s="611" t="s">
        <v>1145</v>
      </c>
      <c r="B327" s="601" t="s">
        <v>1146</v>
      </c>
      <c r="C327" s="611" t="s">
        <v>111</v>
      </c>
      <c r="D327" s="576">
        <f t="shared" si="290"/>
        <v>0</v>
      </c>
      <c r="E327" s="577">
        <f t="shared" si="289"/>
        <v>0</v>
      </c>
      <c r="F327" s="577">
        <f t="shared" si="291"/>
        <v>0</v>
      </c>
      <c r="G327" s="578"/>
      <c r="I327" s="633"/>
      <c r="J327" s="648"/>
      <c r="K327" s="537"/>
      <c r="L327" s="445"/>
      <c r="M327" s="542"/>
      <c r="N327" s="445"/>
      <c r="O327" s="542"/>
      <c r="P327" s="445"/>
      <c r="Q327" s="542"/>
      <c r="R327" s="445"/>
      <c r="S327" s="542"/>
      <c r="T327" s="445"/>
      <c r="V327" s="581"/>
      <c r="W327" s="582"/>
      <c r="X327" s="581"/>
      <c r="Y327" s="582"/>
      <c r="Z327" s="581"/>
      <c r="AA327" s="582"/>
      <c r="AB327" s="581"/>
      <c r="AC327" s="582"/>
      <c r="AE327" s="769">
        <f t="shared" si="242"/>
        <v>0</v>
      </c>
    </row>
    <row r="328" spans="1:31" ht="33.75" customHeight="1" x14ac:dyDescent="0.2">
      <c r="A328" s="572" t="s">
        <v>1147</v>
      </c>
      <c r="B328" s="573" t="s">
        <v>1148</v>
      </c>
      <c r="C328" s="846"/>
      <c r="D328" s="576"/>
      <c r="E328" s="577"/>
      <c r="F328" s="626" t="e">
        <f>+ROUND(SUM(F329:F334),10)</f>
        <v>#REF!</v>
      </c>
      <c r="G328" s="473"/>
      <c r="H328" s="568"/>
      <c r="I328" s="613"/>
      <c r="J328" s="440" t="e">
        <f>ROUND(SUM(J329:J332),10)</f>
        <v>#REF!</v>
      </c>
      <c r="K328" s="537"/>
      <c r="L328" s="180" t="e">
        <f>ROUND(SUM(L329:L334),10)</f>
        <v>#REF!</v>
      </c>
      <c r="M328" s="542"/>
      <c r="N328" s="180" t="e">
        <f>ROUND(SUM(N329:N334),10)</f>
        <v>#REF!</v>
      </c>
      <c r="O328" s="542"/>
      <c r="P328" s="180" t="e">
        <f>ROUND(SUM(P329:P334),10)</f>
        <v>#REF!</v>
      </c>
      <c r="Q328" s="542"/>
      <c r="R328" s="180" t="e">
        <f>ROUND(SUM(R329:R334),10)</f>
        <v>#REF!</v>
      </c>
      <c r="S328" s="542"/>
      <c r="T328" s="180" t="e">
        <f>ROUND(SUM(T329:T334),10)</f>
        <v>#REF!</v>
      </c>
      <c r="U328" s="568"/>
      <c r="V328" s="569" t="e">
        <f>W328/$G$42</f>
        <v>#REF!</v>
      </c>
      <c r="W328" s="570" t="e">
        <f>ROUND(SUM(W329:W334),10)</f>
        <v>#REF!</v>
      </c>
      <c r="X328" s="569" t="e">
        <f>Y328/$G328</f>
        <v>#REF!</v>
      </c>
      <c r="Y328" s="570" t="e">
        <f>ROUND(SUM(Y329:Y334),10)</f>
        <v>#REF!</v>
      </c>
      <c r="Z328" s="569" t="e">
        <f>AA328/$G328</f>
        <v>#REF!</v>
      </c>
      <c r="AA328" s="570" t="e">
        <f>ROUND(SUM(AA329:AA334),10)</f>
        <v>#REF!</v>
      </c>
      <c r="AB328" s="569" t="e">
        <f>AC328/$G328</f>
        <v>#DIV/0!</v>
      </c>
      <c r="AC328" s="570">
        <f>ROUND(SUM(AC329:AC334),10)</f>
        <v>0</v>
      </c>
      <c r="AE328" s="769" t="e">
        <f t="shared" si="242"/>
        <v>#REF!</v>
      </c>
    </row>
    <row r="329" spans="1:31" ht="15" customHeight="1" x14ac:dyDescent="0.2">
      <c r="A329" s="611" t="s">
        <v>1149</v>
      </c>
      <c r="B329" s="601" t="s">
        <v>1150</v>
      </c>
      <c r="C329" s="611" t="s">
        <v>111</v>
      </c>
      <c r="D329" s="576">
        <f t="shared" ref="D329:D334" si="302">+I329+K329+M329+O329+Q329+S329</f>
        <v>12</v>
      </c>
      <c r="E329" s="577" t="e">
        <f t="shared" si="289"/>
        <v>#REF!</v>
      </c>
      <c r="F329" s="577" t="e">
        <f t="shared" ref="F329:F334" si="303">ROUND(D329*E329,10)</f>
        <v>#REF!</v>
      </c>
      <c r="G329" s="578"/>
      <c r="I329" s="594"/>
      <c r="J329" s="580" t="e">
        <f>+ROUND(E329*I329,10)</f>
        <v>#REF!</v>
      </c>
      <c r="K329" s="537"/>
      <c r="L329" s="445" t="e">
        <f t="shared" ref="L329:L334" si="304">+ROUND(E329*K329,10)</f>
        <v>#REF!</v>
      </c>
      <c r="M329" s="542"/>
      <c r="N329" s="445" t="e">
        <f t="shared" ref="N329:N334" si="305">+ROUND(E329*M329,10)</f>
        <v>#REF!</v>
      </c>
      <c r="O329" s="542">
        <v>12</v>
      </c>
      <c r="P329" s="445" t="e">
        <f t="shared" ref="P329:P334" si="306">+ROUND(E329*O329,10)</f>
        <v>#REF!</v>
      </c>
      <c r="Q329" s="542"/>
      <c r="R329" s="445" t="e">
        <f t="shared" ref="R329:R334" si="307">+ROUND(E329*Q329,10)</f>
        <v>#REF!</v>
      </c>
      <c r="S329" s="542"/>
      <c r="T329" s="445" t="e">
        <f t="shared" ref="T329:T334" si="308">+ROUND(E329*S329,10)</f>
        <v>#REF!</v>
      </c>
      <c r="V329" s="581" t="e">
        <f>+#REF!</f>
        <v>#REF!</v>
      </c>
      <c r="W329" s="582" t="e">
        <f t="shared" ref="W329:W334" si="309">ROUND(V329*$D329,10)</f>
        <v>#REF!</v>
      </c>
      <c r="X329" s="581" t="e">
        <f>+#REF!</f>
        <v>#REF!</v>
      </c>
      <c r="Y329" s="582" t="e">
        <f t="shared" ref="Y329:Y334" si="310">ROUND(X329*$D329,10)</f>
        <v>#REF!</v>
      </c>
      <c r="Z329" s="581" t="e">
        <f>+#REF!</f>
        <v>#REF!</v>
      </c>
      <c r="AA329" s="582" t="e">
        <f t="shared" ref="AA329:AA334" si="311">ROUND(Z329*$D329,10)</f>
        <v>#REF!</v>
      </c>
      <c r="AB329" s="581"/>
      <c r="AC329" s="582">
        <f t="shared" ref="AC329:AC334" si="312">ROUND(AB329*$D329,10)</f>
        <v>0</v>
      </c>
      <c r="AE329" s="769" t="e">
        <f t="shared" si="242"/>
        <v>#REF!</v>
      </c>
    </row>
    <row r="330" spans="1:31" ht="15" hidden="1" customHeight="1" x14ac:dyDescent="0.2">
      <c r="A330" s="627" t="s">
        <v>1151</v>
      </c>
      <c r="B330" s="610" t="s">
        <v>1152</v>
      </c>
      <c r="C330" s="611" t="s">
        <v>111</v>
      </c>
      <c r="D330" s="576">
        <f t="shared" si="302"/>
        <v>0</v>
      </c>
      <c r="E330" s="577" t="e">
        <f t="shared" si="289"/>
        <v>#REF!</v>
      </c>
      <c r="F330" s="577" t="e">
        <f t="shared" si="303"/>
        <v>#REF!</v>
      </c>
      <c r="G330" s="578"/>
      <c r="I330" s="594"/>
      <c r="J330" s="580"/>
      <c r="K330" s="537"/>
      <c r="L330" s="445" t="e">
        <f t="shared" si="304"/>
        <v>#REF!</v>
      </c>
      <c r="M330" s="542"/>
      <c r="N330" s="445" t="e">
        <f t="shared" si="305"/>
        <v>#REF!</v>
      </c>
      <c r="O330" s="542"/>
      <c r="P330" s="445" t="e">
        <f t="shared" si="306"/>
        <v>#REF!</v>
      </c>
      <c r="Q330" s="542"/>
      <c r="R330" s="445" t="e">
        <f t="shared" si="307"/>
        <v>#REF!</v>
      </c>
      <c r="S330" s="542"/>
      <c r="T330" s="445" t="e">
        <f t="shared" si="308"/>
        <v>#REF!</v>
      </c>
      <c r="V330" s="581" t="e">
        <f>+'7,1,10,2 Punto Vent 3"'!I19</f>
        <v>#REF!</v>
      </c>
      <c r="W330" s="582" t="e">
        <f t="shared" si="309"/>
        <v>#REF!</v>
      </c>
      <c r="X330" s="581">
        <f>+'7,1,10,2 Punto Vent 3"'!I50</f>
        <v>26171.23</v>
      </c>
      <c r="Y330" s="582">
        <f t="shared" si="310"/>
        <v>0</v>
      </c>
      <c r="Z330" s="581">
        <f>+'7,1,10,2 Punto Vent 3"'!I30</f>
        <v>927.5</v>
      </c>
      <c r="AA330" s="582">
        <f t="shared" si="311"/>
        <v>0</v>
      </c>
      <c r="AB330" s="581">
        <f>+'7,1,10,2 Punto Vent 3"'!I41</f>
        <v>0</v>
      </c>
      <c r="AC330" s="582">
        <f t="shared" si="312"/>
        <v>0</v>
      </c>
      <c r="AE330" s="769" t="e">
        <f t="shared" si="242"/>
        <v>#REF!</v>
      </c>
    </row>
    <row r="331" spans="1:31" ht="15" customHeight="1" x14ac:dyDescent="0.2">
      <c r="A331" s="611" t="s">
        <v>1153</v>
      </c>
      <c r="B331" s="610" t="s">
        <v>1154</v>
      </c>
      <c r="C331" s="611" t="s">
        <v>114</v>
      </c>
      <c r="D331" s="576">
        <f t="shared" si="302"/>
        <v>68.2</v>
      </c>
      <c r="E331" s="577" t="e">
        <f t="shared" si="289"/>
        <v>#REF!</v>
      </c>
      <c r="F331" s="577" t="e">
        <f t="shared" si="303"/>
        <v>#REF!</v>
      </c>
      <c r="G331" s="578"/>
      <c r="I331" s="584"/>
      <c r="J331" s="585" t="e">
        <f>+ROUND(E331*I331,10)</f>
        <v>#REF!</v>
      </c>
      <c r="K331" s="537"/>
      <c r="L331" s="445" t="e">
        <f t="shared" si="304"/>
        <v>#REF!</v>
      </c>
      <c r="M331" s="542">
        <v>68.2</v>
      </c>
      <c r="N331" s="445" t="e">
        <f t="shared" si="305"/>
        <v>#REF!</v>
      </c>
      <c r="O331" s="542"/>
      <c r="P331" s="445" t="e">
        <f t="shared" si="306"/>
        <v>#REF!</v>
      </c>
      <c r="Q331" s="542"/>
      <c r="R331" s="445" t="e">
        <f t="shared" si="307"/>
        <v>#REF!</v>
      </c>
      <c r="S331" s="542"/>
      <c r="T331" s="445" t="e">
        <f t="shared" si="308"/>
        <v>#REF!</v>
      </c>
      <c r="V331" s="581" t="e">
        <f>+#REF!</f>
        <v>#REF!</v>
      </c>
      <c r="W331" s="582" t="e">
        <f t="shared" si="309"/>
        <v>#REF!</v>
      </c>
      <c r="X331" s="581" t="e">
        <f>+#REF!</f>
        <v>#REF!</v>
      </c>
      <c r="Y331" s="582" t="e">
        <f t="shared" si="310"/>
        <v>#REF!</v>
      </c>
      <c r="Z331" s="581" t="e">
        <f>+#REF!</f>
        <v>#REF!</v>
      </c>
      <c r="AA331" s="582" t="e">
        <f t="shared" si="311"/>
        <v>#REF!</v>
      </c>
      <c r="AB331" s="581"/>
      <c r="AC331" s="582">
        <f t="shared" si="312"/>
        <v>0</v>
      </c>
      <c r="AE331" s="769" t="e">
        <f t="shared" si="242"/>
        <v>#REF!</v>
      </c>
    </row>
    <row r="332" spans="1:31" ht="15" customHeight="1" x14ac:dyDescent="0.2">
      <c r="A332" s="611" t="s">
        <v>1155</v>
      </c>
      <c r="B332" s="610" t="s">
        <v>1156</v>
      </c>
      <c r="C332" s="611" t="s">
        <v>114</v>
      </c>
      <c r="D332" s="576">
        <f t="shared" si="302"/>
        <v>32.5</v>
      </c>
      <c r="E332" s="577" t="e">
        <f t="shared" si="289"/>
        <v>#REF!</v>
      </c>
      <c r="F332" s="577" t="e">
        <f t="shared" si="303"/>
        <v>#REF!</v>
      </c>
      <c r="G332" s="578"/>
      <c r="I332" s="597"/>
      <c r="J332" s="598" t="e">
        <f>+ROUND(E332*I332,10)</f>
        <v>#REF!</v>
      </c>
      <c r="K332" s="537"/>
      <c r="L332" s="445" t="e">
        <f t="shared" si="304"/>
        <v>#REF!</v>
      </c>
      <c r="M332" s="542">
        <v>32.5</v>
      </c>
      <c r="N332" s="445" t="e">
        <f t="shared" si="305"/>
        <v>#REF!</v>
      </c>
      <c r="O332" s="542"/>
      <c r="P332" s="445" t="e">
        <f t="shared" si="306"/>
        <v>#REF!</v>
      </c>
      <c r="Q332" s="542"/>
      <c r="R332" s="445" t="e">
        <f t="shared" si="307"/>
        <v>#REF!</v>
      </c>
      <c r="S332" s="542"/>
      <c r="T332" s="445" t="e">
        <f t="shared" si="308"/>
        <v>#REF!</v>
      </c>
      <c r="V332" s="581" t="e">
        <f>+#REF!</f>
        <v>#REF!</v>
      </c>
      <c r="W332" s="582" t="e">
        <f t="shared" si="309"/>
        <v>#REF!</v>
      </c>
      <c r="X332" s="581" t="e">
        <f>+#REF!</f>
        <v>#REF!</v>
      </c>
      <c r="Y332" s="582" t="e">
        <f t="shared" si="310"/>
        <v>#REF!</v>
      </c>
      <c r="Z332" s="581" t="e">
        <f>+#REF!</f>
        <v>#REF!</v>
      </c>
      <c r="AA332" s="582" t="e">
        <f t="shared" si="311"/>
        <v>#REF!</v>
      </c>
      <c r="AB332" s="581"/>
      <c r="AC332" s="582">
        <f t="shared" si="312"/>
        <v>0</v>
      </c>
      <c r="AE332" s="769" t="e">
        <f t="shared" si="242"/>
        <v>#REF!</v>
      </c>
    </row>
    <row r="333" spans="1:31" ht="15" customHeight="1" x14ac:dyDescent="0.2">
      <c r="A333" s="611" t="s">
        <v>1157</v>
      </c>
      <c r="B333" s="610" t="s">
        <v>1158</v>
      </c>
      <c r="C333" s="611" t="s">
        <v>114</v>
      </c>
      <c r="D333" s="576">
        <f t="shared" si="302"/>
        <v>34.200000000000003</v>
      </c>
      <c r="E333" s="577" t="e">
        <f t="shared" si="289"/>
        <v>#REF!</v>
      </c>
      <c r="F333" s="577" t="e">
        <f t="shared" si="303"/>
        <v>#REF!</v>
      </c>
      <c r="G333" s="578"/>
      <c r="I333" s="633"/>
      <c r="J333" s="598" t="e">
        <f>+ROUND(E333*I333,10)</f>
        <v>#REF!</v>
      </c>
      <c r="K333" s="537"/>
      <c r="L333" s="445" t="e">
        <f t="shared" si="304"/>
        <v>#REF!</v>
      </c>
      <c r="M333" s="542"/>
      <c r="N333" s="445" t="e">
        <f t="shared" si="305"/>
        <v>#REF!</v>
      </c>
      <c r="O333" s="542">
        <v>34.200000000000003</v>
      </c>
      <c r="P333" s="445" t="e">
        <f t="shared" si="306"/>
        <v>#REF!</v>
      </c>
      <c r="Q333" s="542"/>
      <c r="R333" s="445" t="e">
        <f t="shared" si="307"/>
        <v>#REF!</v>
      </c>
      <c r="S333" s="542"/>
      <c r="T333" s="445" t="e">
        <f t="shared" si="308"/>
        <v>#REF!</v>
      </c>
      <c r="V333" s="581" t="e">
        <f>+#REF!</f>
        <v>#REF!</v>
      </c>
      <c r="W333" s="582" t="e">
        <f t="shared" si="309"/>
        <v>#REF!</v>
      </c>
      <c r="X333" s="581" t="e">
        <f>+#REF!</f>
        <v>#REF!</v>
      </c>
      <c r="Y333" s="582" t="e">
        <f t="shared" si="310"/>
        <v>#REF!</v>
      </c>
      <c r="Z333" s="581" t="e">
        <f>+#REF!</f>
        <v>#REF!</v>
      </c>
      <c r="AA333" s="582" t="e">
        <f t="shared" si="311"/>
        <v>#REF!</v>
      </c>
      <c r="AB333" s="581"/>
      <c r="AC333" s="582">
        <f t="shared" si="312"/>
        <v>0</v>
      </c>
      <c r="AE333" s="769" t="e">
        <f t="shared" ref="AE333:AE396" si="313">SUM(AC333,AA333,Y333,W333)-SUM(T333,R333,P333,N333,L333)</f>
        <v>#REF!</v>
      </c>
    </row>
    <row r="334" spans="1:31" ht="15" hidden="1" customHeight="1" x14ac:dyDescent="0.2">
      <c r="A334" s="611" t="s">
        <v>1159</v>
      </c>
      <c r="B334" s="610" t="s">
        <v>1160</v>
      </c>
      <c r="C334" s="611" t="s">
        <v>114</v>
      </c>
      <c r="D334" s="576">
        <f t="shared" si="302"/>
        <v>0</v>
      </c>
      <c r="E334" s="577" t="e">
        <f t="shared" si="289"/>
        <v>#REF!</v>
      </c>
      <c r="F334" s="577" t="e">
        <f t="shared" si="303"/>
        <v>#REF!</v>
      </c>
      <c r="G334" s="578"/>
      <c r="I334" s="633"/>
      <c r="J334" s="598" t="e">
        <f>+ROUND(E334*I334,10)</f>
        <v>#REF!</v>
      </c>
      <c r="K334" s="537"/>
      <c r="L334" s="445" t="e">
        <f t="shared" si="304"/>
        <v>#REF!</v>
      </c>
      <c r="M334" s="542"/>
      <c r="N334" s="445" t="e">
        <f t="shared" si="305"/>
        <v>#REF!</v>
      </c>
      <c r="O334" s="542"/>
      <c r="P334" s="445" t="e">
        <f t="shared" si="306"/>
        <v>#REF!</v>
      </c>
      <c r="Q334" s="542"/>
      <c r="R334" s="445" t="e">
        <f t="shared" si="307"/>
        <v>#REF!</v>
      </c>
      <c r="S334" s="542"/>
      <c r="T334" s="445" t="e">
        <f t="shared" si="308"/>
        <v>#REF!</v>
      </c>
      <c r="V334" s="581" t="e">
        <f>+'3,1,1 Novafort A.LL. 4" 110mm '!I19</f>
        <v>#REF!</v>
      </c>
      <c r="W334" s="582" t="e">
        <f t="shared" si="309"/>
        <v>#REF!</v>
      </c>
      <c r="X334" s="581">
        <f>+'3,1,1 Novafort A.LL. 4" 110mm '!I50</f>
        <v>13804.82</v>
      </c>
      <c r="Y334" s="582">
        <f t="shared" si="310"/>
        <v>0</v>
      </c>
      <c r="Z334" s="581">
        <f>+'3,1,1 Novafort A.LL. 4" 110mm '!I30</f>
        <v>3375.26</v>
      </c>
      <c r="AA334" s="582">
        <f t="shared" si="311"/>
        <v>0</v>
      </c>
      <c r="AB334" s="581">
        <f>+'3,1,1 Novafort A.LL. 4" 110mm '!I41</f>
        <v>0</v>
      </c>
      <c r="AC334" s="582">
        <f t="shared" si="312"/>
        <v>0</v>
      </c>
      <c r="AE334" s="769" t="e">
        <f t="shared" si="313"/>
        <v>#REF!</v>
      </c>
    </row>
    <row r="335" spans="1:31" s="595" customFormat="1" ht="18" customHeight="1" x14ac:dyDescent="0.2">
      <c r="A335" s="572" t="s">
        <v>1161</v>
      </c>
      <c r="B335" s="573" t="s">
        <v>1162</v>
      </c>
      <c r="C335" s="846"/>
      <c r="D335" s="576"/>
      <c r="E335" s="577"/>
      <c r="F335" s="180" t="e">
        <f>+ROUND(SUM(F336:F340),10)</f>
        <v>#REF!</v>
      </c>
      <c r="G335" s="473"/>
      <c r="H335" s="568"/>
      <c r="I335" s="613"/>
      <c r="J335" s="440" t="e">
        <f>ROUND(SUM(J336:J340),10)</f>
        <v>#REF!</v>
      </c>
      <c r="K335" s="537"/>
      <c r="L335" s="180" t="e">
        <f>ROUND(SUM(L336:L340),10)</f>
        <v>#REF!</v>
      </c>
      <c r="M335" s="542"/>
      <c r="N335" s="180" t="e">
        <f>ROUND(SUM(N336:N340),10)</f>
        <v>#REF!</v>
      </c>
      <c r="O335" s="542"/>
      <c r="P335" s="180" t="e">
        <f>ROUND(SUM(P336:P340),10)</f>
        <v>#REF!</v>
      </c>
      <c r="Q335" s="542"/>
      <c r="R335" s="180" t="e">
        <f>ROUND(SUM(R336:R340),10)</f>
        <v>#REF!</v>
      </c>
      <c r="S335" s="542"/>
      <c r="T335" s="180" t="e">
        <f>ROUND(SUM(T336:T340),10)</f>
        <v>#REF!</v>
      </c>
      <c r="U335" s="568"/>
      <c r="V335" s="575"/>
      <c r="W335" s="570" t="e">
        <f>ROUND(SUM(W336:W340),10)</f>
        <v>#REF!</v>
      </c>
      <c r="X335" s="575"/>
      <c r="Y335" s="570" t="e">
        <f>ROUND(SUM(Y336:Y340),10)</f>
        <v>#REF!</v>
      </c>
      <c r="Z335" s="575"/>
      <c r="AA335" s="570" t="e">
        <f>ROUND(SUM(AA336:AA340),10)</f>
        <v>#REF!</v>
      </c>
      <c r="AB335" s="575"/>
      <c r="AC335" s="570" t="e">
        <f>ROUND(SUM(AC336:AC340),10)</f>
        <v>#REF!</v>
      </c>
      <c r="AD335" s="912"/>
      <c r="AE335" s="769" t="e">
        <f t="shared" si="313"/>
        <v>#REF!</v>
      </c>
    </row>
    <row r="336" spans="1:31" s="595" customFormat="1" x14ac:dyDescent="0.2">
      <c r="A336" s="611" t="s">
        <v>1163</v>
      </c>
      <c r="B336" s="610" t="s">
        <v>1164</v>
      </c>
      <c r="C336" s="611" t="s">
        <v>114</v>
      </c>
      <c r="D336" s="576">
        <f>+I336+K336+M336+O336+Q336+S336</f>
        <v>8</v>
      </c>
      <c r="E336" s="577" t="e">
        <f t="shared" si="289"/>
        <v>#REF!</v>
      </c>
      <c r="F336" s="577" t="e">
        <f>ROUND(D336*E336,10)</f>
        <v>#REF!</v>
      </c>
      <c r="G336" s="578"/>
      <c r="H336" s="552"/>
      <c r="I336" s="594"/>
      <c r="J336" s="580" t="e">
        <f>+ROUND(E336*I336,10)</f>
        <v>#REF!</v>
      </c>
      <c r="K336" s="537"/>
      <c r="L336" s="445" t="e">
        <f>+ROUND(E336*K336,10)</f>
        <v>#REF!</v>
      </c>
      <c r="M336" s="542"/>
      <c r="N336" s="445" t="e">
        <f>+ROUND(E336*M336,10)</f>
        <v>#REF!</v>
      </c>
      <c r="O336" s="542">
        <v>8</v>
      </c>
      <c r="P336" s="445" t="e">
        <f>+ROUND(E336*O336,10)</f>
        <v>#REF!</v>
      </c>
      <c r="Q336" s="542"/>
      <c r="R336" s="445" t="e">
        <f>+ROUND(E336*Q336,10)</f>
        <v>#REF!</v>
      </c>
      <c r="S336" s="542"/>
      <c r="T336" s="445" t="e">
        <f>+ROUND(E336*S336,10)</f>
        <v>#REF!</v>
      </c>
      <c r="U336" s="552"/>
      <c r="V336" s="581" t="e">
        <f>+#REF!</f>
        <v>#REF!</v>
      </c>
      <c r="W336" s="582" t="e">
        <f>ROUND(V336*$D336,10)</f>
        <v>#REF!</v>
      </c>
      <c r="X336" s="581" t="e">
        <f>+#REF!</f>
        <v>#REF!</v>
      </c>
      <c r="Y336" s="582" t="e">
        <f>ROUND(X336*$D336,10)</f>
        <v>#REF!</v>
      </c>
      <c r="Z336" s="581" t="e">
        <f>+#REF!</f>
        <v>#REF!</v>
      </c>
      <c r="AA336" s="582" t="e">
        <f>ROUND(Z336*$D336,10)</f>
        <v>#REF!</v>
      </c>
      <c r="AB336" s="581"/>
      <c r="AC336" s="582">
        <f>ROUND(AB336*$D336,10)</f>
        <v>0</v>
      </c>
      <c r="AD336" s="912"/>
      <c r="AE336" s="769" t="e">
        <f t="shared" si="313"/>
        <v>#REF!</v>
      </c>
    </row>
    <row r="337" spans="1:31" s="595" customFormat="1" x14ac:dyDescent="0.2">
      <c r="A337" s="611" t="s">
        <v>1165</v>
      </c>
      <c r="B337" s="610" t="s">
        <v>1166</v>
      </c>
      <c r="C337" s="611" t="s">
        <v>114</v>
      </c>
      <c r="D337" s="576">
        <f>+I337+K337+M337+O337+Q337+S337</f>
        <v>40.299999999999997</v>
      </c>
      <c r="E337" s="577" t="e">
        <f t="shared" si="289"/>
        <v>#REF!</v>
      </c>
      <c r="F337" s="577" t="e">
        <f>ROUND(D337*E337,10)</f>
        <v>#REF!</v>
      </c>
      <c r="G337" s="578"/>
      <c r="H337" s="552"/>
      <c r="I337" s="584"/>
      <c r="J337" s="585" t="e">
        <f>+ROUND(E337*I337,10)</f>
        <v>#REF!</v>
      </c>
      <c r="K337" s="537"/>
      <c r="L337" s="445" t="e">
        <f>+ROUND(E337*K337,10)</f>
        <v>#REF!</v>
      </c>
      <c r="M337" s="542"/>
      <c r="N337" s="445" t="e">
        <f>+ROUND(E337*M337,10)</f>
        <v>#REF!</v>
      </c>
      <c r="O337" s="542">
        <v>40.299999999999997</v>
      </c>
      <c r="P337" s="445" t="e">
        <f>+ROUND(E337*O337,10)</f>
        <v>#REF!</v>
      </c>
      <c r="Q337" s="542"/>
      <c r="R337" s="445" t="e">
        <f>+ROUND(E337*Q337,10)</f>
        <v>#REF!</v>
      </c>
      <c r="S337" s="542"/>
      <c r="T337" s="445" t="e">
        <f>+ROUND(E337*S337,10)</f>
        <v>#REF!</v>
      </c>
      <c r="U337" s="552"/>
      <c r="V337" s="581" t="e">
        <f>+#REF!</f>
        <v>#REF!</v>
      </c>
      <c r="W337" s="582" t="e">
        <f>ROUND(V337*$D337,10)</f>
        <v>#REF!</v>
      </c>
      <c r="X337" s="581" t="e">
        <f>+#REF!</f>
        <v>#REF!</v>
      </c>
      <c r="Y337" s="582" t="e">
        <f>ROUND(X337*$D337,10)</f>
        <v>#REF!</v>
      </c>
      <c r="Z337" s="581" t="e">
        <f>+#REF!</f>
        <v>#REF!</v>
      </c>
      <c r="AA337" s="582" t="e">
        <f>ROUND(Z337*$D337,10)</f>
        <v>#REF!</v>
      </c>
      <c r="AB337" s="581"/>
      <c r="AC337" s="582">
        <f>ROUND(AB337*$D337,10)</f>
        <v>0</v>
      </c>
      <c r="AD337" s="912"/>
      <c r="AE337" s="769" t="e">
        <f t="shared" si="313"/>
        <v>#REF!</v>
      </c>
    </row>
    <row r="338" spans="1:31" s="595" customFormat="1" x14ac:dyDescent="0.2">
      <c r="A338" s="611" t="s">
        <v>1167</v>
      </c>
      <c r="B338" s="610" t="s">
        <v>1168</v>
      </c>
      <c r="C338" s="611" t="s">
        <v>114</v>
      </c>
      <c r="D338" s="576">
        <f>+I338+K338+M338+O338+Q338+S338</f>
        <v>12</v>
      </c>
      <c r="E338" s="577" t="e">
        <f t="shared" si="289"/>
        <v>#REF!</v>
      </c>
      <c r="F338" s="577" t="e">
        <f>ROUND(D338*E338,10)</f>
        <v>#REF!</v>
      </c>
      <c r="G338" s="578"/>
      <c r="H338" s="552"/>
      <c r="I338" s="584"/>
      <c r="J338" s="585" t="e">
        <f>+ROUND(E338*I338,10)</f>
        <v>#REF!</v>
      </c>
      <c r="K338" s="537"/>
      <c r="L338" s="445" t="e">
        <f>+ROUND(E338*K338,10)</f>
        <v>#REF!</v>
      </c>
      <c r="M338" s="542"/>
      <c r="N338" s="445" t="e">
        <f>+ROUND(E338*M338,10)</f>
        <v>#REF!</v>
      </c>
      <c r="O338" s="542">
        <v>12</v>
      </c>
      <c r="P338" s="445" t="e">
        <f>+ROUND(E338*O338,10)</f>
        <v>#REF!</v>
      </c>
      <c r="Q338" s="542"/>
      <c r="R338" s="445" t="e">
        <f>+ROUND(E338*Q338,10)</f>
        <v>#REF!</v>
      </c>
      <c r="S338" s="542"/>
      <c r="T338" s="445" t="e">
        <f>+ROUND(E338*S338,10)</f>
        <v>#REF!</v>
      </c>
      <c r="U338" s="552"/>
      <c r="V338" s="581" t="e">
        <f>+#REF!</f>
        <v>#REF!</v>
      </c>
      <c r="W338" s="582" t="e">
        <f>ROUND(V338*$D338,10)</f>
        <v>#REF!</v>
      </c>
      <c r="X338" s="581" t="e">
        <f>+#REF!</f>
        <v>#REF!</v>
      </c>
      <c r="Y338" s="582" t="e">
        <f>ROUND(X338*$D338,10)</f>
        <v>#REF!</v>
      </c>
      <c r="Z338" s="581" t="e">
        <f>+#REF!</f>
        <v>#REF!</v>
      </c>
      <c r="AA338" s="582" t="e">
        <f>ROUND(Z338*$D338,10)</f>
        <v>#REF!</v>
      </c>
      <c r="AB338" s="581" t="e">
        <f>+#REF!</f>
        <v>#REF!</v>
      </c>
      <c r="AC338" s="582" t="e">
        <f>ROUND(AB338*$D338,10)</f>
        <v>#REF!</v>
      </c>
      <c r="AD338" s="912"/>
      <c r="AE338" s="769" t="e">
        <f t="shared" si="313"/>
        <v>#REF!</v>
      </c>
    </row>
    <row r="339" spans="1:31" s="595" customFormat="1" ht="15" hidden="1" customHeight="1" x14ac:dyDescent="0.2">
      <c r="A339" s="611" t="s">
        <v>1169</v>
      </c>
      <c r="B339" s="610" t="s">
        <v>1170</v>
      </c>
      <c r="C339" s="611" t="s">
        <v>114</v>
      </c>
      <c r="D339" s="576">
        <f>+I339+K339+M339+O339+Q339+S339</f>
        <v>0</v>
      </c>
      <c r="E339" s="577" t="e">
        <f>V339+X339+Z339+AB339</f>
        <v>#REF!</v>
      </c>
      <c r="F339" s="577" t="e">
        <f>ROUND(D339*E339,10)</f>
        <v>#REF!</v>
      </c>
      <c r="G339" s="578"/>
      <c r="H339" s="552"/>
      <c r="I339" s="597"/>
      <c r="J339" s="585" t="e">
        <f>+ROUND(E339*I339,10)</f>
        <v>#REF!</v>
      </c>
      <c r="K339" s="537"/>
      <c r="L339" s="445" t="e">
        <f>+ROUND(E339*K339,10)</f>
        <v>#REF!</v>
      </c>
      <c r="M339" s="542"/>
      <c r="N339" s="445" t="e">
        <f>+ROUND(E339*M339,10)</f>
        <v>#REF!</v>
      </c>
      <c r="O339" s="542"/>
      <c r="P339" s="445" t="e">
        <f>+ROUND(E339*O339,10)</f>
        <v>#REF!</v>
      </c>
      <c r="Q339" s="542"/>
      <c r="R339" s="445" t="e">
        <f>+ROUND(E339*Q339,10)</f>
        <v>#REF!</v>
      </c>
      <c r="S339" s="542"/>
      <c r="T339" s="445" t="e">
        <f>+ROUND(E339*S339,10)</f>
        <v>#REF!</v>
      </c>
      <c r="U339" s="552"/>
      <c r="V339" s="581" t="e">
        <f>+'7,1,11,4"'!I19</f>
        <v>#REF!</v>
      </c>
      <c r="W339" s="582" t="e">
        <f>ROUND(V339*$D339,10)</f>
        <v>#REF!</v>
      </c>
      <c r="X339" s="581">
        <f>+'7,1,11,4"'!I50</f>
        <v>4187.3999999999996</v>
      </c>
      <c r="Y339" s="582">
        <f>ROUND(X339*$D339,10)</f>
        <v>0</v>
      </c>
      <c r="Z339" s="581">
        <f>+'7,1,11,4"'!I30</f>
        <v>195.26</v>
      </c>
      <c r="AA339" s="582">
        <f>ROUND(Z339*$D339,10)</f>
        <v>0</v>
      </c>
      <c r="AB339" s="581">
        <f>+'7,1,11,4"'!I41</f>
        <v>0</v>
      </c>
      <c r="AC339" s="582">
        <f>ROUND(AB339*$D339,10)</f>
        <v>0</v>
      </c>
      <c r="AD339" s="912"/>
      <c r="AE339" s="769" t="e">
        <f t="shared" si="313"/>
        <v>#REF!</v>
      </c>
    </row>
    <row r="340" spans="1:31" s="595" customFormat="1" ht="15" hidden="1" customHeight="1" x14ac:dyDescent="0.2">
      <c r="A340" s="611" t="s">
        <v>1171</v>
      </c>
      <c r="B340" s="601" t="s">
        <v>1172</v>
      </c>
      <c r="C340" s="611" t="s">
        <v>144</v>
      </c>
      <c r="D340" s="576">
        <f>+I340+K340+M340+O340+Q340+S340</f>
        <v>0</v>
      </c>
      <c r="E340" s="577" t="e">
        <f t="shared" si="289"/>
        <v>#REF!</v>
      </c>
      <c r="F340" s="577" t="e">
        <f>ROUND(D340*E340,10)</f>
        <v>#REF!</v>
      </c>
      <c r="G340" s="578"/>
      <c r="H340" s="552"/>
      <c r="I340" s="597"/>
      <c r="J340" s="598" t="e">
        <f>+ROUND(E340*I340,10)</f>
        <v>#REF!</v>
      </c>
      <c r="K340" s="537"/>
      <c r="L340" s="445" t="e">
        <f>+ROUND(E340*K340,10)</f>
        <v>#REF!</v>
      </c>
      <c r="M340" s="542"/>
      <c r="N340" s="445" t="e">
        <f>+ROUND(E340*M340,10)</f>
        <v>#REF!</v>
      </c>
      <c r="O340" s="542"/>
      <c r="P340" s="445" t="e">
        <f>+ROUND(E340*O340,10)</f>
        <v>#REF!</v>
      </c>
      <c r="Q340" s="542"/>
      <c r="R340" s="445" t="e">
        <f>+ROUND(E340*Q340,10)</f>
        <v>#REF!</v>
      </c>
      <c r="S340" s="542"/>
      <c r="T340" s="445" t="e">
        <f>+ROUND(E340*S340,10)</f>
        <v>#REF!</v>
      </c>
      <c r="U340" s="552"/>
      <c r="V340" s="581" t="e">
        <f>+'7,1,11,5 Bajante PVC '!I19</f>
        <v>#REF!</v>
      </c>
      <c r="W340" s="582" t="e">
        <f>ROUND(V340*$D340,10)</f>
        <v>#REF!</v>
      </c>
      <c r="X340" s="581">
        <f>+'7,1,11,5 Bajante PVC '!I50</f>
        <v>11758.89</v>
      </c>
      <c r="Y340" s="582">
        <f>ROUND(X340*$D340,10)</f>
        <v>0</v>
      </c>
      <c r="Z340" s="581">
        <f>+'7,1,11,5 Bajante PVC '!I30</f>
        <v>846.89</v>
      </c>
      <c r="AA340" s="582">
        <f>ROUND(Z340*$D340,10)</f>
        <v>0</v>
      </c>
      <c r="AB340" s="581"/>
      <c r="AC340" s="582">
        <f>ROUND(AB340*$D340,10)</f>
        <v>0</v>
      </c>
      <c r="AD340" s="912"/>
      <c r="AE340" s="769" t="e">
        <f t="shared" si="313"/>
        <v>#REF!</v>
      </c>
    </row>
    <row r="341" spans="1:31" ht="15" customHeight="1" x14ac:dyDescent="0.2">
      <c r="A341" s="572" t="s">
        <v>1173</v>
      </c>
      <c r="B341" s="573" t="s">
        <v>1174</v>
      </c>
      <c r="C341" s="846"/>
      <c r="D341" s="576"/>
      <c r="E341" s="577"/>
      <c r="F341" s="626" t="e">
        <f>+ROUND(SUM(F342:F356),10)</f>
        <v>#REF!</v>
      </c>
      <c r="G341" s="473"/>
      <c r="H341" s="568"/>
      <c r="I341" s="613"/>
      <c r="J341" s="440" t="e">
        <f>ROUND(SUM(J342:J350),10)</f>
        <v>#REF!</v>
      </c>
      <c r="K341" s="537"/>
      <c r="L341" s="180" t="e">
        <f>ROUND(SUM(L342:L356),10)</f>
        <v>#REF!</v>
      </c>
      <c r="M341" s="542"/>
      <c r="N341" s="180" t="e">
        <f>ROUND(SUM(N342:N356),10)</f>
        <v>#REF!</v>
      </c>
      <c r="O341" s="542"/>
      <c r="P341" s="180" t="e">
        <f>ROUND(SUM(P342:P356),10)</f>
        <v>#REF!</v>
      </c>
      <c r="Q341" s="542"/>
      <c r="R341" s="180" t="e">
        <f>ROUND(SUM(R342:R356),10)</f>
        <v>#REF!</v>
      </c>
      <c r="S341" s="542"/>
      <c r="T341" s="180" t="e">
        <f>ROUND(SUM(T342:T356),10)</f>
        <v>#REF!</v>
      </c>
      <c r="U341" s="568"/>
      <c r="V341" s="646"/>
      <c r="W341" s="570" t="e">
        <f>ROUND(SUM(W342:W356),10)</f>
        <v>#REF!</v>
      </c>
      <c r="X341" s="646"/>
      <c r="Y341" s="570" t="e">
        <f>ROUND(SUM(Y342:Y356),10)</f>
        <v>#REF!</v>
      </c>
      <c r="Z341" s="646"/>
      <c r="AA341" s="570" t="e">
        <f>ROUND(SUM(AA342:AA356),10)</f>
        <v>#REF!</v>
      </c>
      <c r="AB341" s="646"/>
      <c r="AC341" s="570" t="e">
        <f>ROUND(SUM(AC342:AC356),10)</f>
        <v>#REF!</v>
      </c>
      <c r="AE341" s="769" t="e">
        <f t="shared" si="313"/>
        <v>#REF!</v>
      </c>
    </row>
    <row r="342" spans="1:31" ht="15" hidden="1" customHeight="1" x14ac:dyDescent="0.2">
      <c r="A342" s="611" t="s">
        <v>1175</v>
      </c>
      <c r="B342" s="601" t="s">
        <v>1176</v>
      </c>
      <c r="C342" s="611" t="s">
        <v>111</v>
      </c>
      <c r="D342" s="576">
        <f t="shared" ref="D342:D353" si="314">+I342+K342+M342+O342+Q342+S342</f>
        <v>0</v>
      </c>
      <c r="E342" s="577" t="e">
        <f t="shared" si="289"/>
        <v>#REF!</v>
      </c>
      <c r="F342" s="577" t="e">
        <f t="shared" ref="F342:F353" si="315">ROUND(D342*E342,10)</f>
        <v>#REF!</v>
      </c>
      <c r="G342" s="578"/>
      <c r="I342" s="594"/>
      <c r="J342" s="580" t="e">
        <f t="shared" ref="J342:J353" si="316">+ROUND(E342*I342,10)</f>
        <v>#REF!</v>
      </c>
      <c r="K342" s="537"/>
      <c r="L342" s="445" t="e">
        <f t="shared" ref="L342:L353" si="317">+ROUND(E342*K342,10)</f>
        <v>#REF!</v>
      </c>
      <c r="M342" s="542"/>
      <c r="N342" s="445" t="e">
        <f t="shared" ref="N342:N353" si="318">+ROUND(E342*M342,10)</f>
        <v>#REF!</v>
      </c>
      <c r="O342" s="542"/>
      <c r="P342" s="445" t="e">
        <f t="shared" ref="P342:P353" si="319">+ROUND(E342*O342,10)</f>
        <v>#REF!</v>
      </c>
      <c r="Q342" s="542"/>
      <c r="R342" s="445" t="e">
        <f t="shared" ref="R342:R353" si="320">+ROUND(E342*Q342,10)</f>
        <v>#REF!</v>
      </c>
      <c r="S342" s="542"/>
      <c r="T342" s="445" t="e">
        <f t="shared" ref="T342:T353" si="321">+ROUND(E342*S342,10)</f>
        <v>#REF!</v>
      </c>
      <c r="V342" s="581" t="e">
        <f>'7,1,12,1 Instalaciòn Lavamanos'!I20</f>
        <v>#REF!</v>
      </c>
      <c r="W342" s="582" t="e">
        <f t="shared" ref="W342:W353" si="322">ROUND(V342*$D342,10)</f>
        <v>#REF!</v>
      </c>
      <c r="X342" s="581">
        <f>'7,1,12,1 Instalaciòn Lavamanos'!I51</f>
        <v>26171.23</v>
      </c>
      <c r="Y342" s="582">
        <f t="shared" ref="Y342:Y353" si="323">ROUND(X342*$D342,10)</f>
        <v>0</v>
      </c>
      <c r="Z342" s="581">
        <f>'7,1,12,1 Instalaciòn Lavamanos'!I31</f>
        <v>154.58000000000001</v>
      </c>
      <c r="AA342" s="582">
        <f t="shared" ref="AA342:AA353" si="324">ROUND(Z342*$D342,10)</f>
        <v>0</v>
      </c>
      <c r="AB342" s="581">
        <f>'7,1,12,1 Instalaciòn Lavamanos'!I42</f>
        <v>0</v>
      </c>
      <c r="AC342" s="582">
        <f t="shared" ref="AC342:AC353" si="325">ROUND(AB342*$D342,10)</f>
        <v>0</v>
      </c>
      <c r="AE342" s="769" t="e">
        <f t="shared" si="313"/>
        <v>#REF!</v>
      </c>
    </row>
    <row r="343" spans="1:31" ht="15" hidden="1" customHeight="1" x14ac:dyDescent="0.2">
      <c r="A343" s="611" t="s">
        <v>1177</v>
      </c>
      <c r="B343" s="601" t="s">
        <v>1178</v>
      </c>
      <c r="C343" s="611" t="s">
        <v>111</v>
      </c>
      <c r="D343" s="576">
        <f t="shared" si="314"/>
        <v>0</v>
      </c>
      <c r="E343" s="577" t="e">
        <f t="shared" si="289"/>
        <v>#REF!</v>
      </c>
      <c r="F343" s="577" t="e">
        <f t="shared" si="315"/>
        <v>#REF!</v>
      </c>
      <c r="G343" s="578"/>
      <c r="I343" s="584"/>
      <c r="J343" s="585" t="e">
        <f t="shared" si="316"/>
        <v>#REF!</v>
      </c>
      <c r="K343" s="537"/>
      <c r="L343" s="445" t="e">
        <f t="shared" si="317"/>
        <v>#REF!</v>
      </c>
      <c r="M343" s="542"/>
      <c r="N343" s="445" t="e">
        <f t="shared" si="318"/>
        <v>#REF!</v>
      </c>
      <c r="O343" s="542"/>
      <c r="P343" s="445" t="e">
        <f t="shared" si="319"/>
        <v>#REF!</v>
      </c>
      <c r="Q343" s="542"/>
      <c r="R343" s="445" t="e">
        <f t="shared" si="320"/>
        <v>#REF!</v>
      </c>
      <c r="S343" s="542"/>
      <c r="T343" s="445" t="e">
        <f t="shared" si="321"/>
        <v>#REF!</v>
      </c>
      <c r="V343" s="581" t="e">
        <f>'7,1,12,2 Instalaciòn Sanitario '!I20</f>
        <v>#REF!</v>
      </c>
      <c r="W343" s="582" t="e">
        <f t="shared" si="322"/>
        <v>#REF!</v>
      </c>
      <c r="X343" s="581">
        <f>'7,1,12,2 Instalaciòn Sanitario '!I51</f>
        <v>34894.97</v>
      </c>
      <c r="Y343" s="582">
        <f t="shared" si="323"/>
        <v>0</v>
      </c>
      <c r="Z343" s="581">
        <f>'7,1,12,2 Instalaciòn Sanitario '!I31</f>
        <v>154.58000000000001</v>
      </c>
      <c r="AA343" s="582">
        <f t="shared" si="324"/>
        <v>0</v>
      </c>
      <c r="AB343" s="581">
        <f>'7,1,12,2 Instalaciòn Sanitario '!I42</f>
        <v>0</v>
      </c>
      <c r="AC343" s="582">
        <f t="shared" si="325"/>
        <v>0</v>
      </c>
      <c r="AE343" s="769" t="e">
        <f t="shared" si="313"/>
        <v>#REF!</v>
      </c>
    </row>
    <row r="344" spans="1:31" ht="15" hidden="1" customHeight="1" x14ac:dyDescent="0.2">
      <c r="A344" s="611" t="s">
        <v>1179</v>
      </c>
      <c r="B344" s="649" t="s">
        <v>1180</v>
      </c>
      <c r="C344" s="611" t="s">
        <v>111</v>
      </c>
      <c r="D344" s="576">
        <f t="shared" si="314"/>
        <v>0</v>
      </c>
      <c r="E344" s="577">
        <f t="shared" si="289"/>
        <v>0</v>
      </c>
      <c r="F344" s="577">
        <f t="shared" si="315"/>
        <v>0</v>
      </c>
      <c r="G344" s="578"/>
      <c r="I344" s="584"/>
      <c r="J344" s="585">
        <f t="shared" si="316"/>
        <v>0</v>
      </c>
      <c r="K344" s="537"/>
      <c r="L344" s="445">
        <f t="shared" si="317"/>
        <v>0</v>
      </c>
      <c r="M344" s="542"/>
      <c r="N344" s="445">
        <f t="shared" si="318"/>
        <v>0</v>
      </c>
      <c r="O344" s="542"/>
      <c r="P344" s="445">
        <f t="shared" si="319"/>
        <v>0</v>
      </c>
      <c r="Q344" s="542"/>
      <c r="R344" s="445">
        <f t="shared" si="320"/>
        <v>0</v>
      </c>
      <c r="S344" s="542"/>
      <c r="T344" s="445">
        <f t="shared" si="321"/>
        <v>0</v>
      </c>
      <c r="V344" s="581"/>
      <c r="W344" s="582">
        <f t="shared" si="322"/>
        <v>0</v>
      </c>
      <c r="X344" s="581"/>
      <c r="Y344" s="582">
        <f t="shared" si="323"/>
        <v>0</v>
      </c>
      <c r="Z344" s="581"/>
      <c r="AA344" s="582">
        <f t="shared" si="324"/>
        <v>0</v>
      </c>
      <c r="AB344" s="581"/>
      <c r="AC344" s="582">
        <f t="shared" si="325"/>
        <v>0</v>
      </c>
      <c r="AE344" s="769">
        <f t="shared" si="313"/>
        <v>0</v>
      </c>
    </row>
    <row r="345" spans="1:31" ht="15" hidden="1" customHeight="1" x14ac:dyDescent="0.2">
      <c r="A345" s="611" t="s">
        <v>1181</v>
      </c>
      <c r="B345" s="649" t="s">
        <v>1182</v>
      </c>
      <c r="C345" s="611" t="s">
        <v>111</v>
      </c>
      <c r="D345" s="576">
        <f t="shared" si="314"/>
        <v>0</v>
      </c>
      <c r="E345" s="577">
        <f t="shared" si="289"/>
        <v>0</v>
      </c>
      <c r="F345" s="577">
        <f t="shared" si="315"/>
        <v>0</v>
      </c>
      <c r="G345" s="578"/>
      <c r="I345" s="584"/>
      <c r="J345" s="585">
        <f t="shared" si="316"/>
        <v>0</v>
      </c>
      <c r="K345" s="537"/>
      <c r="L345" s="445">
        <f t="shared" si="317"/>
        <v>0</v>
      </c>
      <c r="M345" s="542"/>
      <c r="N345" s="445">
        <f t="shared" si="318"/>
        <v>0</v>
      </c>
      <c r="O345" s="542"/>
      <c r="P345" s="445">
        <f t="shared" si="319"/>
        <v>0</v>
      </c>
      <c r="Q345" s="542"/>
      <c r="R345" s="445">
        <f t="shared" si="320"/>
        <v>0</v>
      </c>
      <c r="S345" s="542"/>
      <c r="T345" s="445">
        <f t="shared" si="321"/>
        <v>0</v>
      </c>
      <c r="V345" s="645"/>
      <c r="W345" s="582">
        <f t="shared" si="322"/>
        <v>0</v>
      </c>
      <c r="X345" s="645"/>
      <c r="Y345" s="582">
        <f t="shared" si="323"/>
        <v>0</v>
      </c>
      <c r="Z345" s="645"/>
      <c r="AA345" s="582">
        <f t="shared" si="324"/>
        <v>0</v>
      </c>
      <c r="AB345" s="645"/>
      <c r="AC345" s="582">
        <f t="shared" si="325"/>
        <v>0</v>
      </c>
      <c r="AE345" s="769">
        <f t="shared" si="313"/>
        <v>0</v>
      </c>
    </row>
    <row r="346" spans="1:31" ht="15" hidden="1" customHeight="1" x14ac:dyDescent="0.2">
      <c r="A346" s="611" t="s">
        <v>1183</v>
      </c>
      <c r="B346" s="649" t="s">
        <v>1184</v>
      </c>
      <c r="C346" s="611" t="s">
        <v>111</v>
      </c>
      <c r="D346" s="576">
        <f t="shared" si="314"/>
        <v>0</v>
      </c>
      <c r="E346" s="577">
        <f t="shared" si="289"/>
        <v>0</v>
      </c>
      <c r="F346" s="577">
        <f t="shared" si="315"/>
        <v>0</v>
      </c>
      <c r="G346" s="578"/>
      <c r="I346" s="584"/>
      <c r="J346" s="585">
        <f t="shared" si="316"/>
        <v>0</v>
      </c>
      <c r="K346" s="537"/>
      <c r="L346" s="445">
        <f t="shared" si="317"/>
        <v>0</v>
      </c>
      <c r="M346" s="542"/>
      <c r="N346" s="445">
        <f t="shared" si="318"/>
        <v>0</v>
      </c>
      <c r="O346" s="542"/>
      <c r="P346" s="445">
        <f t="shared" si="319"/>
        <v>0</v>
      </c>
      <c r="Q346" s="542"/>
      <c r="R346" s="445">
        <f t="shared" si="320"/>
        <v>0</v>
      </c>
      <c r="S346" s="542"/>
      <c r="T346" s="445">
        <f t="shared" si="321"/>
        <v>0</v>
      </c>
      <c r="V346" s="645"/>
      <c r="W346" s="582">
        <f t="shared" si="322"/>
        <v>0</v>
      </c>
      <c r="X346" s="645"/>
      <c r="Y346" s="582">
        <f t="shared" si="323"/>
        <v>0</v>
      </c>
      <c r="Z346" s="645"/>
      <c r="AA346" s="582">
        <f t="shared" si="324"/>
        <v>0</v>
      </c>
      <c r="AB346" s="645"/>
      <c r="AC346" s="582">
        <f t="shared" si="325"/>
        <v>0</v>
      </c>
      <c r="AE346" s="769">
        <f t="shared" si="313"/>
        <v>0</v>
      </c>
    </row>
    <row r="347" spans="1:31" ht="15" hidden="1" customHeight="1" x14ac:dyDescent="0.2">
      <c r="A347" s="611" t="s">
        <v>1185</v>
      </c>
      <c r="B347" s="649" t="s">
        <v>1186</v>
      </c>
      <c r="C347" s="611" t="s">
        <v>111</v>
      </c>
      <c r="D347" s="576">
        <f t="shared" si="314"/>
        <v>0</v>
      </c>
      <c r="E347" s="577">
        <f t="shared" si="289"/>
        <v>0</v>
      </c>
      <c r="F347" s="577">
        <f t="shared" si="315"/>
        <v>0</v>
      </c>
      <c r="G347" s="578"/>
      <c r="I347" s="584"/>
      <c r="J347" s="585">
        <f t="shared" si="316"/>
        <v>0</v>
      </c>
      <c r="K347" s="537"/>
      <c r="L347" s="445">
        <f t="shared" si="317"/>
        <v>0</v>
      </c>
      <c r="M347" s="542"/>
      <c r="N347" s="445">
        <f t="shared" si="318"/>
        <v>0</v>
      </c>
      <c r="O347" s="542"/>
      <c r="P347" s="445">
        <f t="shared" si="319"/>
        <v>0</v>
      </c>
      <c r="Q347" s="542"/>
      <c r="R347" s="445">
        <f t="shared" si="320"/>
        <v>0</v>
      </c>
      <c r="S347" s="542"/>
      <c r="T347" s="445">
        <f t="shared" si="321"/>
        <v>0</v>
      </c>
      <c r="V347" s="645"/>
      <c r="W347" s="582">
        <f t="shared" si="322"/>
        <v>0</v>
      </c>
      <c r="X347" s="645"/>
      <c r="Y347" s="582">
        <f t="shared" si="323"/>
        <v>0</v>
      </c>
      <c r="Z347" s="645"/>
      <c r="AA347" s="582">
        <f t="shared" si="324"/>
        <v>0</v>
      </c>
      <c r="AB347" s="645"/>
      <c r="AC347" s="582">
        <f t="shared" si="325"/>
        <v>0</v>
      </c>
      <c r="AE347" s="769">
        <f t="shared" si="313"/>
        <v>0</v>
      </c>
    </row>
    <row r="348" spans="1:31" ht="15" hidden="1" customHeight="1" x14ac:dyDescent="0.2">
      <c r="A348" s="611" t="s">
        <v>1187</v>
      </c>
      <c r="B348" s="649" t="s">
        <v>1188</v>
      </c>
      <c r="C348" s="611" t="s">
        <v>111</v>
      </c>
      <c r="D348" s="576">
        <f t="shared" si="314"/>
        <v>0</v>
      </c>
      <c r="E348" s="577">
        <f t="shared" si="289"/>
        <v>0</v>
      </c>
      <c r="F348" s="577">
        <f t="shared" si="315"/>
        <v>0</v>
      </c>
      <c r="G348" s="578"/>
      <c r="I348" s="584"/>
      <c r="J348" s="585">
        <f t="shared" si="316"/>
        <v>0</v>
      </c>
      <c r="K348" s="537"/>
      <c r="L348" s="445">
        <f t="shared" si="317"/>
        <v>0</v>
      </c>
      <c r="M348" s="542"/>
      <c r="N348" s="445">
        <f t="shared" si="318"/>
        <v>0</v>
      </c>
      <c r="O348" s="542"/>
      <c r="P348" s="445">
        <f t="shared" si="319"/>
        <v>0</v>
      </c>
      <c r="Q348" s="542"/>
      <c r="R348" s="445">
        <f t="shared" si="320"/>
        <v>0</v>
      </c>
      <c r="S348" s="542"/>
      <c r="T348" s="445">
        <f t="shared" si="321"/>
        <v>0</v>
      </c>
      <c r="V348" s="645"/>
      <c r="W348" s="582">
        <f t="shared" si="322"/>
        <v>0</v>
      </c>
      <c r="X348" s="645"/>
      <c r="Y348" s="582">
        <f t="shared" si="323"/>
        <v>0</v>
      </c>
      <c r="Z348" s="645"/>
      <c r="AA348" s="582">
        <f t="shared" si="324"/>
        <v>0</v>
      </c>
      <c r="AB348" s="645"/>
      <c r="AC348" s="582">
        <f t="shared" si="325"/>
        <v>0</v>
      </c>
      <c r="AE348" s="769">
        <f t="shared" si="313"/>
        <v>0</v>
      </c>
    </row>
    <row r="349" spans="1:31" ht="15" hidden="1" customHeight="1" x14ac:dyDescent="0.2">
      <c r="A349" s="611" t="s">
        <v>1189</v>
      </c>
      <c r="B349" s="601" t="s">
        <v>1190</v>
      </c>
      <c r="C349" s="611" t="s">
        <v>111</v>
      </c>
      <c r="D349" s="576">
        <f t="shared" si="314"/>
        <v>0</v>
      </c>
      <c r="E349" s="577" t="e">
        <f t="shared" si="289"/>
        <v>#REF!</v>
      </c>
      <c r="F349" s="577" t="e">
        <f t="shared" si="315"/>
        <v>#REF!</v>
      </c>
      <c r="G349" s="578"/>
      <c r="I349" s="584"/>
      <c r="J349" s="585" t="e">
        <f t="shared" si="316"/>
        <v>#REF!</v>
      </c>
      <c r="K349" s="537"/>
      <c r="L349" s="445" t="e">
        <f t="shared" si="317"/>
        <v>#REF!</v>
      </c>
      <c r="M349" s="542"/>
      <c r="N349" s="445" t="e">
        <f t="shared" si="318"/>
        <v>#REF!</v>
      </c>
      <c r="O349" s="542"/>
      <c r="P349" s="445" t="e">
        <f t="shared" si="319"/>
        <v>#REF!</v>
      </c>
      <c r="Q349" s="542"/>
      <c r="R349" s="445" t="e">
        <f t="shared" si="320"/>
        <v>#REF!</v>
      </c>
      <c r="S349" s="542"/>
      <c r="T349" s="445" t="e">
        <f t="shared" si="321"/>
        <v>#REF!</v>
      </c>
      <c r="V349" s="581" t="e">
        <f>+'7,1,12,8 Llave  Manguera 1.2 '!I20</f>
        <v>#REF!</v>
      </c>
      <c r="W349" s="582" t="e">
        <f t="shared" si="322"/>
        <v>#REF!</v>
      </c>
      <c r="X349" s="581">
        <f>+'7,1,12,8 Llave  Manguera 1.2 '!I51</f>
        <v>4187.3999999999996</v>
      </c>
      <c r="Y349" s="582">
        <f t="shared" si="323"/>
        <v>0</v>
      </c>
      <c r="Z349" s="581">
        <f>+'7,1,12,8 Llave  Manguera 1.2 '!I31</f>
        <v>154.58000000000001</v>
      </c>
      <c r="AA349" s="582">
        <f t="shared" si="324"/>
        <v>0</v>
      </c>
      <c r="AB349" s="581">
        <f>+'7,1,12,8 Llave  Manguera 1.2 '!I42</f>
        <v>0</v>
      </c>
      <c r="AC349" s="582">
        <f t="shared" si="325"/>
        <v>0</v>
      </c>
      <c r="AE349" s="769" t="e">
        <f t="shared" si="313"/>
        <v>#REF!</v>
      </c>
    </row>
    <row r="350" spans="1:31" ht="15" hidden="1" customHeight="1" x14ac:dyDescent="0.2">
      <c r="A350" s="611" t="s">
        <v>1191</v>
      </c>
      <c r="B350" s="601" t="s">
        <v>1192</v>
      </c>
      <c r="C350" s="611" t="s">
        <v>111</v>
      </c>
      <c r="D350" s="576">
        <f t="shared" si="314"/>
        <v>0</v>
      </c>
      <c r="E350" s="577" t="e">
        <f t="shared" si="289"/>
        <v>#REF!</v>
      </c>
      <c r="F350" s="577" t="e">
        <f t="shared" si="315"/>
        <v>#REF!</v>
      </c>
      <c r="G350" s="578"/>
      <c r="I350" s="597"/>
      <c r="J350" s="598" t="e">
        <f t="shared" si="316"/>
        <v>#REF!</v>
      </c>
      <c r="K350" s="537"/>
      <c r="L350" s="445" t="e">
        <f t="shared" si="317"/>
        <v>#REF!</v>
      </c>
      <c r="M350" s="542"/>
      <c r="N350" s="445" t="e">
        <f t="shared" si="318"/>
        <v>#REF!</v>
      </c>
      <c r="O350" s="542"/>
      <c r="P350" s="445" t="e">
        <f t="shared" si="319"/>
        <v>#REF!</v>
      </c>
      <c r="Q350" s="542"/>
      <c r="R350" s="445" t="e">
        <f t="shared" si="320"/>
        <v>#REF!</v>
      </c>
      <c r="S350" s="542"/>
      <c r="T350" s="445" t="e">
        <f t="shared" si="321"/>
        <v>#REF!</v>
      </c>
      <c r="V350" s="581" t="e">
        <f>+'7,1,12,9 Acoflex lav.sant.'!I20</f>
        <v>#REF!</v>
      </c>
      <c r="W350" s="582" t="e">
        <f t="shared" si="322"/>
        <v>#REF!</v>
      </c>
      <c r="X350" s="581">
        <f>+'7,1,12,9 Acoflex lav.sant.'!I51</f>
        <v>3806.72</v>
      </c>
      <c r="Y350" s="582">
        <f t="shared" si="323"/>
        <v>0</v>
      </c>
      <c r="Z350" s="581">
        <f>+'7,1,12,9 Acoflex lav.sant.'!I31</f>
        <v>77.290000000000006</v>
      </c>
      <c r="AA350" s="582">
        <f t="shared" si="324"/>
        <v>0</v>
      </c>
      <c r="AB350" s="581">
        <f>+'7,1,12,9 Acoflex lav.sant.'!I42</f>
        <v>0</v>
      </c>
      <c r="AC350" s="582">
        <f t="shared" si="325"/>
        <v>0</v>
      </c>
      <c r="AE350" s="769" t="e">
        <f t="shared" si="313"/>
        <v>#REF!</v>
      </c>
    </row>
    <row r="351" spans="1:31" ht="15" hidden="1" customHeight="1" x14ac:dyDescent="0.2">
      <c r="A351" s="611" t="s">
        <v>1193</v>
      </c>
      <c r="B351" s="601" t="s">
        <v>1194</v>
      </c>
      <c r="C351" s="792" t="s">
        <v>111</v>
      </c>
      <c r="D351" s="576">
        <f t="shared" si="314"/>
        <v>0</v>
      </c>
      <c r="E351" s="577">
        <f t="shared" si="289"/>
        <v>0</v>
      </c>
      <c r="F351" s="577">
        <f t="shared" si="315"/>
        <v>0</v>
      </c>
      <c r="G351" s="473"/>
      <c r="H351" s="568"/>
      <c r="I351" s="650"/>
      <c r="J351" s="651">
        <f t="shared" si="316"/>
        <v>0</v>
      </c>
      <c r="K351" s="537"/>
      <c r="L351" s="445">
        <f t="shared" si="317"/>
        <v>0</v>
      </c>
      <c r="M351" s="542"/>
      <c r="N351" s="445">
        <f t="shared" si="318"/>
        <v>0</v>
      </c>
      <c r="O351" s="542"/>
      <c r="P351" s="445">
        <f t="shared" si="319"/>
        <v>0</v>
      </c>
      <c r="Q351" s="542"/>
      <c r="R351" s="445">
        <f t="shared" si="320"/>
        <v>0</v>
      </c>
      <c r="S351" s="542"/>
      <c r="T351" s="445">
        <f t="shared" si="321"/>
        <v>0</v>
      </c>
      <c r="U351" s="568"/>
      <c r="V351" s="646"/>
      <c r="W351" s="582">
        <f t="shared" si="322"/>
        <v>0</v>
      </c>
      <c r="X351" s="646"/>
      <c r="Y351" s="582">
        <f t="shared" si="323"/>
        <v>0</v>
      </c>
      <c r="Z351" s="646"/>
      <c r="AA351" s="582">
        <f t="shared" si="324"/>
        <v>0</v>
      </c>
      <c r="AB351" s="646"/>
      <c r="AC351" s="582">
        <f t="shared" si="325"/>
        <v>0</v>
      </c>
      <c r="AE351" s="769">
        <f t="shared" si="313"/>
        <v>0</v>
      </c>
    </row>
    <row r="352" spans="1:31" ht="15" customHeight="1" x14ac:dyDescent="0.2">
      <c r="A352" s="611" t="s">
        <v>1195</v>
      </c>
      <c r="B352" s="601" t="s">
        <v>1196</v>
      </c>
      <c r="C352" s="792" t="s">
        <v>111</v>
      </c>
      <c r="D352" s="576">
        <f t="shared" si="314"/>
        <v>3</v>
      </c>
      <c r="E352" s="577" t="e">
        <f t="shared" si="289"/>
        <v>#REF!</v>
      </c>
      <c r="F352" s="577" t="e">
        <f t="shared" si="315"/>
        <v>#REF!</v>
      </c>
      <c r="G352" s="473"/>
      <c r="H352" s="568"/>
      <c r="I352" s="650"/>
      <c r="J352" s="651" t="e">
        <f t="shared" si="316"/>
        <v>#REF!</v>
      </c>
      <c r="K352" s="537"/>
      <c r="L352" s="445" t="e">
        <f t="shared" si="317"/>
        <v>#REF!</v>
      </c>
      <c r="M352" s="542"/>
      <c r="N352" s="445" t="e">
        <f t="shared" si="318"/>
        <v>#REF!</v>
      </c>
      <c r="O352" s="542">
        <v>3</v>
      </c>
      <c r="P352" s="445" t="e">
        <f t="shared" si="319"/>
        <v>#REF!</v>
      </c>
      <c r="Q352" s="542"/>
      <c r="R352" s="445" t="e">
        <f t="shared" si="320"/>
        <v>#REF!</v>
      </c>
      <c r="S352" s="542"/>
      <c r="T352" s="445" t="e">
        <f t="shared" si="321"/>
        <v>#REF!</v>
      </c>
      <c r="U352" s="568"/>
      <c r="V352" s="581" t="e">
        <f>+#REF!</f>
        <v>#REF!</v>
      </c>
      <c r="W352" s="582" t="e">
        <f t="shared" si="322"/>
        <v>#REF!</v>
      </c>
      <c r="X352" s="581" t="e">
        <f>+#REF!</f>
        <v>#REF!</v>
      </c>
      <c r="Y352" s="582" t="e">
        <f t="shared" si="323"/>
        <v>#REF!</v>
      </c>
      <c r="Z352" s="581" t="e">
        <f>+#REF!</f>
        <v>#REF!</v>
      </c>
      <c r="AA352" s="582" t="e">
        <f t="shared" si="324"/>
        <v>#REF!</v>
      </c>
      <c r="AB352" s="581" t="e">
        <f>+#REF!</f>
        <v>#REF!</v>
      </c>
      <c r="AC352" s="582" t="e">
        <f t="shared" si="325"/>
        <v>#REF!</v>
      </c>
      <c r="AE352" s="769" t="e">
        <f t="shared" si="313"/>
        <v>#REF!</v>
      </c>
    </row>
    <row r="353" spans="1:31" ht="15" customHeight="1" x14ac:dyDescent="0.2">
      <c r="A353" s="611" t="s">
        <v>1197</v>
      </c>
      <c r="B353" s="601" t="s">
        <v>1198</v>
      </c>
      <c r="C353" s="792" t="s">
        <v>111</v>
      </c>
      <c r="D353" s="576">
        <f t="shared" si="314"/>
        <v>3</v>
      </c>
      <c r="E353" s="577" t="e">
        <f t="shared" si="289"/>
        <v>#REF!</v>
      </c>
      <c r="F353" s="577" t="e">
        <f t="shared" si="315"/>
        <v>#REF!</v>
      </c>
      <c r="G353" s="473"/>
      <c r="H353" s="568"/>
      <c r="I353" s="650"/>
      <c r="J353" s="651" t="e">
        <f t="shared" si="316"/>
        <v>#REF!</v>
      </c>
      <c r="K353" s="537"/>
      <c r="L353" s="445" t="e">
        <f t="shared" si="317"/>
        <v>#REF!</v>
      </c>
      <c r="M353" s="542"/>
      <c r="N353" s="445" t="e">
        <f t="shared" si="318"/>
        <v>#REF!</v>
      </c>
      <c r="O353" s="542">
        <v>3</v>
      </c>
      <c r="P353" s="445" t="e">
        <f t="shared" si="319"/>
        <v>#REF!</v>
      </c>
      <c r="Q353" s="542"/>
      <c r="R353" s="445" t="e">
        <f t="shared" si="320"/>
        <v>#REF!</v>
      </c>
      <c r="S353" s="542"/>
      <c r="T353" s="445" t="e">
        <f t="shared" si="321"/>
        <v>#REF!</v>
      </c>
      <c r="U353" s="568"/>
      <c r="V353" s="581" t="e">
        <f>#REF!</f>
        <v>#REF!</v>
      </c>
      <c r="W353" s="582" t="e">
        <f t="shared" si="322"/>
        <v>#REF!</v>
      </c>
      <c r="X353" s="581" t="e">
        <f>#REF!</f>
        <v>#REF!</v>
      </c>
      <c r="Y353" s="582" t="e">
        <f t="shared" si="323"/>
        <v>#REF!</v>
      </c>
      <c r="Z353" s="581" t="e">
        <f>#REF!</f>
        <v>#REF!</v>
      </c>
      <c r="AA353" s="582" t="e">
        <f t="shared" si="324"/>
        <v>#REF!</v>
      </c>
      <c r="AB353" s="581" t="e">
        <f>#REF!</f>
        <v>#REF!</v>
      </c>
      <c r="AC353" s="582" t="e">
        <f t="shared" si="325"/>
        <v>#REF!</v>
      </c>
      <c r="AE353" s="769" t="e">
        <f t="shared" si="313"/>
        <v>#REF!</v>
      </c>
    </row>
    <row r="354" spans="1:31" ht="15" customHeight="1" x14ac:dyDescent="0.2">
      <c r="A354" s="572" t="s">
        <v>1199</v>
      </c>
      <c r="B354" s="573" t="s">
        <v>454</v>
      </c>
      <c r="C354" s="846"/>
      <c r="D354" s="576"/>
      <c r="E354" s="577"/>
      <c r="F354" s="626" t="e">
        <f>+ROUND(SUM(F355:F356),10)</f>
        <v>#REF!</v>
      </c>
      <c r="G354" s="473"/>
      <c r="H354" s="568"/>
      <c r="I354" s="613"/>
      <c r="J354" s="440" t="e">
        <f>ROUND(SUM(J355:J357),10)</f>
        <v>#REF!</v>
      </c>
      <c r="K354" s="537"/>
      <c r="L354" s="445" t="e">
        <f>ROUND(SUM(L355:L357),10)</f>
        <v>#REF!</v>
      </c>
      <c r="M354" s="542"/>
      <c r="N354" s="445" t="e">
        <f>ROUND(SUM(N355:N357),10)</f>
        <v>#REF!</v>
      </c>
      <c r="O354" s="542"/>
      <c r="P354" s="445" t="e">
        <f>ROUND(SUM(P355:P357),10)</f>
        <v>#REF!</v>
      </c>
      <c r="Q354" s="542"/>
      <c r="R354" s="445" t="e">
        <f>ROUND(SUM(R355:R357),10)</f>
        <v>#REF!</v>
      </c>
      <c r="S354" s="542"/>
      <c r="T354" s="445" t="e">
        <f>ROUND(SUM(T355:T357),10)</f>
        <v>#REF!</v>
      </c>
      <c r="U354" s="568"/>
      <c r="V354" s="646"/>
      <c r="W354" s="582" t="e">
        <f>ROUND(SUM(W355:W356),10)</f>
        <v>#REF!</v>
      </c>
      <c r="X354" s="646"/>
      <c r="Y354" s="582" t="e">
        <f>ROUND(SUM(Y355:Y356),10)</f>
        <v>#REF!</v>
      </c>
      <c r="Z354" s="646"/>
      <c r="AA354" s="582" t="e">
        <f>ROUND(SUM(AA355:AA356),10)</f>
        <v>#REF!</v>
      </c>
      <c r="AB354" s="646"/>
      <c r="AC354" s="582" t="e">
        <f>ROUND(SUM(AC355:AC356),10)</f>
        <v>#REF!</v>
      </c>
      <c r="AE354" s="769" t="e">
        <f t="shared" si="313"/>
        <v>#REF!</v>
      </c>
    </row>
    <row r="355" spans="1:31" ht="15" hidden="1" customHeight="1" x14ac:dyDescent="0.2">
      <c r="A355" s="611" t="s">
        <v>1200</v>
      </c>
      <c r="B355" s="601" t="s">
        <v>1201</v>
      </c>
      <c r="C355" s="611" t="s">
        <v>111</v>
      </c>
      <c r="D355" s="576">
        <f>+I355+K355+M355+O355+Q355+S355</f>
        <v>0</v>
      </c>
      <c r="E355" s="577">
        <f t="shared" si="289"/>
        <v>0</v>
      </c>
      <c r="F355" s="577">
        <f>ROUND(D355*E355,10)</f>
        <v>0</v>
      </c>
      <c r="G355" s="578"/>
      <c r="I355" s="594"/>
      <c r="J355" s="580">
        <f>+ROUND(E355*I355,10)</f>
        <v>0</v>
      </c>
      <c r="K355" s="537"/>
      <c r="L355" s="445">
        <f>+ROUND(E355*K355,10)</f>
        <v>0</v>
      </c>
      <c r="M355" s="542"/>
      <c r="N355" s="445">
        <f>+ROUND(E355*M355,10)</f>
        <v>0</v>
      </c>
      <c r="O355" s="542"/>
      <c r="P355" s="445">
        <f>+ROUND(E355*O355,10)</f>
        <v>0</v>
      </c>
      <c r="Q355" s="542"/>
      <c r="R355" s="445">
        <f>+ROUND(E355*Q355,10)</f>
        <v>0</v>
      </c>
      <c r="S355" s="542"/>
      <c r="T355" s="445">
        <f>+ROUND(E355*S355,10)</f>
        <v>0</v>
      </c>
      <c r="V355" s="645"/>
      <c r="W355" s="582">
        <f>ROUND(V355*$D355,10)</f>
        <v>0</v>
      </c>
      <c r="X355" s="645"/>
      <c r="Y355" s="582">
        <f>ROUND(X355*$D355,10)</f>
        <v>0</v>
      </c>
      <c r="Z355" s="645"/>
      <c r="AA355" s="582">
        <f>ROUND(Z355*$D355,10)</f>
        <v>0</v>
      </c>
      <c r="AB355" s="645"/>
      <c r="AC355" s="582">
        <f>ROUND(AB355*$D355,10)</f>
        <v>0</v>
      </c>
      <c r="AE355" s="769">
        <f t="shared" si="313"/>
        <v>0</v>
      </c>
    </row>
    <row r="356" spans="1:31" ht="15" customHeight="1" x14ac:dyDescent="0.2">
      <c r="A356" s="611" t="s">
        <v>1202</v>
      </c>
      <c r="B356" s="649" t="s">
        <v>1203</v>
      </c>
      <c r="C356" s="611" t="s">
        <v>111</v>
      </c>
      <c r="D356" s="576">
        <f>+I356+K356+M356+O356+Q356+S356</f>
        <v>1</v>
      </c>
      <c r="E356" s="577" t="e">
        <f t="shared" si="289"/>
        <v>#REF!</v>
      </c>
      <c r="F356" s="577" t="e">
        <f>ROUND(D356*E356,10)</f>
        <v>#REF!</v>
      </c>
      <c r="G356" s="578"/>
      <c r="I356" s="597"/>
      <c r="J356" s="598" t="e">
        <f>+ROUND(E356*I356,10)</f>
        <v>#REF!</v>
      </c>
      <c r="K356" s="537"/>
      <c r="L356" s="445" t="e">
        <f>+ROUND(E356*K356,10)</f>
        <v>#REF!</v>
      </c>
      <c r="M356" s="542">
        <v>0.1</v>
      </c>
      <c r="N356" s="445" t="e">
        <f>+ROUND(E356*M356,10)</f>
        <v>#REF!</v>
      </c>
      <c r="O356" s="542">
        <v>0.9</v>
      </c>
      <c r="P356" s="445" t="e">
        <f>+ROUND(E356*O356,10)</f>
        <v>#REF!</v>
      </c>
      <c r="Q356" s="542"/>
      <c r="R356" s="445" t="e">
        <f>+ROUND(E356*Q356,10)</f>
        <v>#REF!</v>
      </c>
      <c r="S356" s="542"/>
      <c r="T356" s="445" t="e">
        <f>+ROUND(E356*S356,10)</f>
        <v>#REF!</v>
      </c>
      <c r="V356" s="581" t="e">
        <f>#REF!</f>
        <v>#REF!</v>
      </c>
      <c r="W356" s="582" t="e">
        <f>ROUND(V356*$D356,10)</f>
        <v>#REF!</v>
      </c>
      <c r="X356" s="581" t="e">
        <f>#REF!</f>
        <v>#REF!</v>
      </c>
      <c r="Y356" s="582" t="e">
        <f>ROUND(X356*$D356,10)</f>
        <v>#REF!</v>
      </c>
      <c r="Z356" s="786" t="e">
        <f>#REF!</f>
        <v>#REF!</v>
      </c>
      <c r="AA356" s="582" t="e">
        <f>ROUND(Z356*$D356,10)</f>
        <v>#REF!</v>
      </c>
      <c r="AB356" s="645" t="e">
        <f>#REF!</f>
        <v>#REF!</v>
      </c>
      <c r="AC356" s="582" t="e">
        <f>ROUND(AB356*$D356,10)</f>
        <v>#REF!</v>
      </c>
      <c r="AE356" s="769" t="e">
        <f t="shared" si="313"/>
        <v>#REF!</v>
      </c>
    </row>
    <row r="357" spans="1:31" s="568" customFormat="1" ht="18" customHeight="1" x14ac:dyDescent="0.2">
      <c r="A357" s="572">
        <v>7.2</v>
      </c>
      <c r="B357" s="573" t="s">
        <v>1204</v>
      </c>
      <c r="C357" s="846"/>
      <c r="D357" s="576"/>
      <c r="E357" s="577"/>
      <c r="F357" s="180"/>
      <c r="G357" s="473"/>
      <c r="I357" s="613"/>
      <c r="J357" s="652"/>
      <c r="K357" s="537"/>
      <c r="L357" s="445"/>
      <c r="M357" s="542"/>
      <c r="N357" s="445"/>
      <c r="O357" s="542"/>
      <c r="P357" s="445"/>
      <c r="Q357" s="542"/>
      <c r="R357" s="445"/>
      <c r="S357" s="542"/>
      <c r="T357" s="445"/>
      <c r="V357" s="646"/>
      <c r="W357" s="653"/>
      <c r="X357" s="646"/>
      <c r="Y357" s="653"/>
      <c r="Z357" s="646"/>
      <c r="AA357" s="653"/>
      <c r="AB357" s="646"/>
      <c r="AC357" s="653"/>
      <c r="AE357" s="769">
        <f t="shared" si="313"/>
        <v>0</v>
      </c>
    </row>
    <row r="358" spans="1:31" ht="15" customHeight="1" x14ac:dyDescent="0.2">
      <c r="A358" s="572" t="s">
        <v>1205</v>
      </c>
      <c r="B358" s="573" t="s">
        <v>543</v>
      </c>
      <c r="C358" s="846"/>
      <c r="D358" s="576"/>
      <c r="E358" s="577"/>
      <c r="F358" s="626" t="e">
        <f>+ROUND(SUM(F359:F369),10)</f>
        <v>#REF!</v>
      </c>
      <c r="G358" s="473"/>
      <c r="H358" s="568"/>
      <c r="I358" s="633"/>
      <c r="J358" s="441" t="e">
        <f>ROUND(SUM(J359:J369),10)</f>
        <v>#REF!</v>
      </c>
      <c r="K358" s="537"/>
      <c r="L358" s="180" t="e">
        <f>ROUND(SUM(L359:L369),10)</f>
        <v>#REF!</v>
      </c>
      <c r="M358" s="542"/>
      <c r="N358" s="180" t="e">
        <f>ROUND(SUM(N359:N369),10)</f>
        <v>#REF!</v>
      </c>
      <c r="O358" s="542"/>
      <c r="P358" s="180" t="e">
        <f>ROUND(SUM(P359:P369),10)</f>
        <v>#REF!</v>
      </c>
      <c r="Q358" s="542"/>
      <c r="R358" s="180" t="e">
        <f>ROUND(SUM(R359:R369),10)</f>
        <v>#REF!</v>
      </c>
      <c r="S358" s="542"/>
      <c r="T358" s="180" t="e">
        <f>ROUND(SUM(T359:T369),10)</f>
        <v>#REF!</v>
      </c>
      <c r="U358" s="568"/>
      <c r="V358" s="646"/>
      <c r="W358" s="570" t="e">
        <f>ROUND(SUM(W359:W369),10)</f>
        <v>#REF!</v>
      </c>
      <c r="X358" s="646"/>
      <c r="Y358" s="570">
        <f>ROUND(SUM(Y359:Y369),10)</f>
        <v>912928.446</v>
      </c>
      <c r="Z358" s="646"/>
      <c r="AA358" s="570">
        <f>ROUND(SUM(AA359:AA369),10)</f>
        <v>46708.9</v>
      </c>
      <c r="AB358" s="646"/>
      <c r="AC358" s="570">
        <f>ROUND(SUM(AC359:AC369),10)</f>
        <v>0</v>
      </c>
      <c r="AE358" s="769" t="e">
        <f t="shared" si="313"/>
        <v>#REF!</v>
      </c>
    </row>
    <row r="359" spans="1:31" ht="15" customHeight="1" x14ac:dyDescent="0.2">
      <c r="A359" s="611" t="s">
        <v>1206</v>
      </c>
      <c r="B359" s="601" t="s">
        <v>1207</v>
      </c>
      <c r="C359" s="611" t="s">
        <v>111</v>
      </c>
      <c r="D359" s="576">
        <f>+I359+K359+M359+O359+Q359+S359</f>
        <v>7</v>
      </c>
      <c r="E359" s="577" t="e">
        <f t="shared" si="289"/>
        <v>#REF!</v>
      </c>
      <c r="F359" s="577" t="e">
        <f t="shared" ref="F359:F369" si="326">ROUND(D359*E359,10)</f>
        <v>#REF!</v>
      </c>
      <c r="G359" s="578"/>
      <c r="I359" s="594"/>
      <c r="J359" s="580" t="e">
        <f t="shared" ref="J359:J369" si="327">+ROUND(E359*I359,10)</f>
        <v>#REF!</v>
      </c>
      <c r="K359" s="537"/>
      <c r="L359" s="445" t="e">
        <f t="shared" ref="L359:L369" si="328">+ROUND(E359*K359,10)</f>
        <v>#REF!</v>
      </c>
      <c r="M359" s="542">
        <v>7</v>
      </c>
      <c r="N359" s="445" t="e">
        <f t="shared" ref="N359:N369" si="329">+ROUND(E359*M359,10)</f>
        <v>#REF!</v>
      </c>
      <c r="O359" s="542"/>
      <c r="P359" s="445" t="e">
        <f t="shared" ref="P359:P369" si="330">+ROUND(E359*O359,10)</f>
        <v>#REF!</v>
      </c>
      <c r="Q359" s="542"/>
      <c r="R359" s="445" t="e">
        <f t="shared" ref="R359:R369" si="331">+ROUND(E359*Q359,10)</f>
        <v>#REF!</v>
      </c>
      <c r="S359" s="542"/>
      <c r="T359" s="445" t="e">
        <f t="shared" ref="T359:T369" si="332">+ROUND(E359*S359,10)</f>
        <v>#REF!</v>
      </c>
      <c r="V359" s="581" t="e">
        <f>+'7,2,1,1 Punto de gas'!I19</f>
        <v>#REF!</v>
      </c>
      <c r="W359" s="582" t="e">
        <f t="shared" ref="W359:W369" si="333">ROUND(V359*$D359,10)</f>
        <v>#REF!</v>
      </c>
      <c r="X359" s="581">
        <f>+'7,2,1,1 Punto de gas'!I50</f>
        <v>92377.02</v>
      </c>
      <c r="Y359" s="582">
        <f t="shared" ref="Y359:Y369" si="334">ROUND(X359*$D359,10)</f>
        <v>646639.14</v>
      </c>
      <c r="Z359" s="581">
        <f>+'7,2,1,1 Punto de gas'!I30</f>
        <v>1298.5</v>
      </c>
      <c r="AA359" s="582">
        <f t="shared" ref="AA359:AA369" si="335">ROUND(Z359*$D359,10)</f>
        <v>9089.5</v>
      </c>
      <c r="AB359" s="581">
        <f>+'7,2,1,1 Punto de gas'!I41</f>
        <v>0</v>
      </c>
      <c r="AC359" s="582">
        <f t="shared" ref="AC359:AC369" si="336">ROUND(AB359*$D359,10)</f>
        <v>0</v>
      </c>
      <c r="AE359" s="769" t="e">
        <f t="shared" si="313"/>
        <v>#REF!</v>
      </c>
    </row>
    <row r="360" spans="1:31" ht="15" customHeight="1" x14ac:dyDescent="0.2">
      <c r="A360" s="611" t="s">
        <v>1208</v>
      </c>
      <c r="B360" s="601" t="s">
        <v>1209</v>
      </c>
      <c r="C360" s="611" t="s">
        <v>111</v>
      </c>
      <c r="D360" s="576">
        <f t="shared" ref="D360:D369" si="337">+I360+K360+M360+O360+Q360+S360</f>
        <v>1</v>
      </c>
      <c r="E360" s="577" t="e">
        <f t="shared" si="289"/>
        <v>#REF!</v>
      </c>
      <c r="F360" s="577" t="e">
        <f t="shared" si="326"/>
        <v>#REF!</v>
      </c>
      <c r="G360" s="578"/>
      <c r="I360" s="584"/>
      <c r="J360" s="585" t="e">
        <f t="shared" si="327"/>
        <v>#REF!</v>
      </c>
      <c r="K360" s="537"/>
      <c r="L360" s="445" t="e">
        <f t="shared" si="328"/>
        <v>#REF!</v>
      </c>
      <c r="M360" s="542">
        <v>1</v>
      </c>
      <c r="N360" s="445" t="e">
        <f t="shared" si="329"/>
        <v>#REF!</v>
      </c>
      <c r="O360" s="542"/>
      <c r="P360" s="445" t="e">
        <f t="shared" si="330"/>
        <v>#REF!</v>
      </c>
      <c r="Q360" s="542"/>
      <c r="R360" s="445" t="e">
        <f t="shared" si="331"/>
        <v>#REF!</v>
      </c>
      <c r="S360" s="542"/>
      <c r="T360" s="445" t="e">
        <f t="shared" si="332"/>
        <v>#REF!</v>
      </c>
      <c r="V360" s="581" t="e">
        <f>+'7,2,1,2 Preinstalación gas'!I19</f>
        <v>#REF!</v>
      </c>
      <c r="W360" s="582" t="e">
        <f t="shared" si="333"/>
        <v>#REF!</v>
      </c>
      <c r="X360" s="581">
        <f>+'7,2,1,2 Preinstalación gas'!I50</f>
        <v>61584.68</v>
      </c>
      <c r="Y360" s="582">
        <f t="shared" si="334"/>
        <v>61584.68</v>
      </c>
      <c r="Z360" s="581">
        <f>+'7,2,1,2 Preinstalación gas'!I30</f>
        <v>927.5</v>
      </c>
      <c r="AA360" s="582">
        <f t="shared" si="335"/>
        <v>927.5</v>
      </c>
      <c r="AB360" s="581">
        <f>+'7,2,1,2 Preinstalación gas'!I41</f>
        <v>0</v>
      </c>
      <c r="AC360" s="582">
        <f t="shared" si="336"/>
        <v>0</v>
      </c>
      <c r="AE360" s="769" t="e">
        <f t="shared" si="313"/>
        <v>#REF!</v>
      </c>
    </row>
    <row r="361" spans="1:31" ht="15" customHeight="1" x14ac:dyDescent="0.2">
      <c r="A361" s="611" t="s">
        <v>1210</v>
      </c>
      <c r="B361" s="601" t="s">
        <v>1211</v>
      </c>
      <c r="C361" s="611" t="s">
        <v>114</v>
      </c>
      <c r="D361" s="576">
        <f t="shared" si="337"/>
        <v>27.8</v>
      </c>
      <c r="E361" s="577" t="e">
        <f t="shared" si="289"/>
        <v>#REF!</v>
      </c>
      <c r="F361" s="577" t="e">
        <f t="shared" si="326"/>
        <v>#REF!</v>
      </c>
      <c r="G361" s="578"/>
      <c r="I361" s="584"/>
      <c r="J361" s="585" t="e">
        <f t="shared" si="327"/>
        <v>#REF!</v>
      </c>
      <c r="K361" s="537"/>
      <c r="L361" s="445" t="e">
        <f t="shared" si="328"/>
        <v>#REF!</v>
      </c>
      <c r="M361" s="542">
        <v>27.8</v>
      </c>
      <c r="N361" s="445" t="e">
        <f t="shared" si="329"/>
        <v>#REF!</v>
      </c>
      <c r="O361" s="542"/>
      <c r="P361" s="445" t="e">
        <f t="shared" si="330"/>
        <v>#REF!</v>
      </c>
      <c r="Q361" s="542"/>
      <c r="R361" s="445" t="e">
        <f t="shared" si="331"/>
        <v>#REF!</v>
      </c>
      <c r="S361" s="542"/>
      <c r="T361" s="445" t="e">
        <f t="shared" si="332"/>
        <v>#REF!</v>
      </c>
      <c r="V361" s="581" t="e">
        <f>+'7,2,1,3 Tuberia  tipo L 1.2"'!I19</f>
        <v>#REF!</v>
      </c>
      <c r="W361" s="582" t="e">
        <f t="shared" si="333"/>
        <v>#REF!</v>
      </c>
      <c r="X361" s="581">
        <f>+'7,2,1,3 Tuberia  tipo L 1.2"'!I50</f>
        <v>6158.47</v>
      </c>
      <c r="Y361" s="582">
        <f t="shared" si="334"/>
        <v>171205.46599999999</v>
      </c>
      <c r="Z361" s="581">
        <f>+'7,2,1,3 Tuberia  tipo L 1.2"'!I30</f>
        <v>1298.5</v>
      </c>
      <c r="AA361" s="582">
        <f t="shared" si="335"/>
        <v>36098.300000000003</v>
      </c>
      <c r="AB361" s="581">
        <f>+'7,2,1,3 Tuberia  tipo L 1.2"'!I41</f>
        <v>0</v>
      </c>
      <c r="AC361" s="582">
        <f t="shared" si="336"/>
        <v>0</v>
      </c>
      <c r="AE361" s="769" t="e">
        <f t="shared" si="313"/>
        <v>#REF!</v>
      </c>
    </row>
    <row r="362" spans="1:31" ht="15" hidden="1" customHeight="1" x14ac:dyDescent="0.2">
      <c r="A362" s="611" t="s">
        <v>1212</v>
      </c>
      <c r="B362" s="601" t="s">
        <v>1213</v>
      </c>
      <c r="C362" s="611" t="s">
        <v>111</v>
      </c>
      <c r="D362" s="576">
        <f t="shared" si="337"/>
        <v>0</v>
      </c>
      <c r="E362" s="577" t="e">
        <f t="shared" si="289"/>
        <v>#REF!</v>
      </c>
      <c r="F362" s="577" t="e">
        <f t="shared" si="326"/>
        <v>#REF!</v>
      </c>
      <c r="G362" s="578"/>
      <c r="I362" s="584"/>
      <c r="J362" s="585" t="e">
        <f t="shared" si="327"/>
        <v>#REF!</v>
      </c>
      <c r="K362" s="537"/>
      <c r="L362" s="445" t="e">
        <f t="shared" si="328"/>
        <v>#REF!</v>
      </c>
      <c r="M362" s="542"/>
      <c r="N362" s="445" t="e">
        <f t="shared" si="329"/>
        <v>#REF!</v>
      </c>
      <c r="O362" s="542"/>
      <c r="P362" s="445" t="e">
        <f t="shared" si="330"/>
        <v>#REF!</v>
      </c>
      <c r="Q362" s="542"/>
      <c r="R362" s="445" t="e">
        <f t="shared" si="331"/>
        <v>#REF!</v>
      </c>
      <c r="S362" s="542"/>
      <c r="T362" s="445" t="e">
        <f t="shared" si="332"/>
        <v>#REF!</v>
      </c>
      <c r="V362" s="581" t="e">
        <f>+'7,2,1,4 Tuberia  tipo L 1"'!I19</f>
        <v>#REF!</v>
      </c>
      <c r="W362" s="582" t="e">
        <f t="shared" si="333"/>
        <v>#REF!</v>
      </c>
      <c r="X362" s="581">
        <f>+'7,2,1,4 Tuberia  tipo L 1"'!I50</f>
        <v>6158.47</v>
      </c>
      <c r="Y362" s="582">
        <f t="shared" si="334"/>
        <v>0</v>
      </c>
      <c r="Z362" s="581">
        <f>+'7,2,1,4 Tuberia  tipo L 1"'!I30</f>
        <v>1298.5</v>
      </c>
      <c r="AA362" s="582">
        <f t="shared" si="335"/>
        <v>0</v>
      </c>
      <c r="AB362" s="581">
        <f>+'7,2,1,4 Tuberia  tipo L 1"'!I41</f>
        <v>0</v>
      </c>
      <c r="AC362" s="582">
        <f t="shared" si="336"/>
        <v>0</v>
      </c>
      <c r="AE362" s="769" t="e">
        <f t="shared" si="313"/>
        <v>#REF!</v>
      </c>
    </row>
    <row r="363" spans="1:31" ht="15" hidden="1" customHeight="1" x14ac:dyDescent="0.2">
      <c r="A363" s="611" t="s">
        <v>1214</v>
      </c>
      <c r="B363" s="601" t="s">
        <v>1215</v>
      </c>
      <c r="C363" s="611" t="s">
        <v>111</v>
      </c>
      <c r="D363" s="576">
        <f t="shared" si="337"/>
        <v>0</v>
      </c>
      <c r="E363" s="577" t="e">
        <f t="shared" si="289"/>
        <v>#REF!</v>
      </c>
      <c r="F363" s="577" t="e">
        <f t="shared" si="326"/>
        <v>#REF!</v>
      </c>
      <c r="G363" s="578"/>
      <c r="I363" s="584"/>
      <c r="J363" s="585" t="e">
        <f t="shared" si="327"/>
        <v>#REF!</v>
      </c>
      <c r="K363" s="537"/>
      <c r="L363" s="445" t="e">
        <f t="shared" si="328"/>
        <v>#REF!</v>
      </c>
      <c r="M363" s="542"/>
      <c r="N363" s="445" t="e">
        <f t="shared" si="329"/>
        <v>#REF!</v>
      </c>
      <c r="O363" s="542"/>
      <c r="P363" s="445" t="e">
        <f t="shared" si="330"/>
        <v>#REF!</v>
      </c>
      <c r="Q363" s="542"/>
      <c r="R363" s="445" t="e">
        <f t="shared" si="331"/>
        <v>#REF!</v>
      </c>
      <c r="S363" s="542"/>
      <c r="T363" s="445" t="e">
        <f t="shared" si="332"/>
        <v>#REF!</v>
      </c>
      <c r="V363" s="581" t="e">
        <f>+'7,2,1,5  Registro bola 1" '!I18</f>
        <v>#REF!</v>
      </c>
      <c r="W363" s="582" t="e">
        <f t="shared" si="333"/>
        <v>#REF!</v>
      </c>
      <c r="X363" s="581">
        <f>+'7,2,1,5  Registro bola 1" '!I49</f>
        <v>9237.7000000000007</v>
      </c>
      <c r="Y363" s="582">
        <f t="shared" si="334"/>
        <v>0</v>
      </c>
      <c r="Z363" s="581">
        <f>+'7,2,1,5  Registro bola 1" '!I29</f>
        <v>1298.5</v>
      </c>
      <c r="AA363" s="582">
        <f t="shared" si="335"/>
        <v>0</v>
      </c>
      <c r="AB363" s="581">
        <f>+'7,2,1,5  Registro bola 1" '!I40</f>
        <v>0</v>
      </c>
      <c r="AC363" s="582">
        <f t="shared" si="336"/>
        <v>0</v>
      </c>
      <c r="AE363" s="769" t="e">
        <f t="shared" si="313"/>
        <v>#REF!</v>
      </c>
    </row>
    <row r="364" spans="1:31" ht="15" hidden="1" customHeight="1" x14ac:dyDescent="0.2">
      <c r="A364" s="611" t="s">
        <v>1216</v>
      </c>
      <c r="B364" s="601" t="s">
        <v>1217</v>
      </c>
      <c r="C364" s="611" t="s">
        <v>111</v>
      </c>
      <c r="D364" s="576">
        <f t="shared" si="337"/>
        <v>0</v>
      </c>
      <c r="E364" s="577">
        <f t="shared" si="289"/>
        <v>0</v>
      </c>
      <c r="F364" s="577">
        <f t="shared" si="326"/>
        <v>0</v>
      </c>
      <c r="G364" s="578"/>
      <c r="I364" s="584"/>
      <c r="J364" s="585">
        <f t="shared" si="327"/>
        <v>0</v>
      </c>
      <c r="K364" s="537"/>
      <c r="L364" s="445">
        <f t="shared" si="328"/>
        <v>0</v>
      </c>
      <c r="M364" s="542"/>
      <c r="N364" s="445">
        <f t="shared" si="329"/>
        <v>0</v>
      </c>
      <c r="O364" s="542"/>
      <c r="P364" s="445">
        <f t="shared" si="330"/>
        <v>0</v>
      </c>
      <c r="Q364" s="542"/>
      <c r="R364" s="445">
        <f t="shared" si="331"/>
        <v>0</v>
      </c>
      <c r="S364" s="542"/>
      <c r="T364" s="445">
        <f t="shared" si="332"/>
        <v>0</v>
      </c>
      <c r="V364" s="645"/>
      <c r="W364" s="582">
        <f t="shared" si="333"/>
        <v>0</v>
      </c>
      <c r="X364" s="645"/>
      <c r="Y364" s="582">
        <f t="shared" si="334"/>
        <v>0</v>
      </c>
      <c r="Z364" s="645"/>
      <c r="AA364" s="582">
        <f t="shared" si="335"/>
        <v>0</v>
      </c>
      <c r="AB364" s="645"/>
      <c r="AC364" s="582">
        <f t="shared" si="336"/>
        <v>0</v>
      </c>
      <c r="AE364" s="769">
        <f t="shared" si="313"/>
        <v>0</v>
      </c>
    </row>
    <row r="365" spans="1:31" s="583" customFormat="1" ht="15" customHeight="1" x14ac:dyDescent="0.2">
      <c r="A365" s="611" t="s">
        <v>1218</v>
      </c>
      <c r="B365" s="601" t="s">
        <v>1219</v>
      </c>
      <c r="C365" s="611" t="s">
        <v>111</v>
      </c>
      <c r="D365" s="576">
        <f t="shared" si="337"/>
        <v>4</v>
      </c>
      <c r="E365" s="577" t="e">
        <f t="shared" si="289"/>
        <v>#REF!</v>
      </c>
      <c r="F365" s="577" t="e">
        <f t="shared" si="326"/>
        <v>#REF!</v>
      </c>
      <c r="G365" s="578"/>
      <c r="H365" s="604"/>
      <c r="I365" s="584"/>
      <c r="J365" s="585" t="e">
        <f t="shared" si="327"/>
        <v>#REF!</v>
      </c>
      <c r="K365" s="537"/>
      <c r="L365" s="445" t="e">
        <f t="shared" si="328"/>
        <v>#REF!</v>
      </c>
      <c r="M365" s="542">
        <v>4</v>
      </c>
      <c r="N365" s="445" t="e">
        <f t="shared" si="329"/>
        <v>#REF!</v>
      </c>
      <c r="O365" s="542"/>
      <c r="P365" s="445" t="e">
        <f t="shared" si="330"/>
        <v>#REF!</v>
      </c>
      <c r="Q365" s="542"/>
      <c r="R365" s="445" t="e">
        <f t="shared" si="331"/>
        <v>#REF!</v>
      </c>
      <c r="S365" s="542"/>
      <c r="T365" s="445" t="e">
        <f t="shared" si="332"/>
        <v>#REF!</v>
      </c>
      <c r="U365" s="604"/>
      <c r="V365" s="581" t="e">
        <f>+'7,2,1,7  Rejilla vent. plastica'!I20</f>
        <v>#REF!</v>
      </c>
      <c r="W365" s="582" t="e">
        <f t="shared" si="333"/>
        <v>#REF!</v>
      </c>
      <c r="X365" s="581">
        <f>+'7,2,1,7  Rejilla vent. plastica'!I51</f>
        <v>8374.7900000000009</v>
      </c>
      <c r="Y365" s="582">
        <f t="shared" si="334"/>
        <v>33499.160000000003</v>
      </c>
      <c r="Z365" s="581">
        <f>+'7,2,1,7  Rejilla vent. plastica'!I31</f>
        <v>148.4</v>
      </c>
      <c r="AA365" s="582">
        <f t="shared" si="335"/>
        <v>593.6</v>
      </c>
      <c r="AB365" s="581">
        <f>+'7,2,1,7  Rejilla vent. plastica'!I42</f>
        <v>0</v>
      </c>
      <c r="AC365" s="582">
        <f t="shared" si="336"/>
        <v>0</v>
      </c>
      <c r="AE365" s="769" t="e">
        <f t="shared" si="313"/>
        <v>#REF!</v>
      </c>
    </row>
    <row r="366" spans="1:31" ht="15" hidden="1" customHeight="1" x14ac:dyDescent="0.2">
      <c r="A366" s="622">
        <v>7.3</v>
      </c>
      <c r="B366" s="623" t="s">
        <v>1220</v>
      </c>
      <c r="C366" s="611" t="s">
        <v>111</v>
      </c>
      <c r="D366" s="576">
        <f t="shared" si="337"/>
        <v>0</v>
      </c>
      <c r="E366" s="577">
        <f t="shared" si="289"/>
        <v>0</v>
      </c>
      <c r="F366" s="577">
        <f t="shared" si="326"/>
        <v>0</v>
      </c>
      <c r="G366" s="578"/>
      <c r="I366" s="584"/>
      <c r="J366" s="585">
        <f t="shared" si="327"/>
        <v>0</v>
      </c>
      <c r="K366" s="537"/>
      <c r="L366" s="445">
        <f t="shared" si="328"/>
        <v>0</v>
      </c>
      <c r="M366" s="542"/>
      <c r="N366" s="445">
        <f t="shared" si="329"/>
        <v>0</v>
      </c>
      <c r="O366" s="542"/>
      <c r="P366" s="445">
        <f t="shared" si="330"/>
        <v>0</v>
      </c>
      <c r="Q366" s="542"/>
      <c r="R366" s="445">
        <f t="shared" si="331"/>
        <v>0</v>
      </c>
      <c r="S366" s="542"/>
      <c r="T366" s="445">
        <f t="shared" si="332"/>
        <v>0</v>
      </c>
      <c r="V366" s="645"/>
      <c r="W366" s="582">
        <f t="shared" si="333"/>
        <v>0</v>
      </c>
      <c r="X366" s="645"/>
      <c r="Y366" s="582">
        <f t="shared" si="334"/>
        <v>0</v>
      </c>
      <c r="Z366" s="645"/>
      <c r="AA366" s="582">
        <f t="shared" si="335"/>
        <v>0</v>
      </c>
      <c r="AB366" s="645"/>
      <c r="AC366" s="582">
        <f t="shared" si="336"/>
        <v>0</v>
      </c>
      <c r="AE366" s="769">
        <f t="shared" si="313"/>
        <v>0</v>
      </c>
    </row>
    <row r="367" spans="1:31" ht="15" hidden="1" customHeight="1" x14ac:dyDescent="0.2">
      <c r="A367" s="627" t="s">
        <v>1221</v>
      </c>
      <c r="B367" s="610" t="s">
        <v>1222</v>
      </c>
      <c r="C367" s="611" t="s">
        <v>111</v>
      </c>
      <c r="D367" s="576">
        <f t="shared" si="337"/>
        <v>0</v>
      </c>
      <c r="E367" s="577">
        <f t="shared" si="289"/>
        <v>0</v>
      </c>
      <c r="F367" s="577">
        <f t="shared" si="326"/>
        <v>0</v>
      </c>
      <c r="G367" s="578"/>
      <c r="I367" s="584"/>
      <c r="J367" s="585">
        <f t="shared" si="327"/>
        <v>0</v>
      </c>
      <c r="K367" s="537"/>
      <c r="L367" s="445">
        <f t="shared" si="328"/>
        <v>0</v>
      </c>
      <c r="M367" s="542"/>
      <c r="N367" s="445">
        <f t="shared" si="329"/>
        <v>0</v>
      </c>
      <c r="O367" s="542"/>
      <c r="P367" s="445">
        <f t="shared" si="330"/>
        <v>0</v>
      </c>
      <c r="Q367" s="542"/>
      <c r="R367" s="445">
        <f t="shared" si="331"/>
        <v>0</v>
      </c>
      <c r="S367" s="542"/>
      <c r="T367" s="445">
        <f t="shared" si="332"/>
        <v>0</v>
      </c>
      <c r="V367" s="645"/>
      <c r="W367" s="582">
        <f t="shared" si="333"/>
        <v>0</v>
      </c>
      <c r="X367" s="645"/>
      <c r="Y367" s="582">
        <f t="shared" si="334"/>
        <v>0</v>
      </c>
      <c r="Z367" s="645"/>
      <c r="AA367" s="582">
        <f t="shared" si="335"/>
        <v>0</v>
      </c>
      <c r="AB367" s="645"/>
      <c r="AC367" s="582">
        <f t="shared" si="336"/>
        <v>0</v>
      </c>
      <c r="AE367" s="769">
        <f t="shared" si="313"/>
        <v>0</v>
      </c>
    </row>
    <row r="368" spans="1:31" ht="15" hidden="1" customHeight="1" x14ac:dyDescent="0.2">
      <c r="A368" s="611" t="s">
        <v>1223</v>
      </c>
      <c r="B368" s="601" t="s">
        <v>1224</v>
      </c>
      <c r="C368" s="611" t="s">
        <v>114</v>
      </c>
      <c r="D368" s="576">
        <f t="shared" si="337"/>
        <v>0</v>
      </c>
      <c r="E368" s="577">
        <f t="shared" si="289"/>
        <v>0</v>
      </c>
      <c r="F368" s="577">
        <f t="shared" si="326"/>
        <v>0</v>
      </c>
      <c r="G368" s="578"/>
      <c r="I368" s="584"/>
      <c r="J368" s="585">
        <f t="shared" si="327"/>
        <v>0</v>
      </c>
      <c r="K368" s="537"/>
      <c r="L368" s="445">
        <f t="shared" si="328"/>
        <v>0</v>
      </c>
      <c r="M368" s="542"/>
      <c r="N368" s="445">
        <f t="shared" si="329"/>
        <v>0</v>
      </c>
      <c r="O368" s="542"/>
      <c r="P368" s="445">
        <f t="shared" si="330"/>
        <v>0</v>
      </c>
      <c r="Q368" s="542"/>
      <c r="R368" s="445">
        <f t="shared" si="331"/>
        <v>0</v>
      </c>
      <c r="S368" s="542"/>
      <c r="T368" s="445">
        <f t="shared" si="332"/>
        <v>0</v>
      </c>
      <c r="V368" s="645"/>
      <c r="W368" s="582">
        <f t="shared" si="333"/>
        <v>0</v>
      </c>
      <c r="X368" s="645"/>
      <c r="Y368" s="582">
        <f t="shared" si="334"/>
        <v>0</v>
      </c>
      <c r="Z368" s="645"/>
      <c r="AA368" s="582">
        <f t="shared" si="335"/>
        <v>0</v>
      </c>
      <c r="AB368" s="645"/>
      <c r="AC368" s="582">
        <f t="shared" si="336"/>
        <v>0</v>
      </c>
      <c r="AE368" s="769">
        <f t="shared" si="313"/>
        <v>0</v>
      </c>
    </row>
    <row r="369" spans="1:31" ht="15" hidden="1" customHeight="1" x14ac:dyDescent="0.2">
      <c r="A369" s="611" t="s">
        <v>1225</v>
      </c>
      <c r="B369" s="601" t="s">
        <v>1226</v>
      </c>
      <c r="C369" s="611" t="s">
        <v>114</v>
      </c>
      <c r="D369" s="576">
        <f t="shared" si="337"/>
        <v>0</v>
      </c>
      <c r="E369" s="577">
        <f t="shared" si="289"/>
        <v>0</v>
      </c>
      <c r="F369" s="577">
        <f t="shared" si="326"/>
        <v>0</v>
      </c>
      <c r="G369" s="578"/>
      <c r="I369" s="597"/>
      <c r="J369" s="598">
        <f t="shared" si="327"/>
        <v>0</v>
      </c>
      <c r="K369" s="537"/>
      <c r="L369" s="445">
        <f t="shared" si="328"/>
        <v>0</v>
      </c>
      <c r="M369" s="542"/>
      <c r="N369" s="445">
        <f t="shared" si="329"/>
        <v>0</v>
      </c>
      <c r="O369" s="542"/>
      <c r="P369" s="445">
        <f t="shared" si="330"/>
        <v>0</v>
      </c>
      <c r="Q369" s="542"/>
      <c r="R369" s="445">
        <f t="shared" si="331"/>
        <v>0</v>
      </c>
      <c r="S369" s="542"/>
      <c r="T369" s="445">
        <f t="shared" si="332"/>
        <v>0</v>
      </c>
      <c r="V369" s="645"/>
      <c r="W369" s="582">
        <f t="shared" si="333"/>
        <v>0</v>
      </c>
      <c r="X369" s="645"/>
      <c r="Y369" s="582">
        <f t="shared" si="334"/>
        <v>0</v>
      </c>
      <c r="Z369" s="645"/>
      <c r="AA369" s="582">
        <f t="shared" si="335"/>
        <v>0</v>
      </c>
      <c r="AB369" s="645"/>
      <c r="AC369" s="582">
        <f t="shared" si="336"/>
        <v>0</v>
      </c>
      <c r="AE369" s="769">
        <f t="shared" si="313"/>
        <v>0</v>
      </c>
    </row>
    <row r="370" spans="1:31" ht="15" hidden="1" customHeight="1" x14ac:dyDescent="0.2">
      <c r="A370" s="572" t="s">
        <v>1227</v>
      </c>
      <c r="B370" s="573" t="s">
        <v>1174</v>
      </c>
      <c r="C370" s="846"/>
      <c r="D370" s="576"/>
      <c r="E370" s="577"/>
      <c r="F370" s="626">
        <f>+ROUND(SUM(F371:F372),10)</f>
        <v>0</v>
      </c>
      <c r="G370" s="473"/>
      <c r="H370" s="568"/>
      <c r="I370" s="613"/>
      <c r="J370" s="440">
        <f>ROUND(SUM(J371:J372),10)</f>
        <v>0</v>
      </c>
      <c r="K370" s="537"/>
      <c r="L370" s="180">
        <f>ROUND(SUM(L371:L372),10)</f>
        <v>0</v>
      </c>
      <c r="M370" s="542"/>
      <c r="N370" s="180">
        <f>ROUND(SUM(N371:N372),10)</f>
        <v>0</v>
      </c>
      <c r="O370" s="542"/>
      <c r="P370" s="180">
        <f>ROUND(SUM(P371:P372),10)</f>
        <v>0</v>
      </c>
      <c r="Q370" s="542"/>
      <c r="R370" s="180">
        <f>ROUND(SUM(R371:R372),10)</f>
        <v>0</v>
      </c>
      <c r="S370" s="542"/>
      <c r="T370" s="180">
        <f>ROUND(SUM(T371:T372),10)</f>
        <v>0</v>
      </c>
      <c r="U370" s="568"/>
      <c r="V370" s="646"/>
      <c r="W370" s="570">
        <f>ROUND(SUM(W371:W372),10)</f>
        <v>0</v>
      </c>
      <c r="X370" s="646"/>
      <c r="Y370" s="570">
        <f>ROUND(SUM(Y371:Y372),10)</f>
        <v>0</v>
      </c>
      <c r="Z370" s="646"/>
      <c r="AA370" s="570">
        <f>ROUND(SUM(AA371:AA372),10)</f>
        <v>0</v>
      </c>
      <c r="AB370" s="646"/>
      <c r="AC370" s="570">
        <f>ROUND(SUM(AC371:AC372),10)</f>
        <v>0</v>
      </c>
      <c r="AE370" s="769">
        <f t="shared" si="313"/>
        <v>0</v>
      </c>
    </row>
    <row r="371" spans="1:31" ht="15" hidden="1" customHeight="1" x14ac:dyDescent="0.2">
      <c r="A371" s="611" t="s">
        <v>1228</v>
      </c>
      <c r="B371" s="601" t="s">
        <v>1229</v>
      </c>
      <c r="C371" s="611" t="s">
        <v>111</v>
      </c>
      <c r="D371" s="576">
        <f>+I371+K371+M371+O371+Q371+S371</f>
        <v>0</v>
      </c>
      <c r="E371" s="577">
        <f t="shared" si="289"/>
        <v>0</v>
      </c>
      <c r="F371" s="577">
        <f>ROUND(D371*E371,10)</f>
        <v>0</v>
      </c>
      <c r="G371" s="578"/>
      <c r="I371" s="594"/>
      <c r="J371" s="580">
        <f>+ROUND(E371*I371,10)</f>
        <v>0</v>
      </c>
      <c r="K371" s="537"/>
      <c r="L371" s="445">
        <f>+ROUND(E371*K371,10)</f>
        <v>0</v>
      </c>
      <c r="M371" s="542"/>
      <c r="N371" s="445">
        <f>+ROUND(E371*M371,10)</f>
        <v>0</v>
      </c>
      <c r="O371" s="542"/>
      <c r="P371" s="445">
        <f>+ROUND(E371*O371,10)</f>
        <v>0</v>
      </c>
      <c r="Q371" s="542"/>
      <c r="R371" s="445">
        <f>+ROUND(E371*Q371,10)</f>
        <v>0</v>
      </c>
      <c r="S371" s="542"/>
      <c r="T371" s="445">
        <f>+ROUND(E371*S371,10)</f>
        <v>0</v>
      </c>
      <c r="V371" s="645"/>
      <c r="W371" s="582">
        <f>ROUND(V371*$D371,10)</f>
        <v>0</v>
      </c>
      <c r="X371" s="645"/>
      <c r="Y371" s="582">
        <f>ROUND(X371*$D371,10)</f>
        <v>0</v>
      </c>
      <c r="Z371" s="645"/>
      <c r="AA371" s="582">
        <f>ROUND(Z371*$D371,10)</f>
        <v>0</v>
      </c>
      <c r="AB371" s="645"/>
      <c r="AC371" s="582">
        <f>ROUND(AB371*$D371,10)</f>
        <v>0</v>
      </c>
      <c r="AE371" s="769">
        <f t="shared" si="313"/>
        <v>0</v>
      </c>
    </row>
    <row r="372" spans="1:31" ht="15" hidden="1" customHeight="1" thickBot="1" x14ac:dyDescent="0.25">
      <c r="A372" s="611" t="s">
        <v>1230</v>
      </c>
      <c r="B372" s="601" t="s">
        <v>1231</v>
      </c>
      <c r="C372" s="611" t="s">
        <v>111</v>
      </c>
      <c r="D372" s="576">
        <f>+I372+K372+M372+O372+Q372+S372</f>
        <v>0</v>
      </c>
      <c r="E372" s="577">
        <f t="shared" si="289"/>
        <v>0</v>
      </c>
      <c r="F372" s="577">
        <f>ROUND(D372*E372,10)</f>
        <v>0</v>
      </c>
      <c r="G372" s="578"/>
      <c r="H372" s="636"/>
      <c r="I372" s="654"/>
      <c r="J372" s="603">
        <f>+ROUND(E372*I372,10)</f>
        <v>0</v>
      </c>
      <c r="K372" s="537"/>
      <c r="L372" s="445">
        <f>+ROUND(E372*K372,10)</f>
        <v>0</v>
      </c>
      <c r="M372" s="542"/>
      <c r="N372" s="445">
        <f>+ROUND(E372*M372,10)</f>
        <v>0</v>
      </c>
      <c r="O372" s="542"/>
      <c r="P372" s="445">
        <f>+ROUND(E372*O372,10)</f>
        <v>0</v>
      </c>
      <c r="Q372" s="542"/>
      <c r="R372" s="445">
        <f>+ROUND(E372*Q372,10)</f>
        <v>0</v>
      </c>
      <c r="S372" s="542"/>
      <c r="T372" s="445">
        <f>+ROUND(E372*S372,10)</f>
        <v>0</v>
      </c>
      <c r="V372" s="645"/>
      <c r="W372" s="582">
        <f>ROUND(V372*$D372,10)</f>
        <v>0</v>
      </c>
      <c r="X372" s="645"/>
      <c r="Y372" s="582">
        <f>ROUND(X372*$D372,10)</f>
        <v>0</v>
      </c>
      <c r="Z372" s="645"/>
      <c r="AA372" s="582">
        <f>ROUND(Z372*$D372,10)</f>
        <v>0</v>
      </c>
      <c r="AB372" s="645"/>
      <c r="AC372" s="582">
        <f>ROUND(AB372*$D372,10)</f>
        <v>0</v>
      </c>
      <c r="AE372" s="769">
        <f t="shared" si="313"/>
        <v>0</v>
      </c>
    </row>
    <row r="373" spans="1:31" ht="15" hidden="1" customHeight="1" thickTop="1" x14ac:dyDescent="0.2">
      <c r="A373" s="611"/>
      <c r="B373" s="601"/>
      <c r="C373" s="611"/>
      <c r="D373" s="576"/>
      <c r="E373" s="577"/>
      <c r="F373" s="577"/>
      <c r="G373" s="578"/>
      <c r="I373" s="604"/>
      <c r="J373" s="635"/>
      <c r="K373" s="537"/>
      <c r="L373" s="445"/>
      <c r="M373" s="542"/>
      <c r="N373" s="445"/>
      <c r="O373" s="542"/>
      <c r="P373" s="445"/>
      <c r="Q373" s="542"/>
      <c r="R373" s="445"/>
      <c r="S373" s="542"/>
      <c r="T373" s="445"/>
      <c r="V373" s="645"/>
      <c r="W373" s="582"/>
      <c r="X373" s="645"/>
      <c r="Y373" s="582"/>
      <c r="Z373" s="645"/>
      <c r="AA373" s="582"/>
      <c r="AB373" s="645"/>
      <c r="AC373" s="582"/>
      <c r="AE373" s="769">
        <f t="shared" si="313"/>
        <v>0</v>
      </c>
    </row>
    <row r="374" spans="1:31" s="657" customFormat="1" ht="6.75" customHeight="1" thickBot="1" x14ac:dyDescent="0.25">
      <c r="A374" s="919"/>
      <c r="B374" s="920"/>
      <c r="C374" s="919"/>
      <c r="D374" s="655"/>
      <c r="E374" s="656"/>
      <c r="F374" s="656"/>
      <c r="G374" s="656"/>
      <c r="I374" s="658"/>
      <c r="J374" s="658"/>
      <c r="K374" s="659"/>
      <c r="L374" s="658"/>
      <c r="M374" s="174"/>
      <c r="N374" s="658"/>
      <c r="O374" s="174"/>
      <c r="P374" s="658"/>
      <c r="Q374" s="174"/>
      <c r="R374" s="658"/>
      <c r="S374" s="174"/>
      <c r="T374" s="658"/>
      <c r="V374" s="660"/>
      <c r="W374" s="660"/>
      <c r="X374" s="660"/>
      <c r="Y374" s="660"/>
      <c r="Z374" s="660"/>
      <c r="AA374" s="660"/>
      <c r="AB374" s="660"/>
      <c r="AC374" s="660"/>
      <c r="AE374" s="769"/>
    </row>
    <row r="375" spans="1:31" ht="30" customHeight="1" thickTop="1" x14ac:dyDescent="0.2">
      <c r="A375" s="564" t="s">
        <v>1232</v>
      </c>
      <c r="B375" s="1045" t="s">
        <v>1233</v>
      </c>
      <c r="C375" s="1045"/>
      <c r="D375" s="1045"/>
      <c r="E375" s="1045"/>
      <c r="F375" s="1045"/>
      <c r="G375" s="180" t="e">
        <f>ROUND(SUM(F376:F467),10)</f>
        <v>#REF!</v>
      </c>
      <c r="H375" s="568"/>
      <c r="I375" s="616"/>
      <c r="J375" s="439" t="e">
        <f>+ROUND(#REF!+#REF!+#REF!+#REF!+#REF!+#REF!+#REF!+#REF!+#REF!+#REF!+#REF!+#REF!+#REF!+#REF!+#REF!+#REF!+#REF!+#REF!,10)</f>
        <v>#REF!</v>
      </c>
      <c r="K375" s="617"/>
      <c r="L375" s="180" t="e">
        <f>ROUND(SUM(L376:L467),10)</f>
        <v>#REF!</v>
      </c>
      <c r="M375" s="180"/>
      <c r="N375" s="180" t="e">
        <f>ROUND(SUM(N376:N467),10)</f>
        <v>#REF!</v>
      </c>
      <c r="O375" s="180"/>
      <c r="P375" s="180" t="e">
        <f>ROUND(SUM(P376:P467),10)</f>
        <v>#REF!</v>
      </c>
      <c r="Q375" s="180"/>
      <c r="R375" s="180" t="e">
        <f>ROUND(SUM(R376:R467),10)</f>
        <v>#REF!</v>
      </c>
      <c r="S375" s="180"/>
      <c r="T375" s="180" t="e">
        <f>ROUND(SUM(T376:T467),10)</f>
        <v>#REF!</v>
      </c>
      <c r="U375" s="568"/>
      <c r="V375" s="569" t="e">
        <f>W375/$G375</f>
        <v>#REF!</v>
      </c>
      <c r="W375" s="180" t="e">
        <f>ROUND(SUM(W376:W467),10)</f>
        <v>#REF!</v>
      </c>
      <c r="X375" s="569" t="e">
        <f>Y375/$G375</f>
        <v>#REF!</v>
      </c>
      <c r="Y375" s="180" t="e">
        <f>ROUND(SUM(Y376:Y467),10)</f>
        <v>#REF!</v>
      </c>
      <c r="Z375" s="569" t="e">
        <f>AA375/$G375</f>
        <v>#REF!</v>
      </c>
      <c r="AA375" s="180" t="e">
        <f>ROUND(SUM(AA376:AA467),10)</f>
        <v>#REF!</v>
      </c>
      <c r="AB375" s="569" t="e">
        <f>AC375/$G375</f>
        <v>#REF!</v>
      </c>
      <c r="AC375" s="180" t="e">
        <f>ROUND(SUM(AC376:AC467),10)</f>
        <v>#REF!</v>
      </c>
      <c r="AE375" s="769" t="e">
        <f t="shared" si="313"/>
        <v>#REF!</v>
      </c>
    </row>
    <row r="376" spans="1:31" ht="51" x14ac:dyDescent="0.2">
      <c r="A376" s="661">
        <v>8.1</v>
      </c>
      <c r="B376" s="601" t="s">
        <v>1234</v>
      </c>
      <c r="C376" s="611" t="s">
        <v>110</v>
      </c>
      <c r="D376" s="576">
        <f t="shared" ref="D376:D439" si="338">+I376+K376+M376+O376+Q376+S376</f>
        <v>90</v>
      </c>
      <c r="E376" s="577" t="e">
        <f t="shared" ref="E376:E439" si="339">V376+X376+Z376+AB376</f>
        <v>#REF!</v>
      </c>
      <c r="F376" s="577" t="e">
        <f t="shared" ref="F376:F439" si="340">ROUND(D376*E376,10)</f>
        <v>#REF!</v>
      </c>
      <c r="G376" s="578"/>
      <c r="I376" s="594"/>
      <c r="J376" s="580" t="e">
        <f>+ROUND(E376*I376,10)</f>
        <v>#REF!</v>
      </c>
      <c r="K376" s="537">
        <v>81</v>
      </c>
      <c r="L376" s="445" t="e">
        <f>+ROUND(E376*K376,10)</f>
        <v>#REF!</v>
      </c>
      <c r="M376" s="542">
        <v>9</v>
      </c>
      <c r="N376" s="445" t="e">
        <f>+ROUND(E376*M376,10)</f>
        <v>#REF!</v>
      </c>
      <c r="O376" s="542"/>
      <c r="P376" s="445" t="e">
        <f>+ROUND(E376*O376,10)</f>
        <v>#REF!</v>
      </c>
      <c r="Q376" s="542"/>
      <c r="R376" s="445" t="e">
        <f>+ROUND(E376*Q376,10)</f>
        <v>#REF!</v>
      </c>
      <c r="S376" s="542"/>
      <c r="T376" s="445" t="e">
        <f>+ROUND(E376*S376,10)</f>
        <v>#REF!</v>
      </c>
      <c r="V376" s="581" t="e">
        <f>+#REF!</f>
        <v>#REF!</v>
      </c>
      <c r="W376" s="582" t="e">
        <f>ROUND(V376*$D376,10)</f>
        <v>#REF!</v>
      </c>
      <c r="X376" s="581" t="e">
        <f>+#REF!</f>
        <v>#REF!</v>
      </c>
      <c r="Y376" s="582" t="e">
        <f>ROUND(X376*$D376,10)</f>
        <v>#REF!</v>
      </c>
      <c r="Z376" s="581" t="e">
        <f>+#REF!</f>
        <v>#REF!</v>
      </c>
      <c r="AA376" s="582" t="e">
        <f>ROUND(Z376*$D376,10)</f>
        <v>#REF!</v>
      </c>
      <c r="AB376" s="581" t="e">
        <f>+#REF!</f>
        <v>#REF!</v>
      </c>
      <c r="AC376" s="582" t="e">
        <f>ROUND(AB376*$D376,10)</f>
        <v>#REF!</v>
      </c>
      <c r="AE376" s="769" t="e">
        <f t="shared" si="313"/>
        <v>#REF!</v>
      </c>
    </row>
    <row r="377" spans="1:31" ht="63.75" x14ac:dyDescent="0.2">
      <c r="A377" s="661">
        <v>8.1999999999999993</v>
      </c>
      <c r="B377" s="601" t="s">
        <v>1235</v>
      </c>
      <c r="C377" s="611" t="s">
        <v>110</v>
      </c>
      <c r="D377" s="576">
        <f t="shared" si="338"/>
        <v>32</v>
      </c>
      <c r="E377" s="577" t="e">
        <f t="shared" si="339"/>
        <v>#REF!</v>
      </c>
      <c r="F377" s="577" t="e">
        <f t="shared" si="340"/>
        <v>#REF!</v>
      </c>
      <c r="G377" s="578"/>
      <c r="I377" s="594"/>
      <c r="J377" s="580" t="e">
        <f t="shared" ref="J377:J440" si="341">+ROUND(E377*I377,10)</f>
        <v>#REF!</v>
      </c>
      <c r="K377" s="537"/>
      <c r="L377" s="445" t="e">
        <f t="shared" ref="L377:L440" si="342">+ROUND(E377*K377,10)</f>
        <v>#REF!</v>
      </c>
      <c r="M377" s="542">
        <v>2</v>
      </c>
      <c r="N377" s="445" t="e">
        <f t="shared" ref="N377:N440" si="343">+ROUND(E377*M377,10)</f>
        <v>#REF!</v>
      </c>
      <c r="O377" s="542">
        <v>20</v>
      </c>
      <c r="P377" s="445" t="e">
        <f t="shared" ref="P377:P440" si="344">+ROUND(E377*O377,10)</f>
        <v>#REF!</v>
      </c>
      <c r="Q377" s="542">
        <v>9</v>
      </c>
      <c r="R377" s="445" t="e">
        <f t="shared" ref="R377:R440" si="345">+ROUND(E377*Q377,10)</f>
        <v>#REF!</v>
      </c>
      <c r="S377" s="542">
        <v>1</v>
      </c>
      <c r="T377" s="445" t="e">
        <f t="shared" ref="T377:T440" si="346">+ROUND(E377*S377,10)</f>
        <v>#REF!</v>
      </c>
      <c r="V377" s="581" t="e">
        <f>+#REF!</f>
        <v>#REF!</v>
      </c>
      <c r="W377" s="582" t="e">
        <f t="shared" ref="W377:W440" si="347">ROUND(V377*$D377,10)</f>
        <v>#REF!</v>
      </c>
      <c r="X377" s="581" t="e">
        <f>+#REF!</f>
        <v>#REF!</v>
      </c>
      <c r="Y377" s="582" t="e">
        <f>ROUND(X377*$D377,10)</f>
        <v>#REF!</v>
      </c>
      <c r="Z377" s="581" t="e">
        <f>+#REF!</f>
        <v>#REF!</v>
      </c>
      <c r="AA377" s="582" t="e">
        <f>ROUND(Z377*$D377,10)</f>
        <v>#REF!</v>
      </c>
      <c r="AB377" s="581" t="e">
        <f>+#REF!</f>
        <v>#REF!</v>
      </c>
      <c r="AC377" s="582" t="e">
        <f>ROUND(AB377*$D377,10)</f>
        <v>#REF!</v>
      </c>
      <c r="AE377" s="769" t="e">
        <f t="shared" si="313"/>
        <v>#REF!</v>
      </c>
    </row>
    <row r="378" spans="1:31" ht="51" x14ac:dyDescent="0.2">
      <c r="A378" s="661">
        <v>8.3000000000000007</v>
      </c>
      <c r="B378" s="601" t="s">
        <v>1236</v>
      </c>
      <c r="C378" s="611" t="s">
        <v>110</v>
      </c>
      <c r="D378" s="576">
        <f t="shared" si="338"/>
        <v>57</v>
      </c>
      <c r="E378" s="577" t="e">
        <f t="shared" si="339"/>
        <v>#REF!</v>
      </c>
      <c r="F378" s="577" t="e">
        <f t="shared" si="340"/>
        <v>#REF!</v>
      </c>
      <c r="G378" s="578"/>
      <c r="I378" s="594"/>
      <c r="J378" s="580" t="e">
        <f t="shared" si="341"/>
        <v>#REF!</v>
      </c>
      <c r="K378" s="537">
        <v>36</v>
      </c>
      <c r="L378" s="445" t="e">
        <f t="shared" si="342"/>
        <v>#REF!</v>
      </c>
      <c r="M378" s="542">
        <v>13</v>
      </c>
      <c r="N378" s="445" t="e">
        <f t="shared" si="343"/>
        <v>#REF!</v>
      </c>
      <c r="O378" s="542">
        <v>4</v>
      </c>
      <c r="P378" s="445" t="e">
        <f t="shared" si="344"/>
        <v>#REF!</v>
      </c>
      <c r="Q378" s="542">
        <v>4</v>
      </c>
      <c r="R378" s="445" t="e">
        <f t="shared" si="345"/>
        <v>#REF!</v>
      </c>
      <c r="S378" s="542"/>
      <c r="T378" s="445" t="e">
        <f t="shared" si="346"/>
        <v>#REF!</v>
      </c>
      <c r="V378" s="581" t="e">
        <f>+#REF!</f>
        <v>#REF!</v>
      </c>
      <c r="W378" s="582" t="e">
        <f t="shared" si="347"/>
        <v>#REF!</v>
      </c>
      <c r="X378" s="581" t="e">
        <f>+#REF!</f>
        <v>#REF!</v>
      </c>
      <c r="Y378" s="582" t="e">
        <f t="shared" ref="Y378:Y441" si="348">ROUND(X378*$D378,10)</f>
        <v>#REF!</v>
      </c>
      <c r="Z378" s="581" t="e">
        <f>+#REF!</f>
        <v>#REF!</v>
      </c>
      <c r="AA378" s="582" t="e">
        <f t="shared" ref="AA378:AA441" si="349">ROUND(Z378*$D378,10)</f>
        <v>#REF!</v>
      </c>
      <c r="AB378" s="581" t="e">
        <f>+#REF!</f>
        <v>#REF!</v>
      </c>
      <c r="AC378" s="582" t="e">
        <f t="shared" ref="AC378:AC441" si="350">ROUND(AB378*$D378,10)</f>
        <v>#REF!</v>
      </c>
      <c r="AE378" s="769" t="e">
        <f t="shared" si="313"/>
        <v>#REF!</v>
      </c>
    </row>
    <row r="379" spans="1:31" ht="51" x14ac:dyDescent="0.2">
      <c r="A379" s="661">
        <v>8.4</v>
      </c>
      <c r="B379" s="601" t="s">
        <v>1237</v>
      </c>
      <c r="C379" s="611" t="s">
        <v>110</v>
      </c>
      <c r="D379" s="576">
        <f t="shared" si="338"/>
        <v>3</v>
      </c>
      <c r="E379" s="577" t="e">
        <f t="shared" si="339"/>
        <v>#REF!</v>
      </c>
      <c r="F379" s="577" t="e">
        <f t="shared" si="340"/>
        <v>#REF!</v>
      </c>
      <c r="G379" s="578"/>
      <c r="I379" s="594"/>
      <c r="J379" s="580" t="e">
        <f t="shared" si="341"/>
        <v>#REF!</v>
      </c>
      <c r="K379" s="537"/>
      <c r="L379" s="445" t="e">
        <f t="shared" si="342"/>
        <v>#REF!</v>
      </c>
      <c r="M379" s="542">
        <v>3</v>
      </c>
      <c r="N379" s="445" t="e">
        <f t="shared" si="343"/>
        <v>#REF!</v>
      </c>
      <c r="O379" s="542"/>
      <c r="P379" s="445" t="e">
        <f t="shared" si="344"/>
        <v>#REF!</v>
      </c>
      <c r="Q379" s="542"/>
      <c r="R379" s="445" t="e">
        <f t="shared" si="345"/>
        <v>#REF!</v>
      </c>
      <c r="S379" s="542"/>
      <c r="T379" s="445" t="e">
        <f t="shared" si="346"/>
        <v>#REF!</v>
      </c>
      <c r="V379" s="581" t="e">
        <f>+#REF!</f>
        <v>#REF!</v>
      </c>
      <c r="W379" s="582" t="e">
        <f t="shared" si="347"/>
        <v>#REF!</v>
      </c>
      <c r="X379" s="581" t="e">
        <f>+#REF!</f>
        <v>#REF!</v>
      </c>
      <c r="Y379" s="582" t="e">
        <f t="shared" si="348"/>
        <v>#REF!</v>
      </c>
      <c r="Z379" s="581" t="e">
        <f>+#REF!</f>
        <v>#REF!</v>
      </c>
      <c r="AA379" s="582" t="e">
        <f t="shared" si="349"/>
        <v>#REF!</v>
      </c>
      <c r="AB379" s="581" t="e">
        <f>+#REF!</f>
        <v>#REF!</v>
      </c>
      <c r="AC379" s="582" t="e">
        <f t="shared" si="350"/>
        <v>#REF!</v>
      </c>
      <c r="AE379" s="769" t="e">
        <f t="shared" si="313"/>
        <v>#REF!</v>
      </c>
    </row>
    <row r="380" spans="1:31" ht="38.25" hidden="1" customHeight="1" x14ac:dyDescent="0.2">
      <c r="A380" s="661">
        <v>8.5</v>
      </c>
      <c r="B380" s="601" t="s">
        <v>1238</v>
      </c>
      <c r="C380" s="611" t="s">
        <v>110</v>
      </c>
      <c r="D380" s="576">
        <f t="shared" si="338"/>
        <v>0</v>
      </c>
      <c r="E380" s="577" t="e">
        <f t="shared" si="339"/>
        <v>#REF!</v>
      </c>
      <c r="F380" s="577" t="e">
        <f t="shared" si="340"/>
        <v>#REF!</v>
      </c>
      <c r="G380" s="578"/>
      <c r="I380" s="594"/>
      <c r="J380" s="580" t="e">
        <f t="shared" si="341"/>
        <v>#REF!</v>
      </c>
      <c r="K380" s="537"/>
      <c r="L380" s="445" t="e">
        <f t="shared" si="342"/>
        <v>#REF!</v>
      </c>
      <c r="M380" s="542"/>
      <c r="N380" s="445" t="e">
        <f t="shared" si="343"/>
        <v>#REF!</v>
      </c>
      <c r="O380" s="542"/>
      <c r="P380" s="445" t="e">
        <f t="shared" si="344"/>
        <v>#REF!</v>
      </c>
      <c r="Q380" s="542"/>
      <c r="R380" s="445" t="e">
        <f t="shared" si="345"/>
        <v>#REF!</v>
      </c>
      <c r="S380" s="542"/>
      <c r="T380" s="445" t="e">
        <f t="shared" si="346"/>
        <v>#REF!</v>
      </c>
      <c r="V380" s="581" t="e">
        <f>+'8,5'!$I$22</f>
        <v>#REF!</v>
      </c>
      <c r="W380" s="582" t="e">
        <f t="shared" si="347"/>
        <v>#REF!</v>
      </c>
      <c r="X380" s="581">
        <f>+'8,5'!$I$53</f>
        <v>19400.330000000002</v>
      </c>
      <c r="Y380" s="582">
        <f t="shared" si="348"/>
        <v>0</v>
      </c>
      <c r="Z380" s="581">
        <f>+'8,5'!$I$33</f>
        <v>416.85</v>
      </c>
      <c r="AA380" s="582">
        <f t="shared" si="349"/>
        <v>0</v>
      </c>
      <c r="AB380" s="581">
        <f>+'8,5'!$I$44</f>
        <v>0</v>
      </c>
      <c r="AC380" s="582">
        <f t="shared" si="350"/>
        <v>0</v>
      </c>
      <c r="AE380" s="769" t="e">
        <f t="shared" si="313"/>
        <v>#REF!</v>
      </c>
    </row>
    <row r="381" spans="1:31" ht="38.25" x14ac:dyDescent="0.2">
      <c r="A381" s="661">
        <v>8.6</v>
      </c>
      <c r="B381" s="601" t="s">
        <v>1239</v>
      </c>
      <c r="C381" s="611" t="s">
        <v>110</v>
      </c>
      <c r="D381" s="576">
        <f t="shared" si="338"/>
        <v>20</v>
      </c>
      <c r="E381" s="577" t="e">
        <f t="shared" si="339"/>
        <v>#REF!</v>
      </c>
      <c r="F381" s="577" t="e">
        <f t="shared" si="340"/>
        <v>#REF!</v>
      </c>
      <c r="G381" s="578"/>
      <c r="I381" s="594"/>
      <c r="J381" s="580" t="e">
        <f t="shared" si="341"/>
        <v>#REF!</v>
      </c>
      <c r="K381" s="537">
        <v>18</v>
      </c>
      <c r="L381" s="445" t="e">
        <f t="shared" si="342"/>
        <v>#REF!</v>
      </c>
      <c r="M381" s="542">
        <v>2</v>
      </c>
      <c r="N381" s="445" t="e">
        <f t="shared" si="343"/>
        <v>#REF!</v>
      </c>
      <c r="O381" s="542"/>
      <c r="P381" s="445" t="e">
        <f t="shared" si="344"/>
        <v>#REF!</v>
      </c>
      <c r="Q381" s="542"/>
      <c r="R381" s="445" t="e">
        <f t="shared" si="345"/>
        <v>#REF!</v>
      </c>
      <c r="S381" s="542"/>
      <c r="T381" s="445" t="e">
        <f t="shared" si="346"/>
        <v>#REF!</v>
      </c>
      <c r="V381" s="581" t="e">
        <f>+#REF!</f>
        <v>#REF!</v>
      </c>
      <c r="W381" s="582" t="e">
        <f t="shared" si="347"/>
        <v>#REF!</v>
      </c>
      <c r="X381" s="581" t="e">
        <f>+#REF!</f>
        <v>#REF!</v>
      </c>
      <c r="Y381" s="582" t="e">
        <f t="shared" si="348"/>
        <v>#REF!</v>
      </c>
      <c r="Z381" s="581" t="e">
        <f>+#REF!</f>
        <v>#REF!</v>
      </c>
      <c r="AA381" s="582" t="e">
        <f t="shared" si="349"/>
        <v>#REF!</v>
      </c>
      <c r="AB381" s="581" t="e">
        <f>+#REF!</f>
        <v>#REF!</v>
      </c>
      <c r="AC381" s="582" t="e">
        <f t="shared" si="350"/>
        <v>#REF!</v>
      </c>
      <c r="AE381" s="769" t="e">
        <f t="shared" si="313"/>
        <v>#REF!</v>
      </c>
    </row>
    <row r="382" spans="1:31" ht="25.5" x14ac:dyDescent="0.2">
      <c r="A382" s="661">
        <v>8.6999999999999993</v>
      </c>
      <c r="B382" s="601" t="s">
        <v>1240</v>
      </c>
      <c r="C382" s="611" t="s">
        <v>110</v>
      </c>
      <c r="D382" s="576">
        <f t="shared" si="338"/>
        <v>29</v>
      </c>
      <c r="E382" s="577" t="e">
        <f t="shared" si="339"/>
        <v>#REF!</v>
      </c>
      <c r="F382" s="577" t="e">
        <f t="shared" si="340"/>
        <v>#REF!</v>
      </c>
      <c r="G382" s="578"/>
      <c r="I382" s="594"/>
      <c r="J382" s="580" t="e">
        <f t="shared" si="341"/>
        <v>#REF!</v>
      </c>
      <c r="K382" s="537">
        <v>29</v>
      </c>
      <c r="L382" s="445" t="e">
        <f t="shared" si="342"/>
        <v>#REF!</v>
      </c>
      <c r="M382" s="542"/>
      <c r="N382" s="445" t="e">
        <f t="shared" si="343"/>
        <v>#REF!</v>
      </c>
      <c r="O382" s="542"/>
      <c r="P382" s="445" t="e">
        <f t="shared" si="344"/>
        <v>#REF!</v>
      </c>
      <c r="Q382" s="542"/>
      <c r="R382" s="445" t="e">
        <f t="shared" si="345"/>
        <v>#REF!</v>
      </c>
      <c r="S382" s="542"/>
      <c r="T382" s="445" t="e">
        <f t="shared" si="346"/>
        <v>#REF!</v>
      </c>
      <c r="V382" s="581" t="e">
        <f>+#REF!</f>
        <v>#REF!</v>
      </c>
      <c r="W382" s="582" t="e">
        <f t="shared" si="347"/>
        <v>#REF!</v>
      </c>
      <c r="X382" s="581" t="e">
        <f>+#REF!</f>
        <v>#REF!</v>
      </c>
      <c r="Y382" s="582" t="e">
        <f t="shared" si="348"/>
        <v>#REF!</v>
      </c>
      <c r="Z382" s="581" t="e">
        <f>+#REF!</f>
        <v>#REF!</v>
      </c>
      <c r="AA382" s="582" t="e">
        <f t="shared" si="349"/>
        <v>#REF!</v>
      </c>
      <c r="AB382" s="581" t="e">
        <f>+#REF!</f>
        <v>#REF!</v>
      </c>
      <c r="AC382" s="582" t="e">
        <f t="shared" si="350"/>
        <v>#REF!</v>
      </c>
      <c r="AE382" s="769" t="e">
        <f t="shared" si="313"/>
        <v>#REF!</v>
      </c>
    </row>
    <row r="383" spans="1:31" ht="25.5" x14ac:dyDescent="0.2">
      <c r="A383" s="661">
        <v>8.8000000000000007</v>
      </c>
      <c r="B383" s="601" t="s">
        <v>1241</v>
      </c>
      <c r="C383" s="611" t="s">
        <v>110</v>
      </c>
      <c r="D383" s="576">
        <f t="shared" si="338"/>
        <v>3</v>
      </c>
      <c r="E383" s="577" t="e">
        <f t="shared" si="339"/>
        <v>#REF!</v>
      </c>
      <c r="F383" s="577" t="e">
        <f t="shared" si="340"/>
        <v>#REF!</v>
      </c>
      <c r="G383" s="578"/>
      <c r="I383" s="594"/>
      <c r="J383" s="580" t="e">
        <f t="shared" si="341"/>
        <v>#REF!</v>
      </c>
      <c r="K383" s="537">
        <v>3</v>
      </c>
      <c r="L383" s="445" t="e">
        <f t="shared" si="342"/>
        <v>#REF!</v>
      </c>
      <c r="M383" s="542"/>
      <c r="N383" s="445" t="e">
        <f t="shared" si="343"/>
        <v>#REF!</v>
      </c>
      <c r="O383" s="542"/>
      <c r="P383" s="445" t="e">
        <f t="shared" si="344"/>
        <v>#REF!</v>
      </c>
      <c r="Q383" s="542"/>
      <c r="R383" s="445" t="e">
        <f t="shared" si="345"/>
        <v>#REF!</v>
      </c>
      <c r="S383" s="542"/>
      <c r="T383" s="445" t="e">
        <f t="shared" si="346"/>
        <v>#REF!</v>
      </c>
      <c r="V383" s="581" t="e">
        <f>+#REF!</f>
        <v>#REF!</v>
      </c>
      <c r="W383" s="582" t="e">
        <f t="shared" si="347"/>
        <v>#REF!</v>
      </c>
      <c r="X383" s="581" t="e">
        <f>+#REF!</f>
        <v>#REF!</v>
      </c>
      <c r="Y383" s="582" t="e">
        <f t="shared" si="348"/>
        <v>#REF!</v>
      </c>
      <c r="Z383" s="581" t="e">
        <f>+#REF!</f>
        <v>#REF!</v>
      </c>
      <c r="AA383" s="582" t="e">
        <f t="shared" si="349"/>
        <v>#REF!</v>
      </c>
      <c r="AB383" s="581" t="e">
        <f>+#REF!</f>
        <v>#REF!</v>
      </c>
      <c r="AC383" s="582" t="e">
        <f t="shared" si="350"/>
        <v>#REF!</v>
      </c>
      <c r="AE383" s="769" t="e">
        <f t="shared" si="313"/>
        <v>#REF!</v>
      </c>
    </row>
    <row r="384" spans="1:31" ht="25.5" x14ac:dyDescent="0.2">
      <c r="A384" s="661">
        <v>8.9</v>
      </c>
      <c r="B384" s="601" t="s">
        <v>1242</v>
      </c>
      <c r="C384" s="611" t="s">
        <v>110</v>
      </c>
      <c r="D384" s="576">
        <f t="shared" si="338"/>
        <v>1</v>
      </c>
      <c r="E384" s="577" t="e">
        <f t="shared" si="339"/>
        <v>#REF!</v>
      </c>
      <c r="F384" s="577" t="e">
        <f t="shared" si="340"/>
        <v>#REF!</v>
      </c>
      <c r="G384" s="578"/>
      <c r="I384" s="594"/>
      <c r="J384" s="580" t="e">
        <f t="shared" si="341"/>
        <v>#REF!</v>
      </c>
      <c r="K384" s="537">
        <v>1</v>
      </c>
      <c r="L384" s="445" t="e">
        <f t="shared" si="342"/>
        <v>#REF!</v>
      </c>
      <c r="M384" s="542"/>
      <c r="N384" s="445" t="e">
        <f t="shared" si="343"/>
        <v>#REF!</v>
      </c>
      <c r="O384" s="542"/>
      <c r="P384" s="445" t="e">
        <f t="shared" si="344"/>
        <v>#REF!</v>
      </c>
      <c r="Q384" s="542"/>
      <c r="R384" s="445" t="e">
        <f t="shared" si="345"/>
        <v>#REF!</v>
      </c>
      <c r="S384" s="542"/>
      <c r="T384" s="445" t="e">
        <f t="shared" si="346"/>
        <v>#REF!</v>
      </c>
      <c r="V384" s="581" t="e">
        <f>+#REF!</f>
        <v>#REF!</v>
      </c>
      <c r="W384" s="582" t="e">
        <f t="shared" si="347"/>
        <v>#REF!</v>
      </c>
      <c r="X384" s="581" t="e">
        <f>+#REF!</f>
        <v>#REF!</v>
      </c>
      <c r="Y384" s="582" t="e">
        <f t="shared" si="348"/>
        <v>#REF!</v>
      </c>
      <c r="Z384" s="581" t="e">
        <f>+#REF!</f>
        <v>#REF!</v>
      </c>
      <c r="AA384" s="582" t="e">
        <f t="shared" si="349"/>
        <v>#REF!</v>
      </c>
      <c r="AB384" s="581" t="e">
        <f>+#REF!</f>
        <v>#REF!</v>
      </c>
      <c r="AC384" s="582" t="e">
        <f t="shared" si="350"/>
        <v>#REF!</v>
      </c>
      <c r="AE384" s="769" t="e">
        <f t="shared" si="313"/>
        <v>#REF!</v>
      </c>
    </row>
    <row r="385" spans="1:31" ht="25.5" hidden="1" customHeight="1" x14ac:dyDescent="0.2">
      <c r="A385" s="661" t="s">
        <v>1243</v>
      </c>
      <c r="B385" s="601" t="s">
        <v>1244</v>
      </c>
      <c r="C385" s="611" t="s">
        <v>110</v>
      </c>
      <c r="D385" s="576">
        <f t="shared" si="338"/>
        <v>0</v>
      </c>
      <c r="E385" s="577" t="e">
        <f t="shared" si="339"/>
        <v>#REF!</v>
      </c>
      <c r="F385" s="577" t="e">
        <f t="shared" si="340"/>
        <v>#REF!</v>
      </c>
      <c r="G385" s="578"/>
      <c r="I385" s="594"/>
      <c r="J385" s="580" t="e">
        <f t="shared" si="341"/>
        <v>#REF!</v>
      </c>
      <c r="K385" s="537"/>
      <c r="L385" s="445" t="e">
        <f t="shared" si="342"/>
        <v>#REF!</v>
      </c>
      <c r="M385" s="542"/>
      <c r="N385" s="445" t="e">
        <f t="shared" si="343"/>
        <v>#REF!</v>
      </c>
      <c r="O385" s="542"/>
      <c r="P385" s="445" t="e">
        <f t="shared" si="344"/>
        <v>#REF!</v>
      </c>
      <c r="Q385" s="542"/>
      <c r="R385" s="445" t="e">
        <f t="shared" si="345"/>
        <v>#REF!</v>
      </c>
      <c r="S385" s="542"/>
      <c r="T385" s="445" t="e">
        <f t="shared" si="346"/>
        <v>#REF!</v>
      </c>
      <c r="V385" s="581" t="e">
        <f>+'8,10'!$I$22</f>
        <v>#REF!</v>
      </c>
      <c r="W385" s="582" t="e">
        <f t="shared" si="347"/>
        <v>#REF!</v>
      </c>
      <c r="X385" s="581">
        <f>+'8,10'!$I$53</f>
        <v>4723.6400000000003</v>
      </c>
      <c r="Y385" s="582">
        <f t="shared" si="348"/>
        <v>0</v>
      </c>
      <c r="Z385" s="581">
        <f>+'8,10'!$I$33</f>
        <v>231.88</v>
      </c>
      <c r="AA385" s="582">
        <f t="shared" si="349"/>
        <v>0</v>
      </c>
      <c r="AB385" s="581">
        <f>+'8,10'!$I$44</f>
        <v>0</v>
      </c>
      <c r="AC385" s="582">
        <f t="shared" si="350"/>
        <v>0</v>
      </c>
      <c r="AE385" s="769" t="e">
        <f t="shared" si="313"/>
        <v>#REF!</v>
      </c>
    </row>
    <row r="386" spans="1:31" ht="25.5" hidden="1" customHeight="1" x14ac:dyDescent="0.2">
      <c r="A386" s="661">
        <v>8.11</v>
      </c>
      <c r="B386" s="601" t="s">
        <v>1245</v>
      </c>
      <c r="C386" s="611" t="s">
        <v>110</v>
      </c>
      <c r="D386" s="576">
        <f t="shared" si="338"/>
        <v>0</v>
      </c>
      <c r="E386" s="577" t="e">
        <f t="shared" si="339"/>
        <v>#REF!</v>
      </c>
      <c r="F386" s="577" t="e">
        <f t="shared" si="340"/>
        <v>#REF!</v>
      </c>
      <c r="G386" s="578"/>
      <c r="I386" s="594"/>
      <c r="J386" s="580" t="e">
        <f t="shared" si="341"/>
        <v>#REF!</v>
      </c>
      <c r="K386" s="537"/>
      <c r="L386" s="445" t="e">
        <f t="shared" si="342"/>
        <v>#REF!</v>
      </c>
      <c r="M386" s="542"/>
      <c r="N386" s="445" t="e">
        <f t="shared" si="343"/>
        <v>#REF!</v>
      </c>
      <c r="O386" s="542"/>
      <c r="P386" s="445" t="e">
        <f t="shared" si="344"/>
        <v>#REF!</v>
      </c>
      <c r="Q386" s="542"/>
      <c r="R386" s="445" t="e">
        <f t="shared" si="345"/>
        <v>#REF!</v>
      </c>
      <c r="S386" s="542"/>
      <c r="T386" s="445" t="e">
        <f t="shared" si="346"/>
        <v>#REF!</v>
      </c>
      <c r="V386" s="581" t="e">
        <f>+'8,11'!$I$22</f>
        <v>#REF!</v>
      </c>
      <c r="W386" s="582" t="e">
        <f t="shared" si="347"/>
        <v>#REF!</v>
      </c>
      <c r="X386" s="581">
        <f>+'8,11'!$I$53</f>
        <v>9447.2800000000007</v>
      </c>
      <c r="Y386" s="582">
        <f t="shared" si="348"/>
        <v>0</v>
      </c>
      <c r="Z386" s="581">
        <f>+'8,11'!$I$33</f>
        <v>231.88</v>
      </c>
      <c r="AA386" s="582">
        <f t="shared" si="349"/>
        <v>0</v>
      </c>
      <c r="AB386" s="581">
        <f>+'8,11'!$I$44</f>
        <v>0</v>
      </c>
      <c r="AC386" s="582">
        <f t="shared" si="350"/>
        <v>0</v>
      </c>
      <c r="AE386" s="769" t="e">
        <f t="shared" si="313"/>
        <v>#REF!</v>
      </c>
    </row>
    <row r="387" spans="1:31" ht="51" hidden="1" customHeight="1" x14ac:dyDescent="0.2">
      <c r="A387" s="661" t="s">
        <v>1246</v>
      </c>
      <c r="B387" s="601" t="s">
        <v>1247</v>
      </c>
      <c r="C387" s="611" t="s">
        <v>110</v>
      </c>
      <c r="D387" s="576">
        <f t="shared" si="338"/>
        <v>0</v>
      </c>
      <c r="E387" s="577" t="e">
        <f t="shared" si="339"/>
        <v>#REF!</v>
      </c>
      <c r="F387" s="577" t="e">
        <f t="shared" si="340"/>
        <v>#REF!</v>
      </c>
      <c r="G387" s="578"/>
      <c r="I387" s="594"/>
      <c r="J387" s="580" t="e">
        <f t="shared" si="341"/>
        <v>#REF!</v>
      </c>
      <c r="K387" s="537"/>
      <c r="L387" s="445" t="e">
        <f t="shared" si="342"/>
        <v>#REF!</v>
      </c>
      <c r="M387" s="542"/>
      <c r="N387" s="445" t="e">
        <f t="shared" si="343"/>
        <v>#REF!</v>
      </c>
      <c r="O387" s="542"/>
      <c r="P387" s="445" t="e">
        <f t="shared" si="344"/>
        <v>#REF!</v>
      </c>
      <c r="Q387" s="542"/>
      <c r="R387" s="445" t="e">
        <f t="shared" si="345"/>
        <v>#REF!</v>
      </c>
      <c r="S387" s="542"/>
      <c r="T387" s="445" t="e">
        <f t="shared" si="346"/>
        <v>#REF!</v>
      </c>
      <c r="V387" s="581" t="e">
        <f>+'8,12'!$I$22</f>
        <v>#REF!</v>
      </c>
      <c r="W387" s="582" t="e">
        <f t="shared" si="347"/>
        <v>#REF!</v>
      </c>
      <c r="X387" s="581">
        <f>+'8,12'!$I$53</f>
        <v>20290.2</v>
      </c>
      <c r="Y387" s="582">
        <f t="shared" si="348"/>
        <v>0</v>
      </c>
      <c r="Z387" s="581">
        <f>+'8,12'!$I$33</f>
        <v>549.9</v>
      </c>
      <c r="AA387" s="582">
        <f t="shared" si="349"/>
        <v>0</v>
      </c>
      <c r="AB387" s="581">
        <f>+'8,12'!$I$44</f>
        <v>0</v>
      </c>
      <c r="AC387" s="582">
        <f t="shared" si="350"/>
        <v>0</v>
      </c>
      <c r="AE387" s="769" t="e">
        <f t="shared" si="313"/>
        <v>#REF!</v>
      </c>
    </row>
    <row r="388" spans="1:31" ht="25.5" hidden="1" customHeight="1" x14ac:dyDescent="0.2">
      <c r="A388" s="661">
        <v>8.1300000000000008</v>
      </c>
      <c r="B388" s="601" t="s">
        <v>1248</v>
      </c>
      <c r="C388" s="611" t="s">
        <v>110</v>
      </c>
      <c r="D388" s="576">
        <f t="shared" si="338"/>
        <v>0</v>
      </c>
      <c r="E388" s="577" t="e">
        <f t="shared" si="339"/>
        <v>#REF!</v>
      </c>
      <c r="F388" s="577" t="e">
        <f t="shared" si="340"/>
        <v>#REF!</v>
      </c>
      <c r="G388" s="578"/>
      <c r="I388" s="594"/>
      <c r="J388" s="580" t="e">
        <f t="shared" si="341"/>
        <v>#REF!</v>
      </c>
      <c r="K388" s="537"/>
      <c r="L388" s="445" t="e">
        <f t="shared" si="342"/>
        <v>#REF!</v>
      </c>
      <c r="M388" s="542"/>
      <c r="N388" s="445" t="e">
        <f t="shared" si="343"/>
        <v>#REF!</v>
      </c>
      <c r="O388" s="542"/>
      <c r="P388" s="445" t="e">
        <f t="shared" si="344"/>
        <v>#REF!</v>
      </c>
      <c r="Q388" s="542"/>
      <c r="R388" s="445" t="e">
        <f t="shared" si="345"/>
        <v>#REF!</v>
      </c>
      <c r="S388" s="542"/>
      <c r="T388" s="445" t="e">
        <f t="shared" si="346"/>
        <v>#REF!</v>
      </c>
      <c r="V388" s="581" t="e">
        <f>+'8,13'!$I$22</f>
        <v>#REF!</v>
      </c>
      <c r="W388" s="582" t="e">
        <f t="shared" si="347"/>
        <v>#REF!</v>
      </c>
      <c r="X388" s="581">
        <f>+'8,13'!$I$53</f>
        <v>46823.54</v>
      </c>
      <c r="Y388" s="582">
        <f t="shared" si="348"/>
        <v>0</v>
      </c>
      <c r="Z388" s="581">
        <f>+'8,13'!$I$33</f>
        <v>2073.36</v>
      </c>
      <c r="AA388" s="582">
        <f t="shared" si="349"/>
        <v>0</v>
      </c>
      <c r="AB388" s="581">
        <f>+'8,13'!$I$44</f>
        <v>0</v>
      </c>
      <c r="AC388" s="582">
        <f t="shared" si="350"/>
        <v>0</v>
      </c>
      <c r="AE388" s="769" t="e">
        <f t="shared" si="313"/>
        <v>#REF!</v>
      </c>
    </row>
    <row r="389" spans="1:31" ht="25.5" hidden="1" customHeight="1" x14ac:dyDescent="0.2">
      <c r="A389" s="661" t="s">
        <v>1249</v>
      </c>
      <c r="B389" s="601" t="s">
        <v>1250</v>
      </c>
      <c r="C389" s="611" t="s">
        <v>110</v>
      </c>
      <c r="D389" s="576">
        <f t="shared" si="338"/>
        <v>0</v>
      </c>
      <c r="E389" s="577" t="e">
        <f t="shared" si="339"/>
        <v>#REF!</v>
      </c>
      <c r="F389" s="577" t="e">
        <f t="shared" si="340"/>
        <v>#REF!</v>
      </c>
      <c r="G389" s="578"/>
      <c r="I389" s="594"/>
      <c r="J389" s="580" t="e">
        <f t="shared" si="341"/>
        <v>#REF!</v>
      </c>
      <c r="K389" s="537"/>
      <c r="L389" s="445" t="e">
        <f t="shared" si="342"/>
        <v>#REF!</v>
      </c>
      <c r="M389" s="542"/>
      <c r="N389" s="445" t="e">
        <f t="shared" si="343"/>
        <v>#REF!</v>
      </c>
      <c r="O389" s="542"/>
      <c r="P389" s="445" t="e">
        <f t="shared" si="344"/>
        <v>#REF!</v>
      </c>
      <c r="Q389" s="542"/>
      <c r="R389" s="445" t="e">
        <f t="shared" si="345"/>
        <v>#REF!</v>
      </c>
      <c r="S389" s="542"/>
      <c r="T389" s="445" t="e">
        <f t="shared" si="346"/>
        <v>#REF!</v>
      </c>
      <c r="V389" s="581" t="e">
        <f>+'8,14'!$I$22</f>
        <v>#REF!</v>
      </c>
      <c r="W389" s="582" t="e">
        <f t="shared" si="347"/>
        <v>#REF!</v>
      </c>
      <c r="X389" s="581">
        <f>+'8,14'!$I$53</f>
        <v>62431.38</v>
      </c>
      <c r="Y389" s="582">
        <f t="shared" si="348"/>
        <v>0</v>
      </c>
      <c r="Z389" s="581">
        <f>+'8,14'!$I$33</f>
        <v>2073.36</v>
      </c>
      <c r="AA389" s="582">
        <f t="shared" si="349"/>
        <v>0</v>
      </c>
      <c r="AB389" s="581">
        <f>+'8,14'!$I$44</f>
        <v>0</v>
      </c>
      <c r="AC389" s="582">
        <f t="shared" si="350"/>
        <v>0</v>
      </c>
      <c r="AE389" s="769" t="e">
        <f t="shared" si="313"/>
        <v>#REF!</v>
      </c>
    </row>
    <row r="390" spans="1:31" ht="25.5" hidden="1" customHeight="1" x14ac:dyDescent="0.2">
      <c r="A390" s="661">
        <v>8.15</v>
      </c>
      <c r="B390" s="601" t="s">
        <v>1251</v>
      </c>
      <c r="C390" s="611" t="s">
        <v>110</v>
      </c>
      <c r="D390" s="576">
        <f t="shared" si="338"/>
        <v>0</v>
      </c>
      <c r="E390" s="577" t="e">
        <f t="shared" si="339"/>
        <v>#REF!</v>
      </c>
      <c r="F390" s="577" t="e">
        <f t="shared" si="340"/>
        <v>#REF!</v>
      </c>
      <c r="G390" s="578"/>
      <c r="I390" s="594"/>
      <c r="J390" s="580" t="e">
        <f t="shared" si="341"/>
        <v>#REF!</v>
      </c>
      <c r="K390" s="537"/>
      <c r="L390" s="445" t="e">
        <f t="shared" si="342"/>
        <v>#REF!</v>
      </c>
      <c r="M390" s="542"/>
      <c r="N390" s="445" t="e">
        <f t="shared" si="343"/>
        <v>#REF!</v>
      </c>
      <c r="O390" s="542"/>
      <c r="P390" s="445" t="e">
        <f t="shared" si="344"/>
        <v>#REF!</v>
      </c>
      <c r="Q390" s="542"/>
      <c r="R390" s="445" t="e">
        <f t="shared" si="345"/>
        <v>#REF!</v>
      </c>
      <c r="S390" s="542"/>
      <c r="T390" s="445" t="e">
        <f t="shared" si="346"/>
        <v>#REF!</v>
      </c>
      <c r="V390" s="581" t="e">
        <f>+'8,15'!$I$22</f>
        <v>#REF!</v>
      </c>
      <c r="W390" s="582" t="e">
        <f t="shared" si="347"/>
        <v>#REF!</v>
      </c>
      <c r="X390" s="581">
        <f>+'8,15'!$I$53</f>
        <v>70235.3</v>
      </c>
      <c r="Y390" s="582">
        <f t="shared" si="348"/>
        <v>0</v>
      </c>
      <c r="Z390" s="581">
        <f>+'8,15'!$I$33</f>
        <v>2073.36</v>
      </c>
      <c r="AA390" s="582">
        <f t="shared" si="349"/>
        <v>0</v>
      </c>
      <c r="AB390" s="581">
        <f>+'8,15'!$I$44</f>
        <v>0</v>
      </c>
      <c r="AC390" s="582">
        <f t="shared" si="350"/>
        <v>0</v>
      </c>
      <c r="AE390" s="769" t="e">
        <f t="shared" si="313"/>
        <v>#REF!</v>
      </c>
    </row>
    <row r="391" spans="1:31" ht="25.5" hidden="1" customHeight="1" x14ac:dyDescent="0.2">
      <c r="A391" s="661">
        <v>8.16</v>
      </c>
      <c r="B391" s="601" t="s">
        <v>1252</v>
      </c>
      <c r="C391" s="611" t="s">
        <v>110</v>
      </c>
      <c r="D391" s="576">
        <f t="shared" si="338"/>
        <v>0</v>
      </c>
      <c r="E391" s="577" t="e">
        <f t="shared" si="339"/>
        <v>#REF!</v>
      </c>
      <c r="F391" s="577" t="e">
        <f t="shared" si="340"/>
        <v>#REF!</v>
      </c>
      <c r="G391" s="578"/>
      <c r="I391" s="594"/>
      <c r="J391" s="580" t="e">
        <f t="shared" si="341"/>
        <v>#REF!</v>
      </c>
      <c r="K391" s="537"/>
      <c r="L391" s="445" t="e">
        <f t="shared" si="342"/>
        <v>#REF!</v>
      </c>
      <c r="M391" s="542"/>
      <c r="N391" s="445" t="e">
        <f t="shared" si="343"/>
        <v>#REF!</v>
      </c>
      <c r="O391" s="542"/>
      <c r="P391" s="445" t="e">
        <f t="shared" si="344"/>
        <v>#REF!</v>
      </c>
      <c r="Q391" s="542"/>
      <c r="R391" s="445" t="e">
        <f t="shared" si="345"/>
        <v>#REF!</v>
      </c>
      <c r="S391" s="542"/>
      <c r="T391" s="445" t="e">
        <f t="shared" si="346"/>
        <v>#REF!</v>
      </c>
      <c r="V391" s="581" t="e">
        <f>+'8,16'!$I$22</f>
        <v>#REF!</v>
      </c>
      <c r="W391" s="582" t="e">
        <f t="shared" si="347"/>
        <v>#REF!</v>
      </c>
      <c r="X391" s="581">
        <f>+'8,16'!$I$53</f>
        <v>156078.45000000001</v>
      </c>
      <c r="Y391" s="582">
        <f t="shared" si="348"/>
        <v>0</v>
      </c>
      <c r="Z391" s="581">
        <f>+'8,16'!$I$33</f>
        <v>2073.36</v>
      </c>
      <c r="AA391" s="582">
        <f t="shared" si="349"/>
        <v>0</v>
      </c>
      <c r="AB391" s="581">
        <f>+'8,16'!$I$44</f>
        <v>0</v>
      </c>
      <c r="AC391" s="582">
        <f t="shared" si="350"/>
        <v>0</v>
      </c>
      <c r="AE391" s="769" t="e">
        <f t="shared" si="313"/>
        <v>#REF!</v>
      </c>
    </row>
    <row r="392" spans="1:31" ht="25.5" x14ac:dyDescent="0.2">
      <c r="A392" s="661">
        <v>8.17</v>
      </c>
      <c r="B392" s="601" t="s">
        <v>1253</v>
      </c>
      <c r="C392" s="611" t="s">
        <v>110</v>
      </c>
      <c r="D392" s="576">
        <f t="shared" si="338"/>
        <v>1</v>
      </c>
      <c r="E392" s="577" t="e">
        <f t="shared" si="339"/>
        <v>#REF!</v>
      </c>
      <c r="F392" s="577" t="e">
        <f t="shared" si="340"/>
        <v>#REF!</v>
      </c>
      <c r="G392" s="578"/>
      <c r="I392" s="594"/>
      <c r="J392" s="580" t="e">
        <f t="shared" si="341"/>
        <v>#REF!</v>
      </c>
      <c r="K392" s="537">
        <v>1</v>
      </c>
      <c r="L392" s="445" t="e">
        <f t="shared" si="342"/>
        <v>#REF!</v>
      </c>
      <c r="M392" s="542"/>
      <c r="N392" s="445" t="e">
        <f t="shared" si="343"/>
        <v>#REF!</v>
      </c>
      <c r="O392" s="542"/>
      <c r="P392" s="445" t="e">
        <f t="shared" si="344"/>
        <v>#REF!</v>
      </c>
      <c r="Q392" s="542"/>
      <c r="R392" s="445" t="e">
        <f t="shared" si="345"/>
        <v>#REF!</v>
      </c>
      <c r="S392" s="542"/>
      <c r="T392" s="445" t="e">
        <f t="shared" si="346"/>
        <v>#REF!</v>
      </c>
      <c r="V392" s="581" t="e">
        <f>+#REF!</f>
        <v>#REF!</v>
      </c>
      <c r="W392" s="582" t="e">
        <f t="shared" si="347"/>
        <v>#REF!</v>
      </c>
      <c r="X392" s="581" t="e">
        <f>+#REF!</f>
        <v>#REF!</v>
      </c>
      <c r="Y392" s="582" t="e">
        <f t="shared" si="348"/>
        <v>#REF!</v>
      </c>
      <c r="Z392" s="581" t="e">
        <f>+#REF!</f>
        <v>#REF!</v>
      </c>
      <c r="AA392" s="582" t="e">
        <f t="shared" si="349"/>
        <v>#REF!</v>
      </c>
      <c r="AB392" s="581" t="e">
        <f>+#REF!</f>
        <v>#REF!</v>
      </c>
      <c r="AC392" s="582" t="e">
        <f t="shared" si="350"/>
        <v>#REF!</v>
      </c>
      <c r="AE392" s="769" t="e">
        <f t="shared" si="313"/>
        <v>#REF!</v>
      </c>
    </row>
    <row r="393" spans="1:31" ht="25.5" x14ac:dyDescent="0.2">
      <c r="A393" s="661">
        <v>8.18</v>
      </c>
      <c r="B393" s="601" t="s">
        <v>1254</v>
      </c>
      <c r="C393" s="611" t="s">
        <v>110</v>
      </c>
      <c r="D393" s="576">
        <f t="shared" si="338"/>
        <v>1</v>
      </c>
      <c r="E393" s="577" t="e">
        <f t="shared" si="339"/>
        <v>#REF!</v>
      </c>
      <c r="F393" s="577" t="e">
        <f t="shared" si="340"/>
        <v>#REF!</v>
      </c>
      <c r="G393" s="578"/>
      <c r="I393" s="594"/>
      <c r="J393" s="580" t="e">
        <f t="shared" si="341"/>
        <v>#REF!</v>
      </c>
      <c r="K393" s="537">
        <v>1</v>
      </c>
      <c r="L393" s="445" t="e">
        <f t="shared" si="342"/>
        <v>#REF!</v>
      </c>
      <c r="M393" s="542"/>
      <c r="N393" s="445" t="e">
        <f t="shared" si="343"/>
        <v>#REF!</v>
      </c>
      <c r="O393" s="542"/>
      <c r="P393" s="445" t="e">
        <f t="shared" si="344"/>
        <v>#REF!</v>
      </c>
      <c r="Q393" s="542"/>
      <c r="R393" s="445" t="e">
        <f t="shared" si="345"/>
        <v>#REF!</v>
      </c>
      <c r="S393" s="542"/>
      <c r="T393" s="445" t="e">
        <f t="shared" si="346"/>
        <v>#REF!</v>
      </c>
      <c r="V393" s="581" t="e">
        <f>+#REF!</f>
        <v>#REF!</v>
      </c>
      <c r="W393" s="582" t="e">
        <f t="shared" si="347"/>
        <v>#REF!</v>
      </c>
      <c r="X393" s="581" t="e">
        <f>+#REF!</f>
        <v>#REF!</v>
      </c>
      <c r="Y393" s="582" t="e">
        <f t="shared" si="348"/>
        <v>#REF!</v>
      </c>
      <c r="Z393" s="581" t="e">
        <f>+#REF!</f>
        <v>#REF!</v>
      </c>
      <c r="AA393" s="582" t="e">
        <f t="shared" si="349"/>
        <v>#REF!</v>
      </c>
      <c r="AB393" s="581" t="e">
        <f>+#REF!</f>
        <v>#REF!</v>
      </c>
      <c r="AC393" s="582" t="e">
        <f t="shared" si="350"/>
        <v>#REF!</v>
      </c>
      <c r="AE393" s="769" t="e">
        <f t="shared" si="313"/>
        <v>#REF!</v>
      </c>
    </row>
    <row r="394" spans="1:31" ht="25.5" hidden="1" customHeight="1" x14ac:dyDescent="0.2">
      <c r="A394" s="661">
        <v>8.19</v>
      </c>
      <c r="B394" s="601" t="s">
        <v>1255</v>
      </c>
      <c r="C394" s="611" t="s">
        <v>110</v>
      </c>
      <c r="D394" s="576">
        <f t="shared" si="338"/>
        <v>0</v>
      </c>
      <c r="E394" s="577" t="e">
        <f t="shared" si="339"/>
        <v>#REF!</v>
      </c>
      <c r="F394" s="577" t="e">
        <f t="shared" si="340"/>
        <v>#REF!</v>
      </c>
      <c r="G394" s="578"/>
      <c r="I394" s="594"/>
      <c r="J394" s="580" t="e">
        <f t="shared" si="341"/>
        <v>#REF!</v>
      </c>
      <c r="K394" s="537"/>
      <c r="L394" s="445" t="e">
        <f t="shared" si="342"/>
        <v>#REF!</v>
      </c>
      <c r="M394" s="542"/>
      <c r="N394" s="445" t="e">
        <f t="shared" si="343"/>
        <v>#REF!</v>
      </c>
      <c r="O394" s="542"/>
      <c r="P394" s="445" t="e">
        <f t="shared" si="344"/>
        <v>#REF!</v>
      </c>
      <c r="Q394" s="542"/>
      <c r="R394" s="445" t="e">
        <f t="shared" si="345"/>
        <v>#REF!</v>
      </c>
      <c r="S394" s="542"/>
      <c r="T394" s="445" t="e">
        <f t="shared" si="346"/>
        <v>#REF!</v>
      </c>
      <c r="V394" s="581" t="e">
        <f>+'8,19'!$I$22</f>
        <v>#REF!</v>
      </c>
      <c r="W394" s="582" t="e">
        <f t="shared" si="347"/>
        <v>#REF!</v>
      </c>
      <c r="X394" s="581">
        <f>+'8,19'!$I$53</f>
        <v>312528.51</v>
      </c>
      <c r="Y394" s="582">
        <f t="shared" si="348"/>
        <v>0</v>
      </c>
      <c r="Z394" s="581">
        <f>+'8,19'!$I$33</f>
        <v>3710</v>
      </c>
      <c r="AA394" s="582">
        <f t="shared" si="349"/>
        <v>0</v>
      </c>
      <c r="AB394" s="581">
        <f>+'8,19'!$I$44</f>
        <v>0</v>
      </c>
      <c r="AC394" s="582">
        <f t="shared" si="350"/>
        <v>0</v>
      </c>
      <c r="AE394" s="769" t="e">
        <f t="shared" si="313"/>
        <v>#REF!</v>
      </c>
    </row>
    <row r="395" spans="1:31" ht="25.5" hidden="1" customHeight="1" x14ac:dyDescent="0.2">
      <c r="A395" s="661" t="s">
        <v>1256</v>
      </c>
      <c r="B395" s="601" t="s">
        <v>1257</v>
      </c>
      <c r="C395" s="611" t="s">
        <v>110</v>
      </c>
      <c r="D395" s="576">
        <f t="shared" si="338"/>
        <v>0</v>
      </c>
      <c r="E395" s="577" t="e">
        <f t="shared" si="339"/>
        <v>#REF!</v>
      </c>
      <c r="F395" s="577" t="e">
        <f t="shared" si="340"/>
        <v>#REF!</v>
      </c>
      <c r="G395" s="578"/>
      <c r="I395" s="594"/>
      <c r="J395" s="580" t="e">
        <f t="shared" si="341"/>
        <v>#REF!</v>
      </c>
      <c r="K395" s="537"/>
      <c r="L395" s="445" t="e">
        <f t="shared" si="342"/>
        <v>#REF!</v>
      </c>
      <c r="M395" s="542"/>
      <c r="N395" s="445" t="e">
        <f t="shared" si="343"/>
        <v>#REF!</v>
      </c>
      <c r="O395" s="542"/>
      <c r="P395" s="445" t="e">
        <f t="shared" si="344"/>
        <v>#REF!</v>
      </c>
      <c r="Q395" s="542"/>
      <c r="R395" s="445" t="e">
        <f t="shared" si="345"/>
        <v>#REF!</v>
      </c>
      <c r="S395" s="542"/>
      <c r="T395" s="445" t="e">
        <f t="shared" si="346"/>
        <v>#REF!</v>
      </c>
      <c r="V395" s="581" t="e">
        <f>+'8,20'!$I$22</f>
        <v>#REF!</v>
      </c>
      <c r="W395" s="582" t="e">
        <f t="shared" si="347"/>
        <v>#REF!</v>
      </c>
      <c r="X395" s="581">
        <f>+'8,20'!$I$53</f>
        <v>381979.29</v>
      </c>
      <c r="Y395" s="582">
        <f t="shared" si="348"/>
        <v>0</v>
      </c>
      <c r="Z395" s="581">
        <f>+'8,20'!$I$33</f>
        <v>3710</v>
      </c>
      <c r="AA395" s="582">
        <f t="shared" si="349"/>
        <v>0</v>
      </c>
      <c r="AB395" s="581">
        <f>+'8,20'!$I$44</f>
        <v>0</v>
      </c>
      <c r="AC395" s="582">
        <f t="shared" si="350"/>
        <v>0</v>
      </c>
      <c r="AE395" s="769" t="e">
        <f t="shared" si="313"/>
        <v>#REF!</v>
      </c>
    </row>
    <row r="396" spans="1:31" ht="38.25" hidden="1" customHeight="1" x14ac:dyDescent="0.2">
      <c r="A396" s="661">
        <v>8.2100000000000009</v>
      </c>
      <c r="B396" s="601" t="s">
        <v>1258</v>
      </c>
      <c r="C396" s="611" t="s">
        <v>144</v>
      </c>
      <c r="D396" s="576">
        <f t="shared" si="338"/>
        <v>0</v>
      </c>
      <c r="E396" s="577" t="e">
        <f t="shared" si="339"/>
        <v>#REF!</v>
      </c>
      <c r="F396" s="577" t="e">
        <f t="shared" si="340"/>
        <v>#REF!</v>
      </c>
      <c r="G396" s="578"/>
      <c r="I396" s="594"/>
      <c r="J396" s="580" t="e">
        <f t="shared" si="341"/>
        <v>#REF!</v>
      </c>
      <c r="K396" s="537"/>
      <c r="L396" s="445" t="e">
        <f t="shared" si="342"/>
        <v>#REF!</v>
      </c>
      <c r="M396" s="542"/>
      <c r="N396" s="445" t="e">
        <f t="shared" si="343"/>
        <v>#REF!</v>
      </c>
      <c r="O396" s="542"/>
      <c r="P396" s="445" t="e">
        <f t="shared" si="344"/>
        <v>#REF!</v>
      </c>
      <c r="Q396" s="542"/>
      <c r="R396" s="445" t="e">
        <f t="shared" si="345"/>
        <v>#REF!</v>
      </c>
      <c r="S396" s="542"/>
      <c r="T396" s="445" t="e">
        <f t="shared" si="346"/>
        <v>#REF!</v>
      </c>
      <c r="V396" s="581" t="e">
        <f>+'8,21'!$I$22</f>
        <v>#REF!</v>
      </c>
      <c r="W396" s="582" t="e">
        <f t="shared" si="347"/>
        <v>#REF!</v>
      </c>
      <c r="X396" s="581">
        <f>+'8,21'!$I$53</f>
        <v>2870.41</v>
      </c>
      <c r="Y396" s="582">
        <f t="shared" si="348"/>
        <v>0</v>
      </c>
      <c r="Z396" s="581">
        <f>+'8,21'!$I$33</f>
        <v>159.91</v>
      </c>
      <c r="AA396" s="582">
        <f t="shared" si="349"/>
        <v>0</v>
      </c>
      <c r="AB396" s="581">
        <f>+'8,21'!$I$44</f>
        <v>0</v>
      </c>
      <c r="AC396" s="582">
        <f t="shared" si="350"/>
        <v>0</v>
      </c>
      <c r="AE396" s="769" t="e">
        <f t="shared" si="313"/>
        <v>#REF!</v>
      </c>
    </row>
    <row r="397" spans="1:31" ht="38.25" hidden="1" customHeight="1" x14ac:dyDescent="0.2">
      <c r="A397" s="661">
        <v>8.2200000000000006</v>
      </c>
      <c r="B397" s="601" t="s">
        <v>1259</v>
      </c>
      <c r="C397" s="611" t="s">
        <v>144</v>
      </c>
      <c r="D397" s="576">
        <f t="shared" si="338"/>
        <v>0</v>
      </c>
      <c r="E397" s="577" t="e">
        <f t="shared" si="339"/>
        <v>#REF!</v>
      </c>
      <c r="F397" s="577" t="e">
        <f t="shared" si="340"/>
        <v>#REF!</v>
      </c>
      <c r="G397" s="578"/>
      <c r="I397" s="594"/>
      <c r="J397" s="580" t="e">
        <f t="shared" si="341"/>
        <v>#REF!</v>
      </c>
      <c r="K397" s="537"/>
      <c r="L397" s="445" t="e">
        <f t="shared" si="342"/>
        <v>#REF!</v>
      </c>
      <c r="M397" s="542"/>
      <c r="N397" s="445" t="e">
        <f t="shared" si="343"/>
        <v>#REF!</v>
      </c>
      <c r="O397" s="542"/>
      <c r="P397" s="445" t="e">
        <f t="shared" si="344"/>
        <v>#REF!</v>
      </c>
      <c r="Q397" s="542"/>
      <c r="R397" s="445" t="e">
        <f t="shared" si="345"/>
        <v>#REF!</v>
      </c>
      <c r="S397" s="542"/>
      <c r="T397" s="445" t="e">
        <f t="shared" si="346"/>
        <v>#REF!</v>
      </c>
      <c r="V397" s="581" t="e">
        <f>+'8,22'!$I$22</f>
        <v>#REF!</v>
      </c>
      <c r="W397" s="582" t="e">
        <f t="shared" si="347"/>
        <v>#REF!</v>
      </c>
      <c r="X397" s="581">
        <f>+'8,22'!$I$53</f>
        <v>2870.41</v>
      </c>
      <c r="Y397" s="582">
        <f t="shared" si="348"/>
        <v>0</v>
      </c>
      <c r="Z397" s="581">
        <f>+'8,22'!$I$33</f>
        <v>159.91</v>
      </c>
      <c r="AA397" s="582">
        <f t="shared" si="349"/>
        <v>0</v>
      </c>
      <c r="AB397" s="581">
        <f>+'8,22'!$I$44</f>
        <v>0</v>
      </c>
      <c r="AC397" s="582">
        <f t="shared" si="350"/>
        <v>0</v>
      </c>
      <c r="AE397" s="769" t="e">
        <f t="shared" ref="AE397:AE460" si="351">SUM(AC397,AA397,Y397,W397)-SUM(T397,R397,P397,N397,L397)</f>
        <v>#REF!</v>
      </c>
    </row>
    <row r="398" spans="1:31" ht="38.25" hidden="1" customHeight="1" x14ac:dyDescent="0.2">
      <c r="A398" s="661">
        <v>8.23</v>
      </c>
      <c r="B398" s="601" t="s">
        <v>1260</v>
      </c>
      <c r="C398" s="611" t="s">
        <v>144</v>
      </c>
      <c r="D398" s="576">
        <f t="shared" si="338"/>
        <v>0</v>
      </c>
      <c r="E398" s="577" t="e">
        <f t="shared" si="339"/>
        <v>#REF!</v>
      </c>
      <c r="F398" s="577" t="e">
        <f t="shared" si="340"/>
        <v>#REF!</v>
      </c>
      <c r="G398" s="578"/>
      <c r="I398" s="594"/>
      <c r="J398" s="580" t="e">
        <f t="shared" si="341"/>
        <v>#REF!</v>
      </c>
      <c r="K398" s="537"/>
      <c r="L398" s="445" t="e">
        <f t="shared" si="342"/>
        <v>#REF!</v>
      </c>
      <c r="M398" s="542"/>
      <c r="N398" s="445" t="e">
        <f t="shared" si="343"/>
        <v>#REF!</v>
      </c>
      <c r="O398" s="542"/>
      <c r="P398" s="445" t="e">
        <f t="shared" si="344"/>
        <v>#REF!</v>
      </c>
      <c r="Q398" s="542"/>
      <c r="R398" s="445" t="e">
        <f t="shared" si="345"/>
        <v>#REF!</v>
      </c>
      <c r="S398" s="542"/>
      <c r="T398" s="445" t="e">
        <f t="shared" si="346"/>
        <v>#REF!</v>
      </c>
      <c r="V398" s="581" t="e">
        <f>+'8,23'!$I$22</f>
        <v>#REF!</v>
      </c>
      <c r="W398" s="582" t="e">
        <f t="shared" si="347"/>
        <v>#REF!</v>
      </c>
      <c r="X398" s="581">
        <f>+'8,23'!$I$53</f>
        <v>4167.13</v>
      </c>
      <c r="Y398" s="582">
        <f t="shared" si="348"/>
        <v>0</v>
      </c>
      <c r="Z398" s="581">
        <f>+'8,23'!$I$33</f>
        <v>159.91</v>
      </c>
      <c r="AA398" s="582">
        <f t="shared" si="349"/>
        <v>0</v>
      </c>
      <c r="AB398" s="581">
        <f>+'8,23'!$I$44</f>
        <v>0</v>
      </c>
      <c r="AC398" s="582">
        <f t="shared" si="350"/>
        <v>0</v>
      </c>
      <c r="AE398" s="769" t="e">
        <f t="shared" si="351"/>
        <v>#REF!</v>
      </c>
    </row>
    <row r="399" spans="1:31" ht="38.25" hidden="1" customHeight="1" x14ac:dyDescent="0.2">
      <c r="A399" s="661">
        <v>8.24</v>
      </c>
      <c r="B399" s="601" t="s">
        <v>1261</v>
      </c>
      <c r="C399" s="611" t="s">
        <v>144</v>
      </c>
      <c r="D399" s="576">
        <f t="shared" si="338"/>
        <v>0</v>
      </c>
      <c r="E399" s="577" t="e">
        <f t="shared" si="339"/>
        <v>#REF!</v>
      </c>
      <c r="F399" s="577" t="e">
        <f t="shared" si="340"/>
        <v>#REF!</v>
      </c>
      <c r="G399" s="578"/>
      <c r="I399" s="594"/>
      <c r="J399" s="580" t="e">
        <f t="shared" si="341"/>
        <v>#REF!</v>
      </c>
      <c r="K399" s="537"/>
      <c r="L399" s="445" t="e">
        <f t="shared" si="342"/>
        <v>#REF!</v>
      </c>
      <c r="M399" s="542"/>
      <c r="N399" s="445" t="e">
        <f t="shared" si="343"/>
        <v>#REF!</v>
      </c>
      <c r="O399" s="542"/>
      <c r="P399" s="445" t="e">
        <f t="shared" si="344"/>
        <v>#REF!</v>
      </c>
      <c r="Q399" s="542"/>
      <c r="R399" s="445" t="e">
        <f t="shared" si="345"/>
        <v>#REF!</v>
      </c>
      <c r="S399" s="542"/>
      <c r="T399" s="445" t="e">
        <f t="shared" si="346"/>
        <v>#REF!</v>
      </c>
      <c r="V399" s="581" t="e">
        <f>+'8,24'!$I$22</f>
        <v>#REF!</v>
      </c>
      <c r="W399" s="582" t="e">
        <f t="shared" si="347"/>
        <v>#REF!</v>
      </c>
      <c r="X399" s="581">
        <f>+'8,24'!$I$53</f>
        <v>4167.13</v>
      </c>
      <c r="Y399" s="582">
        <f t="shared" si="348"/>
        <v>0</v>
      </c>
      <c r="Z399" s="581">
        <f>+'8,24'!$I$33</f>
        <v>159.91</v>
      </c>
      <c r="AA399" s="582">
        <f t="shared" si="349"/>
        <v>0</v>
      </c>
      <c r="AB399" s="581">
        <f>+'8,24'!$I$44</f>
        <v>0</v>
      </c>
      <c r="AC399" s="582">
        <f t="shared" si="350"/>
        <v>0</v>
      </c>
      <c r="AE399" s="769" t="e">
        <f t="shared" si="351"/>
        <v>#REF!</v>
      </c>
    </row>
    <row r="400" spans="1:31" ht="38.25" hidden="1" customHeight="1" x14ac:dyDescent="0.2">
      <c r="A400" s="661">
        <v>8.25</v>
      </c>
      <c r="B400" s="601" t="s">
        <v>1262</v>
      </c>
      <c r="C400" s="611" t="s">
        <v>144</v>
      </c>
      <c r="D400" s="576">
        <f t="shared" si="338"/>
        <v>0</v>
      </c>
      <c r="E400" s="577" t="e">
        <f t="shared" si="339"/>
        <v>#REF!</v>
      </c>
      <c r="F400" s="577" t="e">
        <f t="shared" si="340"/>
        <v>#REF!</v>
      </c>
      <c r="G400" s="578"/>
      <c r="I400" s="594"/>
      <c r="J400" s="580" t="e">
        <f t="shared" si="341"/>
        <v>#REF!</v>
      </c>
      <c r="K400" s="537"/>
      <c r="L400" s="445" t="e">
        <f t="shared" si="342"/>
        <v>#REF!</v>
      </c>
      <c r="M400" s="542"/>
      <c r="N400" s="445" t="e">
        <f t="shared" si="343"/>
        <v>#REF!</v>
      </c>
      <c r="O400" s="542"/>
      <c r="P400" s="445" t="e">
        <f t="shared" si="344"/>
        <v>#REF!</v>
      </c>
      <c r="Q400" s="542"/>
      <c r="R400" s="445" t="e">
        <f t="shared" si="345"/>
        <v>#REF!</v>
      </c>
      <c r="S400" s="542"/>
      <c r="T400" s="445" t="e">
        <f t="shared" si="346"/>
        <v>#REF!</v>
      </c>
      <c r="V400" s="581" t="e">
        <f>+'8,25'!$I$22</f>
        <v>#REF!</v>
      </c>
      <c r="W400" s="582" t="e">
        <f t="shared" si="347"/>
        <v>#REF!</v>
      </c>
      <c r="X400" s="581">
        <f>+'8,25'!$I$53</f>
        <v>3473.37</v>
      </c>
      <c r="Y400" s="582">
        <f t="shared" si="348"/>
        <v>0</v>
      </c>
      <c r="Z400" s="581">
        <f>+'8,25'!$I$33</f>
        <v>159.91</v>
      </c>
      <c r="AA400" s="582">
        <f t="shared" si="349"/>
        <v>0</v>
      </c>
      <c r="AB400" s="581">
        <f>+'8,25'!$I$44</f>
        <v>0</v>
      </c>
      <c r="AC400" s="582">
        <f t="shared" si="350"/>
        <v>0</v>
      </c>
      <c r="AE400" s="769" t="e">
        <f t="shared" si="351"/>
        <v>#REF!</v>
      </c>
    </row>
    <row r="401" spans="1:31" ht="38.25" hidden="1" customHeight="1" x14ac:dyDescent="0.2">
      <c r="A401" s="661">
        <v>8.26</v>
      </c>
      <c r="B401" s="601" t="s">
        <v>1263</v>
      </c>
      <c r="C401" s="611" t="s">
        <v>144</v>
      </c>
      <c r="D401" s="576">
        <f t="shared" si="338"/>
        <v>0</v>
      </c>
      <c r="E401" s="577" t="e">
        <f t="shared" si="339"/>
        <v>#REF!</v>
      </c>
      <c r="F401" s="577" t="e">
        <f t="shared" si="340"/>
        <v>#REF!</v>
      </c>
      <c r="G401" s="578"/>
      <c r="I401" s="594"/>
      <c r="J401" s="580" t="e">
        <f t="shared" si="341"/>
        <v>#REF!</v>
      </c>
      <c r="K401" s="537"/>
      <c r="L401" s="445" t="e">
        <f t="shared" si="342"/>
        <v>#REF!</v>
      </c>
      <c r="M401" s="542"/>
      <c r="N401" s="445" t="e">
        <f t="shared" si="343"/>
        <v>#REF!</v>
      </c>
      <c r="O401" s="542"/>
      <c r="P401" s="445" t="e">
        <f t="shared" si="344"/>
        <v>#REF!</v>
      </c>
      <c r="Q401" s="542"/>
      <c r="R401" s="445" t="e">
        <f t="shared" si="345"/>
        <v>#REF!</v>
      </c>
      <c r="S401" s="542"/>
      <c r="T401" s="445" t="e">
        <f t="shared" si="346"/>
        <v>#REF!</v>
      </c>
      <c r="V401" s="581" t="e">
        <f>+'8,26'!$I$22</f>
        <v>#REF!</v>
      </c>
      <c r="W401" s="582" t="e">
        <f t="shared" si="347"/>
        <v>#REF!</v>
      </c>
      <c r="X401" s="581">
        <f>+'8,26'!$I$53</f>
        <v>4861.93</v>
      </c>
      <c r="Y401" s="582">
        <f t="shared" si="348"/>
        <v>0</v>
      </c>
      <c r="Z401" s="581">
        <f>+'8,26'!$I$33</f>
        <v>159.91</v>
      </c>
      <c r="AA401" s="582">
        <f t="shared" si="349"/>
        <v>0</v>
      </c>
      <c r="AB401" s="581">
        <f>+'8,26'!$I$44</f>
        <v>0</v>
      </c>
      <c r="AC401" s="582">
        <f t="shared" si="350"/>
        <v>0</v>
      </c>
      <c r="AE401" s="769" t="e">
        <f t="shared" si="351"/>
        <v>#REF!</v>
      </c>
    </row>
    <row r="402" spans="1:31" ht="38.25" hidden="1" customHeight="1" x14ac:dyDescent="0.2">
      <c r="A402" s="661">
        <v>8.27</v>
      </c>
      <c r="B402" s="601" t="s">
        <v>1264</v>
      </c>
      <c r="C402" s="611" t="s">
        <v>144</v>
      </c>
      <c r="D402" s="576">
        <f t="shared" si="338"/>
        <v>0</v>
      </c>
      <c r="E402" s="577" t="e">
        <f t="shared" si="339"/>
        <v>#REF!</v>
      </c>
      <c r="F402" s="577" t="e">
        <f t="shared" si="340"/>
        <v>#REF!</v>
      </c>
      <c r="G402" s="578"/>
      <c r="I402" s="594"/>
      <c r="J402" s="580" t="e">
        <f t="shared" si="341"/>
        <v>#REF!</v>
      </c>
      <c r="K402" s="537"/>
      <c r="L402" s="445" t="e">
        <f t="shared" si="342"/>
        <v>#REF!</v>
      </c>
      <c r="M402" s="542"/>
      <c r="N402" s="445" t="e">
        <f t="shared" si="343"/>
        <v>#REF!</v>
      </c>
      <c r="O402" s="542"/>
      <c r="P402" s="445" t="e">
        <f t="shared" si="344"/>
        <v>#REF!</v>
      </c>
      <c r="Q402" s="542"/>
      <c r="R402" s="445" t="e">
        <f t="shared" si="345"/>
        <v>#REF!</v>
      </c>
      <c r="S402" s="542"/>
      <c r="T402" s="445" t="e">
        <f t="shared" si="346"/>
        <v>#REF!</v>
      </c>
      <c r="V402" s="581" t="e">
        <f>+'8,27'!$I$22</f>
        <v>#REF!</v>
      </c>
      <c r="W402" s="582" t="e">
        <f t="shared" si="347"/>
        <v>#REF!</v>
      </c>
      <c r="X402" s="581">
        <f>+'8,27'!$I$53</f>
        <v>5556.49</v>
      </c>
      <c r="Y402" s="582">
        <f t="shared" si="348"/>
        <v>0</v>
      </c>
      <c r="Z402" s="581">
        <f>+'8,27'!$I$33</f>
        <v>159.91</v>
      </c>
      <c r="AA402" s="582">
        <f t="shared" si="349"/>
        <v>0</v>
      </c>
      <c r="AB402" s="581">
        <f>+'8,27'!$I$44</f>
        <v>0</v>
      </c>
      <c r="AC402" s="582">
        <f t="shared" si="350"/>
        <v>0</v>
      </c>
      <c r="AE402" s="769" t="e">
        <f t="shared" si="351"/>
        <v>#REF!</v>
      </c>
    </row>
    <row r="403" spans="1:31" ht="38.25" hidden="1" customHeight="1" x14ac:dyDescent="0.2">
      <c r="A403" s="661">
        <v>8.2799999999999994</v>
      </c>
      <c r="B403" s="601" t="s">
        <v>1265</v>
      </c>
      <c r="C403" s="611" t="s">
        <v>144</v>
      </c>
      <c r="D403" s="576">
        <f t="shared" si="338"/>
        <v>0</v>
      </c>
      <c r="E403" s="577" t="e">
        <f t="shared" si="339"/>
        <v>#REF!</v>
      </c>
      <c r="F403" s="577" t="e">
        <f t="shared" si="340"/>
        <v>#REF!</v>
      </c>
      <c r="G403" s="578"/>
      <c r="I403" s="594"/>
      <c r="J403" s="580" t="e">
        <f t="shared" si="341"/>
        <v>#REF!</v>
      </c>
      <c r="K403" s="537"/>
      <c r="L403" s="445" t="e">
        <f t="shared" si="342"/>
        <v>#REF!</v>
      </c>
      <c r="M403" s="542"/>
      <c r="N403" s="445" t="e">
        <f t="shared" si="343"/>
        <v>#REF!</v>
      </c>
      <c r="O403" s="542"/>
      <c r="P403" s="445" t="e">
        <f t="shared" si="344"/>
        <v>#REF!</v>
      </c>
      <c r="Q403" s="542"/>
      <c r="R403" s="445" t="e">
        <f t="shared" si="345"/>
        <v>#REF!</v>
      </c>
      <c r="S403" s="542"/>
      <c r="T403" s="445" t="e">
        <f t="shared" si="346"/>
        <v>#REF!</v>
      </c>
      <c r="V403" s="581" t="e">
        <f>+'8,28'!$I$22</f>
        <v>#REF!</v>
      </c>
      <c r="W403" s="582" t="e">
        <f t="shared" si="347"/>
        <v>#REF!</v>
      </c>
      <c r="X403" s="581">
        <f>+'8,28'!$I$53</f>
        <v>2870.41</v>
      </c>
      <c r="Y403" s="582">
        <f t="shared" si="348"/>
        <v>0</v>
      </c>
      <c r="Z403" s="581">
        <f>+'8,28'!$I$33</f>
        <v>159.91</v>
      </c>
      <c r="AA403" s="582">
        <f t="shared" si="349"/>
        <v>0</v>
      </c>
      <c r="AB403" s="581">
        <f>+'8,28'!$I$44</f>
        <v>0</v>
      </c>
      <c r="AC403" s="582">
        <f t="shared" si="350"/>
        <v>0</v>
      </c>
      <c r="AE403" s="769" t="e">
        <f t="shared" si="351"/>
        <v>#REF!</v>
      </c>
    </row>
    <row r="404" spans="1:31" ht="38.25" hidden="1" customHeight="1" x14ac:dyDescent="0.2">
      <c r="A404" s="661">
        <v>8.2899999999999991</v>
      </c>
      <c r="B404" s="601" t="s">
        <v>1266</v>
      </c>
      <c r="C404" s="611" t="s">
        <v>144</v>
      </c>
      <c r="D404" s="576">
        <f t="shared" si="338"/>
        <v>0</v>
      </c>
      <c r="E404" s="577" t="e">
        <f t="shared" si="339"/>
        <v>#REF!</v>
      </c>
      <c r="F404" s="577" t="e">
        <f t="shared" si="340"/>
        <v>#REF!</v>
      </c>
      <c r="G404" s="578"/>
      <c r="I404" s="594"/>
      <c r="J404" s="580" t="e">
        <f t="shared" si="341"/>
        <v>#REF!</v>
      </c>
      <c r="K404" s="537"/>
      <c r="L404" s="445" t="e">
        <f t="shared" si="342"/>
        <v>#REF!</v>
      </c>
      <c r="M404" s="542"/>
      <c r="N404" s="445" t="e">
        <f t="shared" si="343"/>
        <v>#REF!</v>
      </c>
      <c r="O404" s="542"/>
      <c r="P404" s="445" t="e">
        <f t="shared" si="344"/>
        <v>#REF!</v>
      </c>
      <c r="Q404" s="542"/>
      <c r="R404" s="445" t="e">
        <f t="shared" si="345"/>
        <v>#REF!</v>
      </c>
      <c r="S404" s="542"/>
      <c r="T404" s="445" t="e">
        <f t="shared" si="346"/>
        <v>#REF!</v>
      </c>
      <c r="V404" s="581" t="e">
        <f>+'8,29'!$I$22</f>
        <v>#REF!</v>
      </c>
      <c r="W404" s="582" t="e">
        <f t="shared" si="347"/>
        <v>#REF!</v>
      </c>
      <c r="X404" s="581">
        <f>+'8,29'!$I$53</f>
        <v>3473.21</v>
      </c>
      <c r="Y404" s="582">
        <f t="shared" si="348"/>
        <v>0</v>
      </c>
      <c r="Z404" s="581">
        <f>+'8,29'!$I$33</f>
        <v>159.91</v>
      </c>
      <c r="AA404" s="582">
        <f t="shared" si="349"/>
        <v>0</v>
      </c>
      <c r="AB404" s="581">
        <f>+'8,29'!$I$44</f>
        <v>0</v>
      </c>
      <c r="AC404" s="582">
        <f t="shared" si="350"/>
        <v>0</v>
      </c>
      <c r="AE404" s="769" t="e">
        <f t="shared" si="351"/>
        <v>#REF!</v>
      </c>
    </row>
    <row r="405" spans="1:31" ht="38.25" hidden="1" customHeight="1" x14ac:dyDescent="0.2">
      <c r="A405" s="661" t="s">
        <v>1267</v>
      </c>
      <c r="B405" s="601" t="s">
        <v>1268</v>
      </c>
      <c r="C405" s="611" t="s">
        <v>144</v>
      </c>
      <c r="D405" s="576">
        <f t="shared" si="338"/>
        <v>0</v>
      </c>
      <c r="E405" s="577" t="e">
        <f t="shared" si="339"/>
        <v>#REF!</v>
      </c>
      <c r="F405" s="577" t="e">
        <f t="shared" si="340"/>
        <v>#REF!</v>
      </c>
      <c r="G405" s="578"/>
      <c r="I405" s="594"/>
      <c r="J405" s="580" t="e">
        <f t="shared" si="341"/>
        <v>#REF!</v>
      </c>
      <c r="K405" s="537"/>
      <c r="L405" s="445" t="e">
        <f t="shared" si="342"/>
        <v>#REF!</v>
      </c>
      <c r="M405" s="542"/>
      <c r="N405" s="445" t="e">
        <f t="shared" si="343"/>
        <v>#REF!</v>
      </c>
      <c r="O405" s="542"/>
      <c r="P405" s="445" t="e">
        <f t="shared" si="344"/>
        <v>#REF!</v>
      </c>
      <c r="Q405" s="542"/>
      <c r="R405" s="445" t="e">
        <f t="shared" si="345"/>
        <v>#REF!</v>
      </c>
      <c r="S405" s="542"/>
      <c r="T405" s="445" t="e">
        <f t="shared" si="346"/>
        <v>#REF!</v>
      </c>
      <c r="V405" s="581" t="e">
        <f>+'8,30'!$I$22</f>
        <v>#REF!</v>
      </c>
      <c r="W405" s="582" t="e">
        <f t="shared" si="347"/>
        <v>#REF!</v>
      </c>
      <c r="X405" s="581">
        <f>+'8,30'!$I$53</f>
        <v>4167.04</v>
      </c>
      <c r="Y405" s="582">
        <f t="shared" si="348"/>
        <v>0</v>
      </c>
      <c r="Z405" s="581">
        <f>+'8,30'!$I$33</f>
        <v>159.91</v>
      </c>
      <c r="AA405" s="582">
        <f t="shared" si="349"/>
        <v>0</v>
      </c>
      <c r="AB405" s="581">
        <f>+'8,30'!$I$44</f>
        <v>0</v>
      </c>
      <c r="AC405" s="582">
        <f t="shared" si="350"/>
        <v>0</v>
      </c>
      <c r="AE405" s="769" t="e">
        <f t="shared" si="351"/>
        <v>#REF!</v>
      </c>
    </row>
    <row r="406" spans="1:31" ht="38.25" hidden="1" customHeight="1" x14ac:dyDescent="0.2">
      <c r="A406" s="661">
        <v>8.31</v>
      </c>
      <c r="B406" s="601" t="s">
        <v>1269</v>
      </c>
      <c r="C406" s="611" t="s">
        <v>144</v>
      </c>
      <c r="D406" s="576">
        <f t="shared" si="338"/>
        <v>0</v>
      </c>
      <c r="E406" s="577" t="e">
        <f t="shared" si="339"/>
        <v>#REF!</v>
      </c>
      <c r="F406" s="577" t="e">
        <f t="shared" si="340"/>
        <v>#REF!</v>
      </c>
      <c r="G406" s="578"/>
      <c r="I406" s="594"/>
      <c r="J406" s="580" t="e">
        <f t="shared" si="341"/>
        <v>#REF!</v>
      </c>
      <c r="K406" s="537"/>
      <c r="L406" s="445" t="e">
        <f t="shared" si="342"/>
        <v>#REF!</v>
      </c>
      <c r="M406" s="542"/>
      <c r="N406" s="445" t="e">
        <f t="shared" si="343"/>
        <v>#REF!</v>
      </c>
      <c r="O406" s="542"/>
      <c r="P406" s="445" t="e">
        <f t="shared" si="344"/>
        <v>#REF!</v>
      </c>
      <c r="Q406" s="542"/>
      <c r="R406" s="445" t="e">
        <f t="shared" si="345"/>
        <v>#REF!</v>
      </c>
      <c r="S406" s="542"/>
      <c r="T406" s="445" t="e">
        <f t="shared" si="346"/>
        <v>#REF!</v>
      </c>
      <c r="V406" s="581" t="e">
        <f>+'8,31'!$I$22</f>
        <v>#REF!</v>
      </c>
      <c r="W406" s="582" t="e">
        <f t="shared" si="347"/>
        <v>#REF!</v>
      </c>
      <c r="X406" s="581">
        <f>+'8,31'!$I$53</f>
        <v>2870.41</v>
      </c>
      <c r="Y406" s="582">
        <f t="shared" si="348"/>
        <v>0</v>
      </c>
      <c r="Z406" s="581">
        <f>+'8,31'!$I$33</f>
        <v>159.91</v>
      </c>
      <c r="AA406" s="582">
        <f t="shared" si="349"/>
        <v>0</v>
      </c>
      <c r="AB406" s="581">
        <f>+'8,31'!$I$44</f>
        <v>0</v>
      </c>
      <c r="AC406" s="582">
        <f t="shared" si="350"/>
        <v>0</v>
      </c>
      <c r="AE406" s="769" t="e">
        <f t="shared" si="351"/>
        <v>#REF!</v>
      </c>
    </row>
    <row r="407" spans="1:31" ht="38.25" hidden="1" customHeight="1" x14ac:dyDescent="0.2">
      <c r="A407" s="661">
        <v>8.32</v>
      </c>
      <c r="B407" s="601" t="s">
        <v>1270</v>
      </c>
      <c r="C407" s="611" t="s">
        <v>144</v>
      </c>
      <c r="D407" s="576">
        <f t="shared" si="338"/>
        <v>0</v>
      </c>
      <c r="E407" s="577" t="e">
        <f t="shared" si="339"/>
        <v>#REF!</v>
      </c>
      <c r="F407" s="577" t="e">
        <f t="shared" si="340"/>
        <v>#REF!</v>
      </c>
      <c r="G407" s="578"/>
      <c r="I407" s="594"/>
      <c r="J407" s="580" t="e">
        <f t="shared" si="341"/>
        <v>#REF!</v>
      </c>
      <c r="K407" s="537"/>
      <c r="L407" s="445" t="e">
        <f t="shared" si="342"/>
        <v>#REF!</v>
      </c>
      <c r="M407" s="542"/>
      <c r="N407" s="445" t="e">
        <f t="shared" si="343"/>
        <v>#REF!</v>
      </c>
      <c r="O407" s="542"/>
      <c r="P407" s="445" t="e">
        <f t="shared" si="344"/>
        <v>#REF!</v>
      </c>
      <c r="Q407" s="542"/>
      <c r="R407" s="445" t="e">
        <f t="shared" si="345"/>
        <v>#REF!</v>
      </c>
      <c r="S407" s="542"/>
      <c r="T407" s="445" t="e">
        <f t="shared" si="346"/>
        <v>#REF!</v>
      </c>
      <c r="V407" s="581" t="e">
        <f>+'8,32'!$I$22</f>
        <v>#REF!</v>
      </c>
      <c r="W407" s="582" t="e">
        <f t="shared" si="347"/>
        <v>#REF!</v>
      </c>
      <c r="X407" s="581">
        <f>+'8,32'!$I$53</f>
        <v>4167.13</v>
      </c>
      <c r="Y407" s="582">
        <f t="shared" si="348"/>
        <v>0</v>
      </c>
      <c r="Z407" s="581">
        <f>+'8,32'!$I$33</f>
        <v>159.91</v>
      </c>
      <c r="AA407" s="582">
        <f t="shared" si="349"/>
        <v>0</v>
      </c>
      <c r="AB407" s="581">
        <f>+'8,32'!$I$44</f>
        <v>0</v>
      </c>
      <c r="AC407" s="582">
        <f t="shared" si="350"/>
        <v>0</v>
      </c>
      <c r="AE407" s="769" t="e">
        <f t="shared" si="351"/>
        <v>#REF!</v>
      </c>
    </row>
    <row r="408" spans="1:31" ht="38.25" hidden="1" customHeight="1" x14ac:dyDescent="0.2">
      <c r="A408" s="661">
        <v>8.33</v>
      </c>
      <c r="B408" s="601" t="s">
        <v>1271</v>
      </c>
      <c r="C408" s="611" t="s">
        <v>144</v>
      </c>
      <c r="D408" s="576">
        <f t="shared" si="338"/>
        <v>0</v>
      </c>
      <c r="E408" s="577" t="e">
        <f t="shared" si="339"/>
        <v>#REF!</v>
      </c>
      <c r="F408" s="577" t="e">
        <f t="shared" si="340"/>
        <v>#REF!</v>
      </c>
      <c r="G408" s="578"/>
      <c r="I408" s="594"/>
      <c r="J408" s="580" t="e">
        <f t="shared" si="341"/>
        <v>#REF!</v>
      </c>
      <c r="K408" s="537"/>
      <c r="L408" s="445" t="e">
        <f t="shared" si="342"/>
        <v>#REF!</v>
      </c>
      <c r="M408" s="542"/>
      <c r="N408" s="445" t="e">
        <f t="shared" si="343"/>
        <v>#REF!</v>
      </c>
      <c r="O408" s="542"/>
      <c r="P408" s="445" t="e">
        <f t="shared" si="344"/>
        <v>#REF!</v>
      </c>
      <c r="Q408" s="542"/>
      <c r="R408" s="445" t="e">
        <f t="shared" si="345"/>
        <v>#REF!</v>
      </c>
      <c r="S408" s="542"/>
      <c r="T408" s="445" t="e">
        <f t="shared" si="346"/>
        <v>#REF!</v>
      </c>
      <c r="V408" s="581" t="e">
        <f>+'8,33'!$I$22</f>
        <v>#REF!</v>
      </c>
      <c r="W408" s="582" t="e">
        <f t="shared" si="347"/>
        <v>#REF!</v>
      </c>
      <c r="X408" s="581">
        <f>+'8,33'!$I$53</f>
        <v>4861.93</v>
      </c>
      <c r="Y408" s="582">
        <f t="shared" si="348"/>
        <v>0</v>
      </c>
      <c r="Z408" s="581">
        <f>+'8,33'!$I$33</f>
        <v>159.91</v>
      </c>
      <c r="AA408" s="582">
        <f t="shared" si="349"/>
        <v>0</v>
      </c>
      <c r="AB408" s="581">
        <f>+'8,33'!$I$44</f>
        <v>0</v>
      </c>
      <c r="AC408" s="582">
        <f t="shared" si="350"/>
        <v>0</v>
      </c>
      <c r="AE408" s="769" t="e">
        <f t="shared" si="351"/>
        <v>#REF!</v>
      </c>
    </row>
    <row r="409" spans="1:31" ht="38.25" hidden="1" customHeight="1" x14ac:dyDescent="0.2">
      <c r="A409" s="661">
        <v>8.34</v>
      </c>
      <c r="B409" s="601" t="s">
        <v>1272</v>
      </c>
      <c r="C409" s="611" t="s">
        <v>144</v>
      </c>
      <c r="D409" s="576">
        <f t="shared" si="338"/>
        <v>0</v>
      </c>
      <c r="E409" s="577" t="e">
        <f t="shared" si="339"/>
        <v>#REF!</v>
      </c>
      <c r="F409" s="577" t="e">
        <f t="shared" si="340"/>
        <v>#REF!</v>
      </c>
      <c r="G409" s="578"/>
      <c r="I409" s="594"/>
      <c r="J409" s="580" t="e">
        <f t="shared" si="341"/>
        <v>#REF!</v>
      </c>
      <c r="K409" s="537"/>
      <c r="L409" s="445" t="e">
        <f t="shared" si="342"/>
        <v>#REF!</v>
      </c>
      <c r="M409" s="542"/>
      <c r="N409" s="445" t="e">
        <f t="shared" si="343"/>
        <v>#REF!</v>
      </c>
      <c r="O409" s="542"/>
      <c r="P409" s="445" t="e">
        <f t="shared" si="344"/>
        <v>#REF!</v>
      </c>
      <c r="Q409" s="542"/>
      <c r="R409" s="445" t="e">
        <f t="shared" si="345"/>
        <v>#REF!</v>
      </c>
      <c r="S409" s="542"/>
      <c r="T409" s="445" t="e">
        <f t="shared" si="346"/>
        <v>#REF!</v>
      </c>
      <c r="V409" s="581" t="e">
        <f>+'8,34'!$I$22</f>
        <v>#REF!</v>
      </c>
      <c r="W409" s="582" t="e">
        <f t="shared" si="347"/>
        <v>#REF!</v>
      </c>
      <c r="X409" s="581">
        <f>+'8,34'!$I$53</f>
        <v>4167.13</v>
      </c>
      <c r="Y409" s="582">
        <f t="shared" si="348"/>
        <v>0</v>
      </c>
      <c r="Z409" s="581">
        <f>+'8,34'!$I$33</f>
        <v>159.91</v>
      </c>
      <c r="AA409" s="582">
        <f t="shared" si="349"/>
        <v>0</v>
      </c>
      <c r="AB409" s="581">
        <f>+'8,34'!$I$44</f>
        <v>0</v>
      </c>
      <c r="AC409" s="582">
        <f t="shared" si="350"/>
        <v>0</v>
      </c>
      <c r="AE409" s="769" t="e">
        <f t="shared" si="351"/>
        <v>#REF!</v>
      </c>
    </row>
    <row r="410" spans="1:31" ht="38.25" hidden="1" customHeight="1" x14ac:dyDescent="0.2">
      <c r="A410" s="661">
        <v>8.35</v>
      </c>
      <c r="B410" s="601" t="s">
        <v>1273</v>
      </c>
      <c r="C410" s="611" t="s">
        <v>144</v>
      </c>
      <c r="D410" s="576">
        <f t="shared" si="338"/>
        <v>0</v>
      </c>
      <c r="E410" s="577" t="e">
        <f t="shared" si="339"/>
        <v>#REF!</v>
      </c>
      <c r="F410" s="577" t="e">
        <f t="shared" si="340"/>
        <v>#REF!</v>
      </c>
      <c r="G410" s="578"/>
      <c r="I410" s="594"/>
      <c r="J410" s="580" t="e">
        <f t="shared" si="341"/>
        <v>#REF!</v>
      </c>
      <c r="K410" s="537"/>
      <c r="L410" s="445" t="e">
        <f t="shared" si="342"/>
        <v>#REF!</v>
      </c>
      <c r="M410" s="542"/>
      <c r="N410" s="445" t="e">
        <f t="shared" si="343"/>
        <v>#REF!</v>
      </c>
      <c r="O410" s="542"/>
      <c r="P410" s="445" t="e">
        <f t="shared" si="344"/>
        <v>#REF!</v>
      </c>
      <c r="Q410" s="542"/>
      <c r="R410" s="445" t="e">
        <f t="shared" si="345"/>
        <v>#REF!</v>
      </c>
      <c r="S410" s="542"/>
      <c r="T410" s="445" t="e">
        <f t="shared" si="346"/>
        <v>#REF!</v>
      </c>
      <c r="V410" s="581" t="e">
        <f>+'8,35'!$I$22</f>
        <v>#REF!</v>
      </c>
      <c r="W410" s="582" t="e">
        <f t="shared" si="347"/>
        <v>#REF!</v>
      </c>
      <c r="X410" s="581">
        <f>+'8,35'!$I$53</f>
        <v>5556.49</v>
      </c>
      <c r="Y410" s="582">
        <f t="shared" si="348"/>
        <v>0</v>
      </c>
      <c r="Z410" s="581">
        <f>+'8,35'!$I$33</f>
        <v>159.91</v>
      </c>
      <c r="AA410" s="582">
        <f t="shared" si="349"/>
        <v>0</v>
      </c>
      <c r="AB410" s="581">
        <f>+'8,35'!$I$44</f>
        <v>0</v>
      </c>
      <c r="AC410" s="582">
        <f t="shared" si="350"/>
        <v>0</v>
      </c>
      <c r="AE410" s="769" t="e">
        <f t="shared" si="351"/>
        <v>#REF!</v>
      </c>
    </row>
    <row r="411" spans="1:31" ht="38.25" hidden="1" customHeight="1" x14ac:dyDescent="0.2">
      <c r="A411" s="661">
        <v>8.36</v>
      </c>
      <c r="B411" s="601" t="s">
        <v>1274</v>
      </c>
      <c r="C411" s="611" t="s">
        <v>144</v>
      </c>
      <c r="D411" s="576">
        <f t="shared" si="338"/>
        <v>0</v>
      </c>
      <c r="E411" s="577" t="e">
        <f t="shared" si="339"/>
        <v>#REF!</v>
      </c>
      <c r="F411" s="577" t="e">
        <f t="shared" si="340"/>
        <v>#REF!</v>
      </c>
      <c r="G411" s="578"/>
      <c r="I411" s="594"/>
      <c r="J411" s="580" t="e">
        <f t="shared" si="341"/>
        <v>#REF!</v>
      </c>
      <c r="K411" s="537"/>
      <c r="L411" s="445" t="e">
        <f t="shared" si="342"/>
        <v>#REF!</v>
      </c>
      <c r="M411" s="542"/>
      <c r="N411" s="445" t="e">
        <f t="shared" si="343"/>
        <v>#REF!</v>
      </c>
      <c r="O411" s="542"/>
      <c r="P411" s="445" t="e">
        <f t="shared" si="344"/>
        <v>#REF!</v>
      </c>
      <c r="Q411" s="542"/>
      <c r="R411" s="445" t="e">
        <f t="shared" si="345"/>
        <v>#REF!</v>
      </c>
      <c r="S411" s="542"/>
      <c r="T411" s="445" t="e">
        <f t="shared" si="346"/>
        <v>#REF!</v>
      </c>
      <c r="V411" s="581" t="e">
        <f>+'8,36'!$I$22</f>
        <v>#REF!</v>
      </c>
      <c r="W411" s="582" t="e">
        <f t="shared" si="347"/>
        <v>#REF!</v>
      </c>
      <c r="X411" s="581">
        <f>+'8,36'!$I$53</f>
        <v>6251.78</v>
      </c>
      <c r="Y411" s="582">
        <f t="shared" si="348"/>
        <v>0</v>
      </c>
      <c r="Z411" s="581">
        <f>+'8,36'!$I$33</f>
        <v>159.91</v>
      </c>
      <c r="AA411" s="582">
        <f t="shared" si="349"/>
        <v>0</v>
      </c>
      <c r="AB411" s="581">
        <f>+'8,36'!$I$44</f>
        <v>0</v>
      </c>
      <c r="AC411" s="582">
        <f t="shared" si="350"/>
        <v>0</v>
      </c>
      <c r="AE411" s="769" t="e">
        <f t="shared" si="351"/>
        <v>#REF!</v>
      </c>
    </row>
    <row r="412" spans="1:31" ht="38.25" hidden="1" customHeight="1" x14ac:dyDescent="0.2">
      <c r="A412" s="661">
        <v>8.3699999999999992</v>
      </c>
      <c r="B412" s="601" t="s">
        <v>1275</v>
      </c>
      <c r="C412" s="611" t="s">
        <v>144</v>
      </c>
      <c r="D412" s="576">
        <f t="shared" si="338"/>
        <v>0</v>
      </c>
      <c r="E412" s="577" t="e">
        <f t="shared" si="339"/>
        <v>#REF!</v>
      </c>
      <c r="F412" s="577" t="e">
        <f t="shared" si="340"/>
        <v>#REF!</v>
      </c>
      <c r="G412" s="578"/>
      <c r="I412" s="594"/>
      <c r="J412" s="580" t="e">
        <f t="shared" si="341"/>
        <v>#REF!</v>
      </c>
      <c r="K412" s="537"/>
      <c r="L412" s="445" t="e">
        <f t="shared" si="342"/>
        <v>#REF!</v>
      </c>
      <c r="M412" s="542"/>
      <c r="N412" s="445" t="e">
        <f t="shared" si="343"/>
        <v>#REF!</v>
      </c>
      <c r="O412" s="542"/>
      <c r="P412" s="445" t="e">
        <f t="shared" si="344"/>
        <v>#REF!</v>
      </c>
      <c r="Q412" s="542"/>
      <c r="R412" s="445" t="e">
        <f t="shared" si="345"/>
        <v>#REF!</v>
      </c>
      <c r="S412" s="542"/>
      <c r="T412" s="445" t="e">
        <f t="shared" si="346"/>
        <v>#REF!</v>
      </c>
      <c r="V412" s="581" t="e">
        <f>+'8,37'!$I$22</f>
        <v>#REF!</v>
      </c>
      <c r="W412" s="582" t="e">
        <f t="shared" si="347"/>
        <v>#REF!</v>
      </c>
      <c r="X412" s="581">
        <f>+'8,37'!$I$53</f>
        <v>6944.4</v>
      </c>
      <c r="Y412" s="582">
        <f t="shared" si="348"/>
        <v>0</v>
      </c>
      <c r="Z412" s="581">
        <f>+'8,37'!$I$33</f>
        <v>159.91</v>
      </c>
      <c r="AA412" s="582">
        <f t="shared" si="349"/>
        <v>0</v>
      </c>
      <c r="AB412" s="581">
        <f>+'8,37'!$I$44</f>
        <v>0</v>
      </c>
      <c r="AC412" s="582">
        <f t="shared" si="350"/>
        <v>0</v>
      </c>
      <c r="AE412" s="769" t="e">
        <f t="shared" si="351"/>
        <v>#REF!</v>
      </c>
    </row>
    <row r="413" spans="1:31" ht="38.25" hidden="1" customHeight="1" x14ac:dyDescent="0.2">
      <c r="A413" s="661">
        <v>8.3800000000000008</v>
      </c>
      <c r="B413" s="601" t="s">
        <v>1276</v>
      </c>
      <c r="C413" s="611" t="s">
        <v>144</v>
      </c>
      <c r="D413" s="576">
        <f t="shared" si="338"/>
        <v>0</v>
      </c>
      <c r="E413" s="577" t="e">
        <f t="shared" si="339"/>
        <v>#REF!</v>
      </c>
      <c r="F413" s="577" t="e">
        <f t="shared" si="340"/>
        <v>#REF!</v>
      </c>
      <c r="G413" s="578"/>
      <c r="I413" s="594"/>
      <c r="J413" s="580" t="e">
        <f t="shared" si="341"/>
        <v>#REF!</v>
      </c>
      <c r="K413" s="537"/>
      <c r="L413" s="445" t="e">
        <f t="shared" si="342"/>
        <v>#REF!</v>
      </c>
      <c r="M413" s="542"/>
      <c r="N413" s="445" t="e">
        <f t="shared" si="343"/>
        <v>#REF!</v>
      </c>
      <c r="O413" s="542"/>
      <c r="P413" s="445" t="e">
        <f t="shared" si="344"/>
        <v>#REF!</v>
      </c>
      <c r="Q413" s="542"/>
      <c r="R413" s="445" t="e">
        <f t="shared" si="345"/>
        <v>#REF!</v>
      </c>
      <c r="S413" s="542"/>
      <c r="T413" s="445" t="e">
        <f t="shared" si="346"/>
        <v>#REF!</v>
      </c>
      <c r="V413" s="581" t="e">
        <f>+'8,38'!$I$22</f>
        <v>#REF!</v>
      </c>
      <c r="W413" s="582" t="e">
        <f t="shared" si="347"/>
        <v>#REF!</v>
      </c>
      <c r="X413" s="581">
        <f>+'8,38'!$I$53</f>
        <v>4167.13</v>
      </c>
      <c r="Y413" s="582">
        <f t="shared" si="348"/>
        <v>0</v>
      </c>
      <c r="Z413" s="581">
        <f>+'8,38'!$I$33</f>
        <v>159.91</v>
      </c>
      <c r="AA413" s="582">
        <f t="shared" si="349"/>
        <v>0</v>
      </c>
      <c r="AB413" s="581">
        <f>+'8,38'!$I$44</f>
        <v>0</v>
      </c>
      <c r="AC413" s="582">
        <f t="shared" si="350"/>
        <v>0</v>
      </c>
      <c r="AE413" s="769" t="e">
        <f t="shared" si="351"/>
        <v>#REF!</v>
      </c>
    </row>
    <row r="414" spans="1:31" ht="38.25" x14ac:dyDescent="0.2">
      <c r="A414" s="661">
        <v>8.39</v>
      </c>
      <c r="B414" s="601" t="s">
        <v>1277</v>
      </c>
      <c r="C414" s="611" t="s">
        <v>144</v>
      </c>
      <c r="D414" s="576">
        <f t="shared" si="338"/>
        <v>75</v>
      </c>
      <c r="E414" s="577" t="e">
        <f t="shared" si="339"/>
        <v>#REF!</v>
      </c>
      <c r="F414" s="577" t="e">
        <f t="shared" si="340"/>
        <v>#REF!</v>
      </c>
      <c r="G414" s="578"/>
      <c r="I414" s="594"/>
      <c r="J414" s="580" t="e">
        <f t="shared" si="341"/>
        <v>#REF!</v>
      </c>
      <c r="K414" s="537"/>
      <c r="L414" s="445" t="e">
        <f t="shared" si="342"/>
        <v>#REF!</v>
      </c>
      <c r="M414" s="542"/>
      <c r="N414" s="445" t="e">
        <f t="shared" si="343"/>
        <v>#REF!</v>
      </c>
      <c r="O414" s="542"/>
      <c r="P414" s="445" t="e">
        <f t="shared" si="344"/>
        <v>#REF!</v>
      </c>
      <c r="Q414" s="542"/>
      <c r="R414" s="445" t="e">
        <f t="shared" si="345"/>
        <v>#REF!</v>
      </c>
      <c r="S414" s="542">
        <v>75</v>
      </c>
      <c r="T414" s="445" t="e">
        <f t="shared" si="346"/>
        <v>#REF!</v>
      </c>
      <c r="V414" s="581" t="e">
        <f>+#REF!</f>
        <v>#REF!</v>
      </c>
      <c r="W414" s="582" t="e">
        <f t="shared" si="347"/>
        <v>#REF!</v>
      </c>
      <c r="X414" s="581" t="e">
        <f>+#REF!</f>
        <v>#REF!</v>
      </c>
      <c r="Y414" s="582" t="e">
        <f t="shared" si="348"/>
        <v>#REF!</v>
      </c>
      <c r="Z414" s="581" t="e">
        <f>+#REF!</f>
        <v>#REF!</v>
      </c>
      <c r="AA414" s="582" t="e">
        <f t="shared" si="349"/>
        <v>#REF!</v>
      </c>
      <c r="AB414" s="581" t="e">
        <f>+#REF!</f>
        <v>#REF!</v>
      </c>
      <c r="AC414" s="582" t="e">
        <f t="shared" si="350"/>
        <v>#REF!</v>
      </c>
      <c r="AE414" s="769" t="e">
        <f t="shared" si="351"/>
        <v>#REF!</v>
      </c>
    </row>
    <row r="415" spans="1:31" ht="38.25" hidden="1" customHeight="1" x14ac:dyDescent="0.2">
      <c r="A415" s="661" t="s">
        <v>1278</v>
      </c>
      <c r="B415" s="601" t="s">
        <v>1279</v>
      </c>
      <c r="C415" s="611" t="s">
        <v>144</v>
      </c>
      <c r="D415" s="576">
        <f t="shared" si="338"/>
        <v>0</v>
      </c>
      <c r="E415" s="577" t="e">
        <f t="shared" si="339"/>
        <v>#REF!</v>
      </c>
      <c r="F415" s="577" t="e">
        <f t="shared" si="340"/>
        <v>#REF!</v>
      </c>
      <c r="G415" s="578"/>
      <c r="I415" s="594"/>
      <c r="J415" s="580" t="e">
        <f t="shared" si="341"/>
        <v>#REF!</v>
      </c>
      <c r="K415" s="537"/>
      <c r="L415" s="445" t="e">
        <f t="shared" si="342"/>
        <v>#REF!</v>
      </c>
      <c r="M415" s="542"/>
      <c r="N415" s="445" t="e">
        <f t="shared" si="343"/>
        <v>#REF!</v>
      </c>
      <c r="O415" s="542"/>
      <c r="P415" s="445" t="e">
        <f t="shared" si="344"/>
        <v>#REF!</v>
      </c>
      <c r="Q415" s="542"/>
      <c r="R415" s="445" t="e">
        <f t="shared" si="345"/>
        <v>#REF!</v>
      </c>
      <c r="S415" s="542"/>
      <c r="T415" s="445" t="e">
        <f t="shared" si="346"/>
        <v>#REF!</v>
      </c>
      <c r="V415" s="581" t="e">
        <f>+'8,40'!$I$22</f>
        <v>#REF!</v>
      </c>
      <c r="W415" s="582" t="e">
        <f t="shared" si="347"/>
        <v>#REF!</v>
      </c>
      <c r="X415" s="581">
        <f>+'8,40'!$I$53</f>
        <v>5556.49</v>
      </c>
      <c r="Y415" s="582">
        <f t="shared" si="348"/>
        <v>0</v>
      </c>
      <c r="Z415" s="581">
        <f>+'8,40'!$I$33</f>
        <v>159.91</v>
      </c>
      <c r="AA415" s="582">
        <f t="shared" si="349"/>
        <v>0</v>
      </c>
      <c r="AB415" s="581">
        <f>+'8,40'!$I$44</f>
        <v>0</v>
      </c>
      <c r="AC415" s="582">
        <f t="shared" si="350"/>
        <v>0</v>
      </c>
      <c r="AE415" s="769" t="e">
        <f t="shared" si="351"/>
        <v>#REF!</v>
      </c>
    </row>
    <row r="416" spans="1:31" ht="38.25" x14ac:dyDescent="0.2">
      <c r="A416" s="661" t="s">
        <v>1280</v>
      </c>
      <c r="B416" s="601" t="s">
        <v>1281</v>
      </c>
      <c r="C416" s="611" t="s">
        <v>144</v>
      </c>
      <c r="D416" s="576">
        <f t="shared" si="338"/>
        <v>96</v>
      </c>
      <c r="E416" s="577" t="e">
        <f t="shared" si="339"/>
        <v>#REF!</v>
      </c>
      <c r="F416" s="577" t="e">
        <f t="shared" si="340"/>
        <v>#REF!</v>
      </c>
      <c r="G416" s="578"/>
      <c r="I416" s="594"/>
      <c r="J416" s="580" t="e">
        <f t="shared" si="341"/>
        <v>#REF!</v>
      </c>
      <c r="K416" s="537"/>
      <c r="L416" s="445" t="e">
        <f t="shared" si="342"/>
        <v>#REF!</v>
      </c>
      <c r="M416" s="542"/>
      <c r="N416" s="445" t="e">
        <f t="shared" si="343"/>
        <v>#REF!</v>
      </c>
      <c r="O416" s="542"/>
      <c r="P416" s="445" t="e">
        <f t="shared" si="344"/>
        <v>#REF!</v>
      </c>
      <c r="Q416" s="542"/>
      <c r="R416" s="445" t="e">
        <f t="shared" si="345"/>
        <v>#REF!</v>
      </c>
      <c r="S416" s="542">
        <v>96</v>
      </c>
      <c r="T416" s="445" t="e">
        <f t="shared" si="346"/>
        <v>#REF!</v>
      </c>
      <c r="V416" s="581" t="e">
        <f>+#REF!</f>
        <v>#REF!</v>
      </c>
      <c r="W416" s="582" t="e">
        <f t="shared" si="347"/>
        <v>#REF!</v>
      </c>
      <c r="X416" s="581" t="e">
        <f>+#REF!</f>
        <v>#REF!</v>
      </c>
      <c r="Y416" s="582" t="e">
        <f t="shared" si="348"/>
        <v>#REF!</v>
      </c>
      <c r="Z416" s="581" t="e">
        <f>+#REF!</f>
        <v>#REF!</v>
      </c>
      <c r="AA416" s="582" t="e">
        <f t="shared" si="349"/>
        <v>#REF!</v>
      </c>
      <c r="AB416" s="581" t="e">
        <f>+#REF!</f>
        <v>#REF!</v>
      </c>
      <c r="AC416" s="582" t="e">
        <f t="shared" si="350"/>
        <v>#REF!</v>
      </c>
      <c r="AE416" s="769" t="e">
        <f t="shared" si="351"/>
        <v>#REF!</v>
      </c>
    </row>
    <row r="417" spans="1:31" ht="38.25" x14ac:dyDescent="0.2">
      <c r="A417" s="661" t="s">
        <v>1282</v>
      </c>
      <c r="B417" s="601" t="s">
        <v>1283</v>
      </c>
      <c r="C417" s="611" t="s">
        <v>144</v>
      </c>
      <c r="D417" s="576">
        <f t="shared" si="338"/>
        <v>15</v>
      </c>
      <c r="E417" s="577" t="e">
        <f t="shared" si="339"/>
        <v>#REF!</v>
      </c>
      <c r="F417" s="577" t="e">
        <f t="shared" si="340"/>
        <v>#REF!</v>
      </c>
      <c r="G417" s="578"/>
      <c r="I417" s="594"/>
      <c r="J417" s="580" t="e">
        <f t="shared" si="341"/>
        <v>#REF!</v>
      </c>
      <c r="K417" s="537"/>
      <c r="L417" s="445" t="e">
        <f t="shared" si="342"/>
        <v>#REF!</v>
      </c>
      <c r="M417" s="542"/>
      <c r="N417" s="445" t="e">
        <f t="shared" si="343"/>
        <v>#REF!</v>
      </c>
      <c r="O417" s="542"/>
      <c r="P417" s="445" t="e">
        <f t="shared" si="344"/>
        <v>#REF!</v>
      </c>
      <c r="Q417" s="542"/>
      <c r="R417" s="445" t="e">
        <f t="shared" si="345"/>
        <v>#REF!</v>
      </c>
      <c r="S417" s="542">
        <v>15</v>
      </c>
      <c r="T417" s="445" t="e">
        <f t="shared" si="346"/>
        <v>#REF!</v>
      </c>
      <c r="V417" s="581" t="e">
        <f>+#REF!</f>
        <v>#REF!</v>
      </c>
      <c r="W417" s="582" t="e">
        <f t="shared" si="347"/>
        <v>#REF!</v>
      </c>
      <c r="X417" s="581" t="e">
        <f>+#REF!</f>
        <v>#REF!</v>
      </c>
      <c r="Y417" s="582" t="e">
        <f t="shared" si="348"/>
        <v>#REF!</v>
      </c>
      <c r="Z417" s="581" t="e">
        <f>+#REF!</f>
        <v>#REF!</v>
      </c>
      <c r="AA417" s="582" t="e">
        <f t="shared" si="349"/>
        <v>#REF!</v>
      </c>
      <c r="AB417" s="581" t="e">
        <f>+#REF!</f>
        <v>#REF!</v>
      </c>
      <c r="AC417" s="582" t="e">
        <f t="shared" si="350"/>
        <v>#REF!</v>
      </c>
      <c r="AE417" s="769" t="e">
        <f t="shared" si="351"/>
        <v>#REF!</v>
      </c>
    </row>
    <row r="418" spans="1:31" ht="38.25" hidden="1" customHeight="1" x14ac:dyDescent="0.2">
      <c r="A418" s="661" t="s">
        <v>1284</v>
      </c>
      <c r="B418" s="601" t="s">
        <v>1285</v>
      </c>
      <c r="C418" s="611" t="s">
        <v>144</v>
      </c>
      <c r="D418" s="576">
        <f t="shared" si="338"/>
        <v>0</v>
      </c>
      <c r="E418" s="577" t="e">
        <f t="shared" si="339"/>
        <v>#REF!</v>
      </c>
      <c r="F418" s="577" t="e">
        <f t="shared" si="340"/>
        <v>#REF!</v>
      </c>
      <c r="G418" s="578"/>
      <c r="I418" s="594"/>
      <c r="J418" s="580" t="e">
        <f t="shared" si="341"/>
        <v>#REF!</v>
      </c>
      <c r="K418" s="537"/>
      <c r="L418" s="445" t="e">
        <f t="shared" si="342"/>
        <v>#REF!</v>
      </c>
      <c r="M418" s="542"/>
      <c r="N418" s="445" t="e">
        <f t="shared" si="343"/>
        <v>#REF!</v>
      </c>
      <c r="O418" s="542"/>
      <c r="P418" s="445" t="e">
        <f t="shared" si="344"/>
        <v>#REF!</v>
      </c>
      <c r="Q418" s="542"/>
      <c r="R418" s="445" t="e">
        <f t="shared" si="345"/>
        <v>#REF!</v>
      </c>
      <c r="S418" s="542"/>
      <c r="T418" s="445" t="e">
        <f t="shared" si="346"/>
        <v>#REF!</v>
      </c>
      <c r="V418" s="581" t="e">
        <f>+'8,43'!$I$22</f>
        <v>#REF!</v>
      </c>
      <c r="W418" s="582" t="e">
        <f t="shared" si="347"/>
        <v>#REF!</v>
      </c>
      <c r="X418" s="581">
        <f>+'8,43'!$I$53</f>
        <v>6251.78</v>
      </c>
      <c r="Y418" s="582">
        <f t="shared" si="348"/>
        <v>0</v>
      </c>
      <c r="Z418" s="581">
        <f>+'8,43'!$I$33</f>
        <v>159.91</v>
      </c>
      <c r="AA418" s="582">
        <f t="shared" si="349"/>
        <v>0</v>
      </c>
      <c r="AB418" s="581">
        <f>+'8,43'!$I$44</f>
        <v>0</v>
      </c>
      <c r="AC418" s="582">
        <f t="shared" si="350"/>
        <v>0</v>
      </c>
      <c r="AE418" s="769" t="e">
        <f t="shared" si="351"/>
        <v>#REF!</v>
      </c>
    </row>
    <row r="419" spans="1:31" ht="38.25" hidden="1" customHeight="1" x14ac:dyDescent="0.2">
      <c r="A419" s="661" t="s">
        <v>1286</v>
      </c>
      <c r="B419" s="601" t="s">
        <v>1287</v>
      </c>
      <c r="C419" s="611" t="s">
        <v>144</v>
      </c>
      <c r="D419" s="576">
        <f t="shared" si="338"/>
        <v>0</v>
      </c>
      <c r="E419" s="577" t="e">
        <f t="shared" si="339"/>
        <v>#REF!</v>
      </c>
      <c r="F419" s="577" t="e">
        <f t="shared" si="340"/>
        <v>#REF!</v>
      </c>
      <c r="G419" s="578"/>
      <c r="I419" s="594"/>
      <c r="J419" s="580" t="e">
        <f t="shared" si="341"/>
        <v>#REF!</v>
      </c>
      <c r="K419" s="537"/>
      <c r="L419" s="445" t="e">
        <f t="shared" si="342"/>
        <v>#REF!</v>
      </c>
      <c r="M419" s="542"/>
      <c r="N419" s="445" t="e">
        <f t="shared" si="343"/>
        <v>#REF!</v>
      </c>
      <c r="O419" s="542"/>
      <c r="P419" s="445" t="e">
        <f t="shared" si="344"/>
        <v>#REF!</v>
      </c>
      <c r="Q419" s="542"/>
      <c r="R419" s="445" t="e">
        <f t="shared" si="345"/>
        <v>#REF!</v>
      </c>
      <c r="S419" s="542"/>
      <c r="T419" s="445" t="e">
        <f t="shared" si="346"/>
        <v>#REF!</v>
      </c>
      <c r="V419" s="581" t="e">
        <f>+'8,44'!$I$22</f>
        <v>#REF!</v>
      </c>
      <c r="W419" s="582" t="e">
        <f t="shared" si="347"/>
        <v>#REF!</v>
      </c>
      <c r="X419" s="581">
        <f>+'8,44'!$I$53</f>
        <v>6251.78</v>
      </c>
      <c r="Y419" s="582">
        <f t="shared" si="348"/>
        <v>0</v>
      </c>
      <c r="Z419" s="581">
        <f>+'8,44'!$I$33</f>
        <v>159.91</v>
      </c>
      <c r="AA419" s="582">
        <f t="shared" si="349"/>
        <v>0</v>
      </c>
      <c r="AB419" s="581">
        <f>+'8,44'!$I$44</f>
        <v>0</v>
      </c>
      <c r="AC419" s="582">
        <f t="shared" si="350"/>
        <v>0</v>
      </c>
      <c r="AE419" s="769" t="e">
        <f t="shared" si="351"/>
        <v>#REF!</v>
      </c>
    </row>
    <row r="420" spans="1:31" ht="38.25" hidden="1" customHeight="1" x14ac:dyDescent="0.2">
      <c r="A420" s="661" t="s">
        <v>1288</v>
      </c>
      <c r="B420" s="601" t="s">
        <v>1289</v>
      </c>
      <c r="C420" s="611" t="s">
        <v>144</v>
      </c>
      <c r="D420" s="576">
        <f t="shared" si="338"/>
        <v>0</v>
      </c>
      <c r="E420" s="577" t="e">
        <f t="shared" si="339"/>
        <v>#REF!</v>
      </c>
      <c r="F420" s="577" t="e">
        <f t="shared" si="340"/>
        <v>#REF!</v>
      </c>
      <c r="G420" s="578"/>
      <c r="I420" s="594"/>
      <c r="J420" s="580" t="e">
        <f t="shared" si="341"/>
        <v>#REF!</v>
      </c>
      <c r="K420" s="537"/>
      <c r="L420" s="445" t="e">
        <f t="shared" si="342"/>
        <v>#REF!</v>
      </c>
      <c r="M420" s="542"/>
      <c r="N420" s="445" t="e">
        <f t="shared" si="343"/>
        <v>#REF!</v>
      </c>
      <c r="O420" s="542"/>
      <c r="P420" s="445" t="e">
        <f t="shared" si="344"/>
        <v>#REF!</v>
      </c>
      <c r="Q420" s="542"/>
      <c r="R420" s="445" t="e">
        <f t="shared" si="345"/>
        <v>#REF!</v>
      </c>
      <c r="S420" s="542"/>
      <c r="T420" s="445" t="e">
        <f t="shared" si="346"/>
        <v>#REF!</v>
      </c>
      <c r="V420" s="581" t="e">
        <f>+'8,45'!$I$22</f>
        <v>#REF!</v>
      </c>
      <c r="W420" s="582" t="e">
        <f t="shared" si="347"/>
        <v>#REF!</v>
      </c>
      <c r="X420" s="581">
        <f>+'8,45'!$I$53</f>
        <v>6944.4</v>
      </c>
      <c r="Y420" s="582">
        <f t="shared" si="348"/>
        <v>0</v>
      </c>
      <c r="Z420" s="581">
        <f>+'8,45'!$I$33</f>
        <v>159.91</v>
      </c>
      <c r="AA420" s="582">
        <f t="shared" si="349"/>
        <v>0</v>
      </c>
      <c r="AB420" s="581">
        <f>+'8,45'!$I$44</f>
        <v>0</v>
      </c>
      <c r="AC420" s="582">
        <f t="shared" si="350"/>
        <v>0</v>
      </c>
      <c r="AE420" s="769" t="e">
        <f t="shared" si="351"/>
        <v>#REF!</v>
      </c>
    </row>
    <row r="421" spans="1:31" ht="38.25" hidden="1" customHeight="1" x14ac:dyDescent="0.2">
      <c r="A421" s="661" t="s">
        <v>1290</v>
      </c>
      <c r="B421" s="601" t="s">
        <v>1291</v>
      </c>
      <c r="C421" s="611" t="s">
        <v>144</v>
      </c>
      <c r="D421" s="576">
        <f t="shared" si="338"/>
        <v>0</v>
      </c>
      <c r="E421" s="577" t="e">
        <f t="shared" si="339"/>
        <v>#REF!</v>
      </c>
      <c r="F421" s="577" t="e">
        <f t="shared" si="340"/>
        <v>#REF!</v>
      </c>
      <c r="G421" s="578"/>
      <c r="I421" s="594"/>
      <c r="J421" s="580" t="e">
        <f t="shared" si="341"/>
        <v>#REF!</v>
      </c>
      <c r="K421" s="537"/>
      <c r="L421" s="445" t="e">
        <f t="shared" si="342"/>
        <v>#REF!</v>
      </c>
      <c r="M421" s="542"/>
      <c r="N421" s="445" t="e">
        <f t="shared" si="343"/>
        <v>#REF!</v>
      </c>
      <c r="O421" s="542"/>
      <c r="P421" s="445" t="e">
        <f t="shared" si="344"/>
        <v>#REF!</v>
      </c>
      <c r="Q421" s="542"/>
      <c r="R421" s="445" t="e">
        <f t="shared" si="345"/>
        <v>#REF!</v>
      </c>
      <c r="S421" s="542"/>
      <c r="T421" s="445" t="e">
        <f t="shared" si="346"/>
        <v>#REF!</v>
      </c>
      <c r="V421" s="581" t="e">
        <f>+'8,46'!$I$22</f>
        <v>#REF!</v>
      </c>
      <c r="W421" s="582" t="e">
        <f t="shared" si="347"/>
        <v>#REF!</v>
      </c>
      <c r="X421" s="581">
        <f>+'8,46'!$I$53</f>
        <v>7639.73</v>
      </c>
      <c r="Y421" s="582">
        <f t="shared" si="348"/>
        <v>0</v>
      </c>
      <c r="Z421" s="581">
        <f>+'8,46'!$I$33</f>
        <v>159.91</v>
      </c>
      <c r="AA421" s="582">
        <f t="shared" si="349"/>
        <v>0</v>
      </c>
      <c r="AB421" s="581">
        <f>+'8,46'!$I$44</f>
        <v>0</v>
      </c>
      <c r="AC421" s="582">
        <f t="shared" si="350"/>
        <v>0</v>
      </c>
      <c r="AE421" s="769" t="e">
        <f t="shared" si="351"/>
        <v>#REF!</v>
      </c>
    </row>
    <row r="422" spans="1:31" ht="38.25" hidden="1" customHeight="1" x14ac:dyDescent="0.2">
      <c r="A422" s="661" t="s">
        <v>1292</v>
      </c>
      <c r="B422" s="601" t="s">
        <v>1293</v>
      </c>
      <c r="C422" s="611" t="s">
        <v>144</v>
      </c>
      <c r="D422" s="576">
        <f t="shared" si="338"/>
        <v>0</v>
      </c>
      <c r="E422" s="577" t="e">
        <f t="shared" si="339"/>
        <v>#REF!</v>
      </c>
      <c r="F422" s="577" t="e">
        <f t="shared" si="340"/>
        <v>#REF!</v>
      </c>
      <c r="G422" s="578"/>
      <c r="I422" s="594"/>
      <c r="J422" s="580" t="e">
        <f t="shared" si="341"/>
        <v>#REF!</v>
      </c>
      <c r="K422" s="537"/>
      <c r="L422" s="445" t="e">
        <f t="shared" si="342"/>
        <v>#REF!</v>
      </c>
      <c r="M422" s="542"/>
      <c r="N422" s="445" t="e">
        <f t="shared" si="343"/>
        <v>#REF!</v>
      </c>
      <c r="O422" s="542"/>
      <c r="P422" s="445" t="e">
        <f t="shared" si="344"/>
        <v>#REF!</v>
      </c>
      <c r="Q422" s="542"/>
      <c r="R422" s="445" t="e">
        <f t="shared" si="345"/>
        <v>#REF!</v>
      </c>
      <c r="S422" s="542"/>
      <c r="T422" s="445" t="e">
        <f t="shared" si="346"/>
        <v>#REF!</v>
      </c>
      <c r="V422" s="581" t="e">
        <f>+'8,47'!$I$22</f>
        <v>#REF!</v>
      </c>
      <c r="W422" s="582" t="e">
        <f t="shared" si="347"/>
        <v>#REF!</v>
      </c>
      <c r="X422" s="581">
        <f>+'8,47'!$I$53</f>
        <v>7639.73</v>
      </c>
      <c r="Y422" s="582">
        <f t="shared" si="348"/>
        <v>0</v>
      </c>
      <c r="Z422" s="581">
        <f>+'8,47'!$I$33</f>
        <v>159.91</v>
      </c>
      <c r="AA422" s="582">
        <f t="shared" si="349"/>
        <v>0</v>
      </c>
      <c r="AB422" s="581">
        <f>+'8,47'!$I$44</f>
        <v>0</v>
      </c>
      <c r="AC422" s="582">
        <f t="shared" si="350"/>
        <v>0</v>
      </c>
      <c r="AE422" s="769" t="e">
        <f t="shared" si="351"/>
        <v>#REF!</v>
      </c>
    </row>
    <row r="423" spans="1:31" ht="25.5" x14ac:dyDescent="0.2">
      <c r="A423" s="661" t="s">
        <v>1294</v>
      </c>
      <c r="B423" s="601" t="s">
        <v>1295</v>
      </c>
      <c r="C423" s="611" t="s">
        <v>144</v>
      </c>
      <c r="D423" s="576">
        <f t="shared" si="338"/>
        <v>89</v>
      </c>
      <c r="E423" s="577" t="e">
        <f t="shared" si="339"/>
        <v>#REF!</v>
      </c>
      <c r="F423" s="577" t="e">
        <f t="shared" si="340"/>
        <v>#REF!</v>
      </c>
      <c r="G423" s="578"/>
      <c r="I423" s="594"/>
      <c r="J423" s="580" t="e">
        <f t="shared" si="341"/>
        <v>#REF!</v>
      </c>
      <c r="K423" s="537"/>
      <c r="L423" s="445" t="e">
        <f t="shared" si="342"/>
        <v>#REF!</v>
      </c>
      <c r="M423" s="542"/>
      <c r="N423" s="445" t="e">
        <f t="shared" si="343"/>
        <v>#REF!</v>
      </c>
      <c r="O423" s="542"/>
      <c r="P423" s="445" t="e">
        <f t="shared" si="344"/>
        <v>#REF!</v>
      </c>
      <c r="Q423" s="542"/>
      <c r="R423" s="445" t="e">
        <f t="shared" si="345"/>
        <v>#REF!</v>
      </c>
      <c r="S423" s="542">
        <v>89</v>
      </c>
      <c r="T423" s="445" t="e">
        <f t="shared" si="346"/>
        <v>#REF!</v>
      </c>
      <c r="V423" s="581" t="e">
        <f>+#REF!</f>
        <v>#REF!</v>
      </c>
      <c r="W423" s="582" t="e">
        <f t="shared" si="347"/>
        <v>#REF!</v>
      </c>
      <c r="X423" s="581" t="e">
        <f>+#REF!</f>
        <v>#REF!</v>
      </c>
      <c r="Y423" s="582" t="e">
        <f t="shared" si="348"/>
        <v>#REF!</v>
      </c>
      <c r="Z423" s="581" t="e">
        <f>+#REF!</f>
        <v>#REF!</v>
      </c>
      <c r="AA423" s="582" t="e">
        <f t="shared" si="349"/>
        <v>#REF!</v>
      </c>
      <c r="AB423" s="581" t="e">
        <f>+#REF!</f>
        <v>#REF!</v>
      </c>
      <c r="AC423" s="582" t="e">
        <f t="shared" si="350"/>
        <v>#REF!</v>
      </c>
      <c r="AE423" s="769" t="e">
        <f t="shared" si="351"/>
        <v>#REF!</v>
      </c>
    </row>
    <row r="424" spans="1:31" ht="25.5" x14ac:dyDescent="0.2">
      <c r="A424" s="661" t="s">
        <v>1296</v>
      </c>
      <c r="B424" s="601" t="s">
        <v>1297</v>
      </c>
      <c r="C424" s="611" t="s">
        <v>144</v>
      </c>
      <c r="D424" s="576">
        <f t="shared" si="338"/>
        <v>105</v>
      </c>
      <c r="E424" s="577" t="e">
        <f t="shared" si="339"/>
        <v>#REF!</v>
      </c>
      <c r="F424" s="577" t="e">
        <f t="shared" si="340"/>
        <v>#REF!</v>
      </c>
      <c r="G424" s="578"/>
      <c r="I424" s="594"/>
      <c r="J424" s="580" t="e">
        <f t="shared" si="341"/>
        <v>#REF!</v>
      </c>
      <c r="K424" s="537"/>
      <c r="L424" s="445" t="e">
        <f t="shared" si="342"/>
        <v>#REF!</v>
      </c>
      <c r="M424" s="542"/>
      <c r="N424" s="445" t="e">
        <f t="shared" si="343"/>
        <v>#REF!</v>
      </c>
      <c r="O424" s="542"/>
      <c r="P424" s="445" t="e">
        <f t="shared" si="344"/>
        <v>#REF!</v>
      </c>
      <c r="Q424" s="542"/>
      <c r="R424" s="445" t="e">
        <f t="shared" si="345"/>
        <v>#REF!</v>
      </c>
      <c r="S424" s="542">
        <v>105</v>
      </c>
      <c r="T424" s="445" t="e">
        <f t="shared" si="346"/>
        <v>#REF!</v>
      </c>
      <c r="V424" s="581" t="e">
        <f>+#REF!</f>
        <v>#REF!</v>
      </c>
      <c r="W424" s="582" t="e">
        <f t="shared" si="347"/>
        <v>#REF!</v>
      </c>
      <c r="X424" s="581" t="e">
        <f>+#REF!</f>
        <v>#REF!</v>
      </c>
      <c r="Y424" s="582" t="e">
        <f t="shared" si="348"/>
        <v>#REF!</v>
      </c>
      <c r="Z424" s="581" t="e">
        <f>+#REF!</f>
        <v>#REF!</v>
      </c>
      <c r="AA424" s="582" t="e">
        <f t="shared" si="349"/>
        <v>#REF!</v>
      </c>
      <c r="AB424" s="581" t="e">
        <f>+#REF!</f>
        <v>#REF!</v>
      </c>
      <c r="AC424" s="582" t="e">
        <f t="shared" si="350"/>
        <v>#REF!</v>
      </c>
      <c r="AE424" s="769" t="e">
        <f t="shared" si="351"/>
        <v>#REF!</v>
      </c>
    </row>
    <row r="425" spans="1:31" ht="25.5" x14ac:dyDescent="0.2">
      <c r="A425" s="661" t="s">
        <v>1298</v>
      </c>
      <c r="B425" s="601" t="s">
        <v>1299</v>
      </c>
      <c r="C425" s="611" t="s">
        <v>144</v>
      </c>
      <c r="D425" s="576">
        <f t="shared" si="338"/>
        <v>184</v>
      </c>
      <c r="E425" s="577" t="e">
        <f t="shared" si="339"/>
        <v>#REF!</v>
      </c>
      <c r="F425" s="577" t="e">
        <f t="shared" si="340"/>
        <v>#REF!</v>
      </c>
      <c r="G425" s="578"/>
      <c r="I425" s="594"/>
      <c r="J425" s="580" t="e">
        <f t="shared" si="341"/>
        <v>#REF!</v>
      </c>
      <c r="K425" s="537"/>
      <c r="L425" s="445" t="e">
        <f t="shared" si="342"/>
        <v>#REF!</v>
      </c>
      <c r="M425" s="542"/>
      <c r="N425" s="445" t="e">
        <f t="shared" si="343"/>
        <v>#REF!</v>
      </c>
      <c r="O425" s="542"/>
      <c r="P425" s="445" t="e">
        <f t="shared" si="344"/>
        <v>#REF!</v>
      </c>
      <c r="Q425" s="542"/>
      <c r="R425" s="445" t="e">
        <f t="shared" si="345"/>
        <v>#REF!</v>
      </c>
      <c r="S425" s="542">
        <v>184</v>
      </c>
      <c r="T425" s="445" t="e">
        <f t="shared" si="346"/>
        <v>#REF!</v>
      </c>
      <c r="V425" s="581" t="e">
        <f>+#REF!</f>
        <v>#REF!</v>
      </c>
      <c r="W425" s="582" t="e">
        <f t="shared" si="347"/>
        <v>#REF!</v>
      </c>
      <c r="X425" s="581" t="e">
        <f>+#REF!</f>
        <v>#REF!</v>
      </c>
      <c r="Y425" s="582" t="e">
        <f t="shared" si="348"/>
        <v>#REF!</v>
      </c>
      <c r="Z425" s="581" t="e">
        <f>+#REF!</f>
        <v>#REF!</v>
      </c>
      <c r="AA425" s="582" t="e">
        <f t="shared" si="349"/>
        <v>#REF!</v>
      </c>
      <c r="AB425" s="581" t="e">
        <f>+#REF!</f>
        <v>#REF!</v>
      </c>
      <c r="AC425" s="582" t="e">
        <f t="shared" si="350"/>
        <v>#REF!</v>
      </c>
      <c r="AE425" s="769" t="e">
        <f t="shared" si="351"/>
        <v>#REF!</v>
      </c>
    </row>
    <row r="426" spans="1:31" ht="25.5" hidden="1" customHeight="1" x14ac:dyDescent="0.2">
      <c r="A426" s="661" t="s">
        <v>1300</v>
      </c>
      <c r="B426" s="601" t="s">
        <v>1301</v>
      </c>
      <c r="C426" s="611" t="s">
        <v>110</v>
      </c>
      <c r="D426" s="576">
        <f t="shared" si="338"/>
        <v>0</v>
      </c>
      <c r="E426" s="577" t="e">
        <f t="shared" si="339"/>
        <v>#REF!</v>
      </c>
      <c r="F426" s="577" t="e">
        <f t="shared" si="340"/>
        <v>#REF!</v>
      </c>
      <c r="G426" s="578"/>
      <c r="I426" s="594"/>
      <c r="J426" s="580" t="e">
        <f t="shared" si="341"/>
        <v>#REF!</v>
      </c>
      <c r="K426" s="537"/>
      <c r="L426" s="445" t="e">
        <f t="shared" si="342"/>
        <v>#REF!</v>
      </c>
      <c r="M426" s="542"/>
      <c r="N426" s="445" t="e">
        <f t="shared" si="343"/>
        <v>#REF!</v>
      </c>
      <c r="O426" s="542"/>
      <c r="P426" s="445" t="e">
        <f t="shared" si="344"/>
        <v>#REF!</v>
      </c>
      <c r="Q426" s="542"/>
      <c r="R426" s="445" t="e">
        <f t="shared" si="345"/>
        <v>#REF!</v>
      </c>
      <c r="S426" s="542"/>
      <c r="T426" s="445" t="e">
        <f t="shared" si="346"/>
        <v>#REF!</v>
      </c>
      <c r="V426" s="581" t="e">
        <f>+'8,51'!$I$22</f>
        <v>#REF!</v>
      </c>
      <c r="W426" s="582" t="e">
        <f t="shared" si="347"/>
        <v>#REF!</v>
      </c>
      <c r="X426" s="581">
        <f>+'8,51'!$I$53</f>
        <v>34711.93</v>
      </c>
      <c r="Y426" s="582">
        <f t="shared" si="348"/>
        <v>0</v>
      </c>
      <c r="Z426" s="581">
        <f>+'8,51'!$I$33</f>
        <v>961.14</v>
      </c>
      <c r="AA426" s="582">
        <f t="shared" si="349"/>
        <v>0</v>
      </c>
      <c r="AB426" s="581">
        <f>+'8,51'!$I$44</f>
        <v>0</v>
      </c>
      <c r="AC426" s="582">
        <f t="shared" si="350"/>
        <v>0</v>
      </c>
      <c r="AE426" s="769" t="e">
        <f t="shared" si="351"/>
        <v>#REF!</v>
      </c>
    </row>
    <row r="427" spans="1:31" ht="25.5" hidden="1" customHeight="1" x14ac:dyDescent="0.2">
      <c r="A427" s="661" t="s">
        <v>1302</v>
      </c>
      <c r="B427" s="601" t="s">
        <v>1303</v>
      </c>
      <c r="C427" s="611" t="s">
        <v>110</v>
      </c>
      <c r="D427" s="576">
        <f t="shared" si="338"/>
        <v>0</v>
      </c>
      <c r="E427" s="577" t="e">
        <f t="shared" si="339"/>
        <v>#REF!</v>
      </c>
      <c r="F427" s="577" t="e">
        <f t="shared" si="340"/>
        <v>#REF!</v>
      </c>
      <c r="G427" s="578"/>
      <c r="I427" s="594"/>
      <c r="J427" s="580" t="e">
        <f t="shared" si="341"/>
        <v>#REF!</v>
      </c>
      <c r="K427" s="537"/>
      <c r="L427" s="445" t="e">
        <f t="shared" si="342"/>
        <v>#REF!</v>
      </c>
      <c r="M427" s="542"/>
      <c r="N427" s="445" t="e">
        <f t="shared" si="343"/>
        <v>#REF!</v>
      </c>
      <c r="O427" s="542"/>
      <c r="P427" s="445" t="e">
        <f t="shared" si="344"/>
        <v>#REF!</v>
      </c>
      <c r="Q427" s="542"/>
      <c r="R427" s="445" t="e">
        <f t="shared" si="345"/>
        <v>#REF!</v>
      </c>
      <c r="S427" s="542"/>
      <c r="T427" s="445" t="e">
        <f t="shared" si="346"/>
        <v>#REF!</v>
      </c>
      <c r="V427" s="581" t="e">
        <f>+'8,52'!$I$22</f>
        <v>#REF!</v>
      </c>
      <c r="W427" s="582" t="e">
        <f t="shared" si="347"/>
        <v>#REF!</v>
      </c>
      <c r="X427" s="581">
        <f>+'8,52'!$I$53</f>
        <v>41670.47</v>
      </c>
      <c r="Y427" s="582">
        <f t="shared" si="348"/>
        <v>0</v>
      </c>
      <c r="Z427" s="581">
        <f>+'8,52'!$I$33</f>
        <v>961.14</v>
      </c>
      <c r="AA427" s="582">
        <f t="shared" si="349"/>
        <v>0</v>
      </c>
      <c r="AB427" s="581">
        <f>+'8,52'!$I$44</f>
        <v>0</v>
      </c>
      <c r="AC427" s="582">
        <f t="shared" si="350"/>
        <v>0</v>
      </c>
      <c r="AE427" s="769" t="e">
        <f t="shared" si="351"/>
        <v>#REF!</v>
      </c>
    </row>
    <row r="428" spans="1:31" ht="25.5" x14ac:dyDescent="0.2">
      <c r="A428" s="661" t="s">
        <v>1304</v>
      </c>
      <c r="B428" s="601" t="s">
        <v>1305</v>
      </c>
      <c r="C428" s="611" t="s">
        <v>110</v>
      </c>
      <c r="D428" s="576">
        <f t="shared" si="338"/>
        <v>2</v>
      </c>
      <c r="E428" s="577" t="e">
        <f t="shared" si="339"/>
        <v>#REF!</v>
      </c>
      <c r="F428" s="577" t="e">
        <f t="shared" si="340"/>
        <v>#REF!</v>
      </c>
      <c r="G428" s="578"/>
      <c r="I428" s="594"/>
      <c r="J428" s="580" t="e">
        <f t="shared" si="341"/>
        <v>#REF!</v>
      </c>
      <c r="K428" s="537"/>
      <c r="L428" s="445" t="e">
        <f t="shared" si="342"/>
        <v>#REF!</v>
      </c>
      <c r="M428" s="542"/>
      <c r="N428" s="445" t="e">
        <f t="shared" si="343"/>
        <v>#REF!</v>
      </c>
      <c r="O428" s="542"/>
      <c r="P428" s="445" t="e">
        <f t="shared" si="344"/>
        <v>#REF!</v>
      </c>
      <c r="Q428" s="542"/>
      <c r="R428" s="445" t="e">
        <f t="shared" si="345"/>
        <v>#REF!</v>
      </c>
      <c r="S428" s="542">
        <v>2</v>
      </c>
      <c r="T428" s="445" t="e">
        <f t="shared" si="346"/>
        <v>#REF!</v>
      </c>
      <c r="V428" s="581" t="e">
        <f>+#REF!</f>
        <v>#REF!</v>
      </c>
      <c r="W428" s="582" t="e">
        <f t="shared" si="347"/>
        <v>#REF!</v>
      </c>
      <c r="X428" s="581" t="e">
        <f>+#REF!</f>
        <v>#REF!</v>
      </c>
      <c r="Y428" s="582" t="e">
        <f t="shared" si="348"/>
        <v>#REF!</v>
      </c>
      <c r="Z428" s="581" t="e">
        <f>+#REF!</f>
        <v>#REF!</v>
      </c>
      <c r="AA428" s="582" t="e">
        <f t="shared" si="349"/>
        <v>#REF!</v>
      </c>
      <c r="AB428" s="581" t="e">
        <f>+#REF!</f>
        <v>#REF!</v>
      </c>
      <c r="AC428" s="582" t="e">
        <f t="shared" si="350"/>
        <v>#REF!</v>
      </c>
      <c r="AE428" s="769" t="e">
        <f t="shared" si="351"/>
        <v>#REF!</v>
      </c>
    </row>
    <row r="429" spans="1:31" ht="25.5" x14ac:dyDescent="0.2">
      <c r="A429" s="661" t="s">
        <v>1306</v>
      </c>
      <c r="B429" s="601" t="s">
        <v>1307</v>
      </c>
      <c r="C429" s="611" t="s">
        <v>110</v>
      </c>
      <c r="D429" s="576">
        <f t="shared" si="338"/>
        <v>2</v>
      </c>
      <c r="E429" s="577" t="e">
        <f t="shared" si="339"/>
        <v>#REF!</v>
      </c>
      <c r="F429" s="577" t="e">
        <f t="shared" si="340"/>
        <v>#REF!</v>
      </c>
      <c r="G429" s="578"/>
      <c r="I429" s="594"/>
      <c r="J429" s="580" t="e">
        <f t="shared" si="341"/>
        <v>#REF!</v>
      </c>
      <c r="K429" s="537">
        <v>2</v>
      </c>
      <c r="L429" s="445" t="e">
        <f t="shared" si="342"/>
        <v>#REF!</v>
      </c>
      <c r="M429" s="542"/>
      <c r="N429" s="445" t="e">
        <f t="shared" si="343"/>
        <v>#REF!</v>
      </c>
      <c r="O429" s="542"/>
      <c r="P429" s="445" t="e">
        <f t="shared" si="344"/>
        <v>#REF!</v>
      </c>
      <c r="Q429" s="542"/>
      <c r="R429" s="445" t="e">
        <f t="shared" si="345"/>
        <v>#REF!</v>
      </c>
      <c r="S429" s="542"/>
      <c r="T429" s="445" t="e">
        <f t="shared" si="346"/>
        <v>#REF!</v>
      </c>
      <c r="V429" s="581" t="e">
        <f>+#REF!</f>
        <v>#REF!</v>
      </c>
      <c r="W429" s="582" t="e">
        <f t="shared" si="347"/>
        <v>#REF!</v>
      </c>
      <c r="X429" s="581" t="e">
        <f>+#REF!</f>
        <v>#REF!</v>
      </c>
      <c r="Y429" s="582" t="e">
        <f t="shared" si="348"/>
        <v>#REF!</v>
      </c>
      <c r="Z429" s="581" t="e">
        <f>+#REF!</f>
        <v>#REF!</v>
      </c>
      <c r="AA429" s="582" t="e">
        <f t="shared" si="349"/>
        <v>#REF!</v>
      </c>
      <c r="AB429" s="581" t="e">
        <f>+#REF!</f>
        <v>#REF!</v>
      </c>
      <c r="AC429" s="582" t="e">
        <f t="shared" si="350"/>
        <v>#REF!</v>
      </c>
      <c r="AE429" s="769" t="e">
        <f t="shared" si="351"/>
        <v>#REF!</v>
      </c>
    </row>
    <row r="430" spans="1:31" ht="39.950000000000003" customHeight="1" x14ac:dyDescent="0.2">
      <c r="A430" s="661" t="s">
        <v>1308</v>
      </c>
      <c r="B430" s="601" t="s">
        <v>1309</v>
      </c>
      <c r="C430" s="611" t="s">
        <v>144</v>
      </c>
      <c r="D430" s="576">
        <f t="shared" si="338"/>
        <v>10</v>
      </c>
      <c r="E430" s="577" t="e">
        <f t="shared" si="339"/>
        <v>#REF!</v>
      </c>
      <c r="F430" s="577" t="e">
        <f t="shared" si="340"/>
        <v>#REF!</v>
      </c>
      <c r="G430" s="578"/>
      <c r="I430" s="594"/>
      <c r="J430" s="580" t="e">
        <f t="shared" si="341"/>
        <v>#REF!</v>
      </c>
      <c r="K430" s="537">
        <v>10</v>
      </c>
      <c r="L430" s="445" t="e">
        <f t="shared" si="342"/>
        <v>#REF!</v>
      </c>
      <c r="M430" s="542"/>
      <c r="N430" s="445" t="e">
        <f t="shared" si="343"/>
        <v>#REF!</v>
      </c>
      <c r="O430" s="542"/>
      <c r="P430" s="445" t="e">
        <f t="shared" si="344"/>
        <v>#REF!</v>
      </c>
      <c r="Q430" s="542"/>
      <c r="R430" s="445" t="e">
        <f t="shared" si="345"/>
        <v>#REF!</v>
      </c>
      <c r="S430" s="542"/>
      <c r="T430" s="445" t="e">
        <f t="shared" si="346"/>
        <v>#REF!</v>
      </c>
      <c r="V430" s="581" t="e">
        <f>+#REF!</f>
        <v>#REF!</v>
      </c>
      <c r="W430" s="582" t="e">
        <f t="shared" si="347"/>
        <v>#REF!</v>
      </c>
      <c r="X430" s="581" t="e">
        <f>+#REF!</f>
        <v>#REF!</v>
      </c>
      <c r="Y430" s="582" t="e">
        <f t="shared" si="348"/>
        <v>#REF!</v>
      </c>
      <c r="Z430" s="581" t="e">
        <f>+#REF!</f>
        <v>#REF!</v>
      </c>
      <c r="AA430" s="582" t="e">
        <f t="shared" si="349"/>
        <v>#REF!</v>
      </c>
      <c r="AB430" s="581" t="e">
        <f>+#REF!</f>
        <v>#REF!</v>
      </c>
      <c r="AC430" s="582" t="e">
        <f t="shared" si="350"/>
        <v>#REF!</v>
      </c>
      <c r="AE430" s="769" t="e">
        <f t="shared" si="351"/>
        <v>#REF!</v>
      </c>
    </row>
    <row r="431" spans="1:31" ht="38.25" hidden="1" customHeight="1" x14ac:dyDescent="0.2">
      <c r="A431" s="661" t="s">
        <v>1310</v>
      </c>
      <c r="B431" s="601" t="s">
        <v>1311</v>
      </c>
      <c r="C431" s="611" t="s">
        <v>110</v>
      </c>
      <c r="D431" s="576">
        <f t="shared" si="338"/>
        <v>0</v>
      </c>
      <c r="E431" s="577" t="e">
        <f t="shared" si="339"/>
        <v>#REF!</v>
      </c>
      <c r="F431" s="577" t="e">
        <f t="shared" si="340"/>
        <v>#REF!</v>
      </c>
      <c r="G431" s="578"/>
      <c r="I431" s="594"/>
      <c r="J431" s="580" t="e">
        <f t="shared" si="341"/>
        <v>#REF!</v>
      </c>
      <c r="K431" s="537"/>
      <c r="L431" s="445" t="e">
        <f t="shared" si="342"/>
        <v>#REF!</v>
      </c>
      <c r="M431" s="542"/>
      <c r="N431" s="445" t="e">
        <f t="shared" si="343"/>
        <v>#REF!</v>
      </c>
      <c r="O431" s="542"/>
      <c r="P431" s="445" t="e">
        <f t="shared" si="344"/>
        <v>#REF!</v>
      </c>
      <c r="Q431" s="542"/>
      <c r="R431" s="445" t="e">
        <f t="shared" si="345"/>
        <v>#REF!</v>
      </c>
      <c r="S431" s="542"/>
      <c r="T431" s="445" t="e">
        <f t="shared" si="346"/>
        <v>#REF!</v>
      </c>
      <c r="V431" s="581" t="e">
        <f>+'8,56'!$I$22</f>
        <v>#REF!</v>
      </c>
      <c r="W431" s="582" t="e">
        <f t="shared" si="347"/>
        <v>#REF!</v>
      </c>
      <c r="X431" s="581">
        <f>+'8,56'!$I$53</f>
        <v>83211.88</v>
      </c>
      <c r="Y431" s="582">
        <f t="shared" si="348"/>
        <v>0</v>
      </c>
      <c r="Z431" s="581">
        <f>+'8,56'!$I$33</f>
        <v>71882.659999999989</v>
      </c>
      <c r="AA431" s="582">
        <f t="shared" si="349"/>
        <v>0</v>
      </c>
      <c r="AB431" s="581">
        <f>+'8,56'!$I$44</f>
        <v>0</v>
      </c>
      <c r="AC431" s="582">
        <f t="shared" si="350"/>
        <v>0</v>
      </c>
      <c r="AE431" s="769" t="e">
        <f t="shared" si="351"/>
        <v>#REF!</v>
      </c>
    </row>
    <row r="432" spans="1:31" ht="38.25" hidden="1" customHeight="1" x14ac:dyDescent="0.2">
      <c r="A432" s="661" t="s">
        <v>1312</v>
      </c>
      <c r="B432" s="601" t="s">
        <v>1313</v>
      </c>
      <c r="C432" s="611" t="s">
        <v>110</v>
      </c>
      <c r="D432" s="576">
        <f t="shared" si="338"/>
        <v>0</v>
      </c>
      <c r="E432" s="577" t="e">
        <f t="shared" si="339"/>
        <v>#REF!</v>
      </c>
      <c r="F432" s="577" t="e">
        <f t="shared" si="340"/>
        <v>#REF!</v>
      </c>
      <c r="G432" s="578"/>
      <c r="I432" s="594"/>
      <c r="J432" s="580" t="e">
        <f t="shared" si="341"/>
        <v>#REF!</v>
      </c>
      <c r="K432" s="537"/>
      <c r="L432" s="445" t="e">
        <f t="shared" si="342"/>
        <v>#REF!</v>
      </c>
      <c r="M432" s="542"/>
      <c r="N432" s="445" t="e">
        <f t="shared" si="343"/>
        <v>#REF!</v>
      </c>
      <c r="O432" s="542"/>
      <c r="P432" s="445" t="e">
        <f t="shared" si="344"/>
        <v>#REF!</v>
      </c>
      <c r="Q432" s="542"/>
      <c r="R432" s="445" t="e">
        <f t="shared" si="345"/>
        <v>#REF!</v>
      </c>
      <c r="S432" s="542"/>
      <c r="T432" s="445" t="e">
        <f t="shared" si="346"/>
        <v>#REF!</v>
      </c>
      <c r="V432" s="581" t="e">
        <f>+'8,57'!$I$22</f>
        <v>#REF!</v>
      </c>
      <c r="W432" s="582" t="e">
        <f t="shared" si="347"/>
        <v>#REF!</v>
      </c>
      <c r="X432" s="581">
        <f>+'8,57'!$I$53</f>
        <v>83340.94</v>
      </c>
      <c r="Y432" s="582">
        <f t="shared" si="348"/>
        <v>0</v>
      </c>
      <c r="Z432" s="581">
        <f>+'8,57'!$I$33</f>
        <v>71882.659999999989</v>
      </c>
      <c r="AA432" s="582">
        <f t="shared" si="349"/>
        <v>0</v>
      </c>
      <c r="AB432" s="581">
        <f>+'8,57'!$I$44</f>
        <v>0</v>
      </c>
      <c r="AC432" s="582">
        <f t="shared" si="350"/>
        <v>0</v>
      </c>
      <c r="AE432" s="769" t="e">
        <f t="shared" si="351"/>
        <v>#REF!</v>
      </c>
    </row>
    <row r="433" spans="1:31" ht="38.25" hidden="1" customHeight="1" x14ac:dyDescent="0.2">
      <c r="A433" s="661" t="s">
        <v>1314</v>
      </c>
      <c r="B433" s="601" t="s">
        <v>1315</v>
      </c>
      <c r="C433" s="611" t="s">
        <v>110</v>
      </c>
      <c r="D433" s="576">
        <f t="shared" si="338"/>
        <v>0</v>
      </c>
      <c r="E433" s="577" t="e">
        <f t="shared" si="339"/>
        <v>#REF!</v>
      </c>
      <c r="F433" s="577" t="e">
        <f t="shared" si="340"/>
        <v>#REF!</v>
      </c>
      <c r="G433" s="578"/>
      <c r="I433" s="594"/>
      <c r="J433" s="580" t="e">
        <f t="shared" si="341"/>
        <v>#REF!</v>
      </c>
      <c r="K433" s="537"/>
      <c r="L433" s="445" t="e">
        <f t="shared" si="342"/>
        <v>#REF!</v>
      </c>
      <c r="M433" s="542"/>
      <c r="N433" s="445" t="e">
        <f t="shared" si="343"/>
        <v>#REF!</v>
      </c>
      <c r="O433" s="542"/>
      <c r="P433" s="445" t="e">
        <f t="shared" si="344"/>
        <v>#REF!</v>
      </c>
      <c r="Q433" s="542"/>
      <c r="R433" s="445" t="e">
        <f t="shared" si="345"/>
        <v>#REF!</v>
      </c>
      <c r="S433" s="542"/>
      <c r="T433" s="445" t="e">
        <f t="shared" si="346"/>
        <v>#REF!</v>
      </c>
      <c r="V433" s="581" t="e">
        <f>+'8,58'!$I$22</f>
        <v>#REF!</v>
      </c>
      <c r="W433" s="582" t="e">
        <f t="shared" si="347"/>
        <v>#REF!</v>
      </c>
      <c r="X433" s="581">
        <f>+'8,58'!$I$53</f>
        <v>83340.94</v>
      </c>
      <c r="Y433" s="582">
        <f t="shared" si="348"/>
        <v>0</v>
      </c>
      <c r="Z433" s="581">
        <f>+'8,58'!$I$33</f>
        <v>71882.659999999989</v>
      </c>
      <c r="AA433" s="582">
        <f t="shared" si="349"/>
        <v>0</v>
      </c>
      <c r="AB433" s="581">
        <f>+'8,58'!$I$44</f>
        <v>0</v>
      </c>
      <c r="AC433" s="582">
        <f t="shared" si="350"/>
        <v>0</v>
      </c>
      <c r="AE433" s="769" t="e">
        <f t="shared" si="351"/>
        <v>#REF!</v>
      </c>
    </row>
    <row r="434" spans="1:31" ht="39.950000000000003" customHeight="1" x14ac:dyDescent="0.2">
      <c r="A434" s="661" t="s">
        <v>1316</v>
      </c>
      <c r="B434" s="601" t="s">
        <v>1317</v>
      </c>
      <c r="C434" s="611" t="s">
        <v>110</v>
      </c>
      <c r="D434" s="576">
        <f t="shared" si="338"/>
        <v>2</v>
      </c>
      <c r="E434" s="577" t="e">
        <f t="shared" si="339"/>
        <v>#REF!</v>
      </c>
      <c r="F434" s="577" t="e">
        <f t="shared" si="340"/>
        <v>#REF!</v>
      </c>
      <c r="G434" s="578"/>
      <c r="I434" s="594"/>
      <c r="J434" s="580" t="e">
        <f t="shared" si="341"/>
        <v>#REF!</v>
      </c>
      <c r="K434" s="537"/>
      <c r="L434" s="445" t="e">
        <f t="shared" si="342"/>
        <v>#REF!</v>
      </c>
      <c r="M434" s="542"/>
      <c r="N434" s="445" t="e">
        <f t="shared" si="343"/>
        <v>#REF!</v>
      </c>
      <c r="O434" s="542"/>
      <c r="P434" s="445" t="e">
        <f t="shared" si="344"/>
        <v>#REF!</v>
      </c>
      <c r="Q434" s="542"/>
      <c r="R434" s="445" t="e">
        <f t="shared" si="345"/>
        <v>#REF!</v>
      </c>
      <c r="S434" s="542">
        <v>2</v>
      </c>
      <c r="T434" s="445" t="e">
        <f t="shared" si="346"/>
        <v>#REF!</v>
      </c>
      <c r="V434" s="581" t="e">
        <f>+#REF!</f>
        <v>#REF!</v>
      </c>
      <c r="W434" s="582" t="e">
        <f t="shared" si="347"/>
        <v>#REF!</v>
      </c>
      <c r="X434" s="581" t="e">
        <f>+#REF!</f>
        <v>#REF!</v>
      </c>
      <c r="Y434" s="582" t="e">
        <f t="shared" si="348"/>
        <v>#REF!</v>
      </c>
      <c r="Z434" s="581" t="e">
        <f>+#REF!</f>
        <v>#REF!</v>
      </c>
      <c r="AA434" s="582" t="e">
        <f t="shared" si="349"/>
        <v>#REF!</v>
      </c>
      <c r="AB434" s="581" t="e">
        <f>+#REF!</f>
        <v>#REF!</v>
      </c>
      <c r="AC434" s="582" t="e">
        <f t="shared" si="350"/>
        <v>#REF!</v>
      </c>
      <c r="AE434" s="769" t="e">
        <f t="shared" si="351"/>
        <v>#REF!</v>
      </c>
    </row>
    <row r="435" spans="1:31" ht="25.5" customHeight="1" x14ac:dyDescent="0.2">
      <c r="A435" s="661" t="s">
        <v>1318</v>
      </c>
      <c r="B435" s="601" t="s">
        <v>1319</v>
      </c>
      <c r="C435" s="611" t="s">
        <v>110</v>
      </c>
      <c r="D435" s="576">
        <f t="shared" si="338"/>
        <v>7</v>
      </c>
      <c r="E435" s="577" t="e">
        <f t="shared" si="339"/>
        <v>#REF!</v>
      </c>
      <c r="F435" s="577" t="e">
        <f t="shared" si="340"/>
        <v>#REF!</v>
      </c>
      <c r="G435" s="578"/>
      <c r="I435" s="594"/>
      <c r="J435" s="580" t="e">
        <f t="shared" si="341"/>
        <v>#REF!</v>
      </c>
      <c r="K435" s="537"/>
      <c r="L435" s="445" t="e">
        <f t="shared" si="342"/>
        <v>#REF!</v>
      </c>
      <c r="M435" s="542"/>
      <c r="N435" s="445" t="e">
        <f t="shared" si="343"/>
        <v>#REF!</v>
      </c>
      <c r="O435" s="542"/>
      <c r="P435" s="445" t="e">
        <f t="shared" si="344"/>
        <v>#REF!</v>
      </c>
      <c r="Q435" s="542"/>
      <c r="R435" s="445" t="e">
        <f t="shared" si="345"/>
        <v>#REF!</v>
      </c>
      <c r="S435" s="542">
        <v>7</v>
      </c>
      <c r="T435" s="445" t="e">
        <f t="shared" si="346"/>
        <v>#REF!</v>
      </c>
      <c r="V435" s="581" t="e">
        <f>+#REF!</f>
        <v>#REF!</v>
      </c>
      <c r="W435" s="582" t="e">
        <f t="shared" si="347"/>
        <v>#REF!</v>
      </c>
      <c r="X435" s="581" t="e">
        <f>+#REF!</f>
        <v>#REF!</v>
      </c>
      <c r="Y435" s="582" t="e">
        <f t="shared" si="348"/>
        <v>#REF!</v>
      </c>
      <c r="Z435" s="581" t="e">
        <f>+#REF!</f>
        <v>#REF!</v>
      </c>
      <c r="AA435" s="582" t="e">
        <f t="shared" si="349"/>
        <v>#REF!</v>
      </c>
      <c r="AB435" s="581" t="e">
        <f>+#REF!</f>
        <v>#REF!</v>
      </c>
      <c r="AC435" s="582" t="e">
        <f t="shared" si="350"/>
        <v>#REF!</v>
      </c>
      <c r="AE435" s="769" t="e">
        <f t="shared" si="351"/>
        <v>#REF!</v>
      </c>
    </row>
    <row r="436" spans="1:31" ht="25.5" hidden="1" customHeight="1" x14ac:dyDescent="0.2">
      <c r="A436" s="661" t="s">
        <v>1320</v>
      </c>
      <c r="B436" s="601" t="s">
        <v>1321</v>
      </c>
      <c r="C436" s="611" t="s">
        <v>110</v>
      </c>
      <c r="D436" s="576">
        <f t="shared" si="338"/>
        <v>0</v>
      </c>
      <c r="E436" s="577" t="e">
        <f t="shared" si="339"/>
        <v>#REF!</v>
      </c>
      <c r="F436" s="577" t="e">
        <f t="shared" si="340"/>
        <v>#REF!</v>
      </c>
      <c r="G436" s="578"/>
      <c r="I436" s="594"/>
      <c r="J436" s="580" t="e">
        <f t="shared" si="341"/>
        <v>#REF!</v>
      </c>
      <c r="K436" s="537"/>
      <c r="L436" s="445" t="e">
        <f t="shared" si="342"/>
        <v>#REF!</v>
      </c>
      <c r="M436" s="542"/>
      <c r="N436" s="445" t="e">
        <f t="shared" si="343"/>
        <v>#REF!</v>
      </c>
      <c r="O436" s="542"/>
      <c r="P436" s="445" t="e">
        <f t="shared" si="344"/>
        <v>#REF!</v>
      </c>
      <c r="Q436" s="542"/>
      <c r="R436" s="445" t="e">
        <f t="shared" si="345"/>
        <v>#REF!</v>
      </c>
      <c r="S436" s="542"/>
      <c r="T436" s="445" t="e">
        <f t="shared" si="346"/>
        <v>#REF!</v>
      </c>
      <c r="V436" s="581" t="e">
        <f>+'8,61'!$I$22</f>
        <v>#REF!</v>
      </c>
      <c r="W436" s="582" t="e">
        <f t="shared" si="347"/>
        <v>#REF!</v>
      </c>
      <c r="X436" s="581">
        <f>+'8,61'!$I$53</f>
        <v>193218.51</v>
      </c>
      <c r="Y436" s="582">
        <f t="shared" si="348"/>
        <v>0</v>
      </c>
      <c r="Z436" s="581">
        <f>+'8,61'!$I$33</f>
        <v>1883.25</v>
      </c>
      <c r="AA436" s="582">
        <f t="shared" si="349"/>
        <v>0</v>
      </c>
      <c r="AB436" s="581">
        <f>+'8,61'!$I$44</f>
        <v>0</v>
      </c>
      <c r="AC436" s="582">
        <f t="shared" si="350"/>
        <v>0</v>
      </c>
      <c r="AE436" s="769" t="e">
        <f t="shared" si="351"/>
        <v>#REF!</v>
      </c>
    </row>
    <row r="437" spans="1:31" ht="25.5" hidden="1" customHeight="1" x14ac:dyDescent="0.2">
      <c r="A437" s="661" t="s">
        <v>1322</v>
      </c>
      <c r="B437" s="601" t="s">
        <v>1323</v>
      </c>
      <c r="C437" s="611" t="s">
        <v>110</v>
      </c>
      <c r="D437" s="576">
        <f t="shared" si="338"/>
        <v>0</v>
      </c>
      <c r="E437" s="577" t="e">
        <f t="shared" si="339"/>
        <v>#REF!</v>
      </c>
      <c r="F437" s="577" t="e">
        <f t="shared" si="340"/>
        <v>#REF!</v>
      </c>
      <c r="G437" s="578"/>
      <c r="I437" s="594"/>
      <c r="J437" s="580" t="e">
        <f t="shared" si="341"/>
        <v>#REF!</v>
      </c>
      <c r="K437" s="537"/>
      <c r="L437" s="445" t="e">
        <f t="shared" si="342"/>
        <v>#REF!</v>
      </c>
      <c r="M437" s="542"/>
      <c r="N437" s="445" t="e">
        <f t="shared" si="343"/>
        <v>#REF!</v>
      </c>
      <c r="O437" s="542"/>
      <c r="P437" s="445" t="e">
        <f t="shared" si="344"/>
        <v>#REF!</v>
      </c>
      <c r="Q437" s="542"/>
      <c r="R437" s="445" t="e">
        <f t="shared" si="345"/>
        <v>#REF!</v>
      </c>
      <c r="S437" s="542"/>
      <c r="T437" s="445" t="e">
        <f t="shared" si="346"/>
        <v>#REF!</v>
      </c>
      <c r="V437" s="581" t="e">
        <f>+'8,62'!$I$22</f>
        <v>#REF!</v>
      </c>
      <c r="W437" s="582" t="e">
        <f t="shared" si="347"/>
        <v>#REF!</v>
      </c>
      <c r="X437" s="581">
        <f>+'8,62'!$I$53</f>
        <v>289476.46000000002</v>
      </c>
      <c r="Y437" s="582">
        <f t="shared" si="348"/>
        <v>0</v>
      </c>
      <c r="Z437" s="581">
        <f>+'8,62'!$I$33</f>
        <v>1883.25</v>
      </c>
      <c r="AA437" s="582">
        <f t="shared" si="349"/>
        <v>0</v>
      </c>
      <c r="AB437" s="581">
        <f>+'8,62'!$I$44</f>
        <v>0</v>
      </c>
      <c r="AC437" s="582">
        <f t="shared" si="350"/>
        <v>0</v>
      </c>
      <c r="AE437" s="769" t="e">
        <f t="shared" si="351"/>
        <v>#REF!</v>
      </c>
    </row>
    <row r="438" spans="1:31" ht="39.950000000000003" customHeight="1" x14ac:dyDescent="0.2">
      <c r="A438" s="661" t="s">
        <v>1324</v>
      </c>
      <c r="B438" s="601" t="s">
        <v>1325</v>
      </c>
      <c r="C438" s="611" t="s">
        <v>110</v>
      </c>
      <c r="D438" s="576">
        <f t="shared" si="338"/>
        <v>1</v>
      </c>
      <c r="E438" s="577" t="e">
        <f t="shared" si="339"/>
        <v>#REF!</v>
      </c>
      <c r="F438" s="577" t="e">
        <f t="shared" si="340"/>
        <v>#REF!</v>
      </c>
      <c r="G438" s="578"/>
      <c r="I438" s="594"/>
      <c r="J438" s="580" t="e">
        <f t="shared" si="341"/>
        <v>#REF!</v>
      </c>
      <c r="K438" s="537"/>
      <c r="L438" s="445" t="e">
        <f t="shared" si="342"/>
        <v>#REF!</v>
      </c>
      <c r="M438" s="542"/>
      <c r="N438" s="445" t="e">
        <f t="shared" si="343"/>
        <v>#REF!</v>
      </c>
      <c r="O438" s="542"/>
      <c r="P438" s="445" t="e">
        <f t="shared" si="344"/>
        <v>#REF!</v>
      </c>
      <c r="Q438" s="542"/>
      <c r="R438" s="445" t="e">
        <f t="shared" si="345"/>
        <v>#REF!</v>
      </c>
      <c r="S438" s="542">
        <v>1</v>
      </c>
      <c r="T438" s="445" t="e">
        <f t="shared" si="346"/>
        <v>#REF!</v>
      </c>
      <c r="V438" s="581" t="e">
        <f>+#REF!</f>
        <v>#REF!</v>
      </c>
      <c r="W438" s="582" t="e">
        <f t="shared" si="347"/>
        <v>#REF!</v>
      </c>
      <c r="X438" s="581" t="e">
        <f>+#REF!</f>
        <v>#REF!</v>
      </c>
      <c r="Y438" s="582" t="e">
        <f t="shared" si="348"/>
        <v>#REF!</v>
      </c>
      <c r="Z438" s="581" t="e">
        <f>+#REF!</f>
        <v>#REF!</v>
      </c>
      <c r="AA438" s="582" t="e">
        <f t="shared" si="349"/>
        <v>#REF!</v>
      </c>
      <c r="AB438" s="581" t="e">
        <f>+#REF!</f>
        <v>#REF!</v>
      </c>
      <c r="AC438" s="582" t="e">
        <f t="shared" si="350"/>
        <v>#REF!</v>
      </c>
      <c r="AE438" s="769" t="e">
        <f t="shared" si="351"/>
        <v>#REF!</v>
      </c>
    </row>
    <row r="439" spans="1:31" ht="25.5" hidden="1" customHeight="1" x14ac:dyDescent="0.2">
      <c r="A439" s="661" t="s">
        <v>1326</v>
      </c>
      <c r="B439" s="601" t="s">
        <v>1327</v>
      </c>
      <c r="C439" s="611" t="s">
        <v>110</v>
      </c>
      <c r="D439" s="576">
        <f t="shared" si="338"/>
        <v>0</v>
      </c>
      <c r="E439" s="577" t="e">
        <f t="shared" si="339"/>
        <v>#REF!</v>
      </c>
      <c r="F439" s="577" t="e">
        <f t="shared" si="340"/>
        <v>#REF!</v>
      </c>
      <c r="G439" s="578"/>
      <c r="I439" s="594"/>
      <c r="J439" s="580" t="e">
        <f t="shared" si="341"/>
        <v>#REF!</v>
      </c>
      <c r="K439" s="537"/>
      <c r="L439" s="445" t="e">
        <f t="shared" si="342"/>
        <v>#REF!</v>
      </c>
      <c r="M439" s="542"/>
      <c r="N439" s="445" t="e">
        <f t="shared" si="343"/>
        <v>#REF!</v>
      </c>
      <c r="O439" s="542"/>
      <c r="P439" s="445" t="e">
        <f t="shared" si="344"/>
        <v>#REF!</v>
      </c>
      <c r="Q439" s="542"/>
      <c r="R439" s="445" t="e">
        <f t="shared" si="345"/>
        <v>#REF!</v>
      </c>
      <c r="S439" s="542"/>
      <c r="T439" s="445" t="e">
        <f t="shared" si="346"/>
        <v>#REF!</v>
      </c>
      <c r="V439" s="581" t="e">
        <f>+'8,64'!$I$22</f>
        <v>#REF!</v>
      </c>
      <c r="W439" s="582" t="e">
        <f t="shared" si="347"/>
        <v>#REF!</v>
      </c>
      <c r="X439" s="581">
        <f>+'8,64'!$I$53</f>
        <v>96570.19</v>
      </c>
      <c r="Y439" s="582">
        <f t="shared" si="348"/>
        <v>0</v>
      </c>
      <c r="Z439" s="581">
        <f>+'8,64'!$I$33</f>
        <v>78345.41</v>
      </c>
      <c r="AA439" s="582">
        <f t="shared" si="349"/>
        <v>0</v>
      </c>
      <c r="AB439" s="581">
        <f>+'8,64'!$I$44</f>
        <v>0</v>
      </c>
      <c r="AC439" s="582">
        <f t="shared" si="350"/>
        <v>0</v>
      </c>
      <c r="AE439" s="769" t="e">
        <f t="shared" si="351"/>
        <v>#REF!</v>
      </c>
    </row>
    <row r="440" spans="1:31" ht="25.5" hidden="1" customHeight="1" x14ac:dyDescent="0.2">
      <c r="A440" s="661" t="s">
        <v>1328</v>
      </c>
      <c r="B440" s="601" t="s">
        <v>1329</v>
      </c>
      <c r="C440" s="611" t="s">
        <v>110</v>
      </c>
      <c r="D440" s="576">
        <f t="shared" ref="D440:D467" si="352">+I440+K440+M440+O440+Q440+S440</f>
        <v>0</v>
      </c>
      <c r="E440" s="577" t="e">
        <f t="shared" ref="E440:E467" si="353">V440+X440+Z440+AB440</f>
        <v>#REF!</v>
      </c>
      <c r="F440" s="577" t="e">
        <f t="shared" ref="F440:F467" si="354">ROUND(D440*E440,10)</f>
        <v>#REF!</v>
      </c>
      <c r="G440" s="578"/>
      <c r="I440" s="594"/>
      <c r="J440" s="580" t="e">
        <f t="shared" si="341"/>
        <v>#REF!</v>
      </c>
      <c r="K440" s="537"/>
      <c r="L440" s="445" t="e">
        <f t="shared" si="342"/>
        <v>#REF!</v>
      </c>
      <c r="M440" s="542"/>
      <c r="N440" s="445" t="e">
        <f t="shared" si="343"/>
        <v>#REF!</v>
      </c>
      <c r="O440" s="542"/>
      <c r="P440" s="445" t="e">
        <f t="shared" si="344"/>
        <v>#REF!</v>
      </c>
      <c r="Q440" s="542"/>
      <c r="R440" s="445" t="e">
        <f t="shared" si="345"/>
        <v>#REF!</v>
      </c>
      <c r="S440" s="542"/>
      <c r="T440" s="445" t="e">
        <f t="shared" si="346"/>
        <v>#REF!</v>
      </c>
      <c r="V440" s="581" t="e">
        <f>+'8,65'!$I$22</f>
        <v>#REF!</v>
      </c>
      <c r="W440" s="582" t="e">
        <f t="shared" si="347"/>
        <v>#REF!</v>
      </c>
      <c r="X440" s="581">
        <f>+'8,65'!$I$53</f>
        <v>96570.19</v>
      </c>
      <c r="Y440" s="582">
        <f t="shared" si="348"/>
        <v>0</v>
      </c>
      <c r="Z440" s="581">
        <f>+'8,65'!$I$33</f>
        <v>78345.41</v>
      </c>
      <c r="AA440" s="582">
        <f t="shared" si="349"/>
        <v>0</v>
      </c>
      <c r="AB440" s="581">
        <f>+'8,65'!$I$44</f>
        <v>0</v>
      </c>
      <c r="AC440" s="582">
        <f t="shared" si="350"/>
        <v>0</v>
      </c>
      <c r="AE440" s="769" t="e">
        <f t="shared" si="351"/>
        <v>#REF!</v>
      </c>
    </row>
    <row r="441" spans="1:31" ht="25.5" hidden="1" customHeight="1" x14ac:dyDescent="0.2">
      <c r="A441" s="661" t="s">
        <v>1330</v>
      </c>
      <c r="B441" s="601" t="s">
        <v>1331</v>
      </c>
      <c r="C441" s="611" t="s">
        <v>110</v>
      </c>
      <c r="D441" s="576">
        <f t="shared" si="352"/>
        <v>0</v>
      </c>
      <c r="E441" s="577" t="e">
        <f t="shared" si="353"/>
        <v>#REF!</v>
      </c>
      <c r="F441" s="577" t="e">
        <f t="shared" si="354"/>
        <v>#REF!</v>
      </c>
      <c r="G441" s="578"/>
      <c r="I441" s="594"/>
      <c r="J441" s="580" t="e">
        <f t="shared" ref="J441:J467" si="355">+ROUND(E441*I441,10)</f>
        <v>#REF!</v>
      </c>
      <c r="K441" s="537"/>
      <c r="L441" s="445" t="e">
        <f t="shared" ref="L441:L467" si="356">+ROUND(E441*K441,10)</f>
        <v>#REF!</v>
      </c>
      <c r="M441" s="542"/>
      <c r="N441" s="445" t="e">
        <f t="shared" ref="N441:N467" si="357">+ROUND(E441*M441,10)</f>
        <v>#REF!</v>
      </c>
      <c r="O441" s="542"/>
      <c r="P441" s="445" t="e">
        <f t="shared" ref="P441:P467" si="358">+ROUND(E441*O441,10)</f>
        <v>#REF!</v>
      </c>
      <c r="Q441" s="542"/>
      <c r="R441" s="445" t="e">
        <f t="shared" ref="R441:R467" si="359">+ROUND(E441*Q441,10)</f>
        <v>#REF!</v>
      </c>
      <c r="S441" s="542"/>
      <c r="T441" s="445" t="e">
        <f t="shared" ref="T441:T467" si="360">+ROUND(E441*S441,10)</f>
        <v>#REF!</v>
      </c>
      <c r="V441" s="581" t="e">
        <f>+'8,66'!$I$22</f>
        <v>#REF!</v>
      </c>
      <c r="W441" s="582" t="e">
        <f t="shared" ref="W441:W467" si="361">ROUND(V441*$D441,10)</f>
        <v>#REF!</v>
      </c>
      <c r="X441" s="581">
        <f>+'8,66'!$I$53</f>
        <v>96570.19</v>
      </c>
      <c r="Y441" s="582">
        <f t="shared" si="348"/>
        <v>0</v>
      </c>
      <c r="Z441" s="581">
        <f>+'8,66'!$I$33</f>
        <v>78345.41</v>
      </c>
      <c r="AA441" s="582">
        <f t="shared" si="349"/>
        <v>0</v>
      </c>
      <c r="AB441" s="581">
        <f>+'8,66'!$I$44</f>
        <v>0</v>
      </c>
      <c r="AC441" s="582">
        <f t="shared" si="350"/>
        <v>0</v>
      </c>
      <c r="AE441" s="769" t="e">
        <f t="shared" si="351"/>
        <v>#REF!</v>
      </c>
    </row>
    <row r="442" spans="1:31" ht="42.75" hidden="1" customHeight="1" x14ac:dyDescent="0.2">
      <c r="A442" s="661" t="s">
        <v>1332</v>
      </c>
      <c r="B442" s="601" t="s">
        <v>1333</v>
      </c>
      <c r="C442" s="611" t="s">
        <v>110</v>
      </c>
      <c r="D442" s="576">
        <f t="shared" si="352"/>
        <v>0</v>
      </c>
      <c r="E442" s="577" t="e">
        <f t="shared" si="353"/>
        <v>#REF!</v>
      </c>
      <c r="F442" s="577" t="e">
        <f t="shared" si="354"/>
        <v>#REF!</v>
      </c>
      <c r="G442" s="578"/>
      <c r="I442" s="594"/>
      <c r="J442" s="580" t="e">
        <f t="shared" si="355"/>
        <v>#REF!</v>
      </c>
      <c r="K442" s="537"/>
      <c r="L442" s="445" t="e">
        <f t="shared" si="356"/>
        <v>#REF!</v>
      </c>
      <c r="M442" s="542"/>
      <c r="N442" s="445" t="e">
        <f t="shared" si="357"/>
        <v>#REF!</v>
      </c>
      <c r="O442" s="542"/>
      <c r="P442" s="445" t="e">
        <f t="shared" si="358"/>
        <v>#REF!</v>
      </c>
      <c r="Q442" s="542"/>
      <c r="R442" s="445" t="e">
        <f t="shared" si="359"/>
        <v>#REF!</v>
      </c>
      <c r="S442" s="542"/>
      <c r="T442" s="445" t="e">
        <f t="shared" si="360"/>
        <v>#REF!</v>
      </c>
      <c r="V442" s="581" t="e">
        <f>+'8,67'!$I$22</f>
        <v>#REF!</v>
      </c>
      <c r="W442" s="582" t="e">
        <f t="shared" si="361"/>
        <v>#REF!</v>
      </c>
      <c r="X442" s="581">
        <f>+'8,67'!$I$53</f>
        <v>133417.92000000001</v>
      </c>
      <c r="Y442" s="582">
        <f t="shared" ref="Y442:Y467" si="362">ROUND(X442*$D442,10)</f>
        <v>0</v>
      </c>
      <c r="Z442" s="581">
        <f>+'8,67'!$I$33</f>
        <v>74203.710000000006</v>
      </c>
      <c r="AA442" s="582">
        <f t="shared" ref="AA442:AA467" si="363">ROUND(Z442*$D442,10)</f>
        <v>0</v>
      </c>
      <c r="AB442" s="581">
        <f>+'8,67'!$I$44</f>
        <v>0</v>
      </c>
      <c r="AC442" s="582">
        <f t="shared" ref="AC442:AC467" si="364">ROUND(AB442*$D442,10)</f>
        <v>0</v>
      </c>
      <c r="AE442" s="769" t="e">
        <f t="shared" si="351"/>
        <v>#REF!</v>
      </c>
    </row>
    <row r="443" spans="1:31" ht="38.25" x14ac:dyDescent="0.2">
      <c r="A443" s="661" t="s">
        <v>1334</v>
      </c>
      <c r="B443" s="601" t="s">
        <v>1335</v>
      </c>
      <c r="C443" s="611" t="s">
        <v>110</v>
      </c>
      <c r="D443" s="576">
        <f t="shared" si="352"/>
        <v>1</v>
      </c>
      <c r="E443" s="577" t="e">
        <f t="shared" si="353"/>
        <v>#REF!</v>
      </c>
      <c r="F443" s="577" t="e">
        <f t="shared" si="354"/>
        <v>#REF!</v>
      </c>
      <c r="G443" s="578"/>
      <c r="I443" s="594"/>
      <c r="J443" s="580" t="e">
        <f t="shared" si="355"/>
        <v>#REF!</v>
      </c>
      <c r="K443" s="537"/>
      <c r="L443" s="445" t="e">
        <f t="shared" si="356"/>
        <v>#REF!</v>
      </c>
      <c r="M443" s="542"/>
      <c r="N443" s="445" t="e">
        <f t="shared" si="357"/>
        <v>#REF!</v>
      </c>
      <c r="O443" s="542"/>
      <c r="P443" s="445" t="e">
        <f t="shared" si="358"/>
        <v>#REF!</v>
      </c>
      <c r="Q443" s="542"/>
      <c r="R443" s="445" t="e">
        <f t="shared" si="359"/>
        <v>#REF!</v>
      </c>
      <c r="S443" s="542">
        <v>1</v>
      </c>
      <c r="T443" s="445" t="e">
        <f t="shared" si="360"/>
        <v>#REF!</v>
      </c>
      <c r="V443" s="581" t="e">
        <f>+#REF!</f>
        <v>#REF!</v>
      </c>
      <c r="W443" s="582" t="e">
        <f t="shared" si="361"/>
        <v>#REF!</v>
      </c>
      <c r="X443" s="581" t="e">
        <f>+#REF!</f>
        <v>#REF!</v>
      </c>
      <c r="Y443" s="582" t="e">
        <f t="shared" si="362"/>
        <v>#REF!</v>
      </c>
      <c r="Z443" s="581" t="e">
        <f>+#REF!</f>
        <v>#REF!</v>
      </c>
      <c r="AA443" s="582" t="e">
        <f t="shared" si="363"/>
        <v>#REF!</v>
      </c>
      <c r="AB443" s="581" t="e">
        <f>+#REF!</f>
        <v>#REF!</v>
      </c>
      <c r="AC443" s="582" t="e">
        <f t="shared" si="364"/>
        <v>#REF!</v>
      </c>
      <c r="AE443" s="769" t="e">
        <f t="shared" si="351"/>
        <v>#REF!</v>
      </c>
    </row>
    <row r="444" spans="1:31" ht="38.25" hidden="1" customHeight="1" x14ac:dyDescent="0.2">
      <c r="A444" s="661" t="s">
        <v>1336</v>
      </c>
      <c r="B444" s="601" t="s">
        <v>1337</v>
      </c>
      <c r="C444" s="611" t="s">
        <v>110</v>
      </c>
      <c r="D444" s="576">
        <f t="shared" si="352"/>
        <v>0</v>
      </c>
      <c r="E444" s="577" t="e">
        <f t="shared" si="353"/>
        <v>#REF!</v>
      </c>
      <c r="F444" s="577" t="e">
        <f t="shared" si="354"/>
        <v>#REF!</v>
      </c>
      <c r="G444" s="578"/>
      <c r="I444" s="594"/>
      <c r="J444" s="580" t="e">
        <f t="shared" si="355"/>
        <v>#REF!</v>
      </c>
      <c r="K444" s="537"/>
      <c r="L444" s="445" t="e">
        <f t="shared" si="356"/>
        <v>#REF!</v>
      </c>
      <c r="M444" s="542"/>
      <c r="N444" s="445" t="e">
        <f t="shared" si="357"/>
        <v>#REF!</v>
      </c>
      <c r="O444" s="542"/>
      <c r="P444" s="445" t="e">
        <f t="shared" si="358"/>
        <v>#REF!</v>
      </c>
      <c r="Q444" s="542"/>
      <c r="R444" s="445" t="e">
        <f t="shared" si="359"/>
        <v>#REF!</v>
      </c>
      <c r="S444" s="542"/>
      <c r="T444" s="445" t="e">
        <f t="shared" si="360"/>
        <v>#REF!</v>
      </c>
      <c r="V444" s="581" t="e">
        <f>+'8,69'!$I$22</f>
        <v>#REF!</v>
      </c>
      <c r="W444" s="582" t="e">
        <f t="shared" si="361"/>
        <v>#REF!</v>
      </c>
      <c r="X444" s="581">
        <f>+'8,69'!$I$53</f>
        <v>133417.92000000001</v>
      </c>
      <c r="Y444" s="582">
        <f t="shared" si="362"/>
        <v>0</v>
      </c>
      <c r="Z444" s="581">
        <f>+'8,69'!$I$33</f>
        <v>74203.710000000006</v>
      </c>
      <c r="AA444" s="582">
        <f t="shared" si="363"/>
        <v>0</v>
      </c>
      <c r="AB444" s="581">
        <f>+'8,69'!$I$44</f>
        <v>0</v>
      </c>
      <c r="AC444" s="582">
        <f t="shared" si="364"/>
        <v>0</v>
      </c>
      <c r="AE444" s="769" t="e">
        <f t="shared" si="351"/>
        <v>#REF!</v>
      </c>
    </row>
    <row r="445" spans="1:31" ht="38.25" hidden="1" customHeight="1" x14ac:dyDescent="0.2">
      <c r="A445" s="661" t="s">
        <v>1338</v>
      </c>
      <c r="B445" s="601" t="s">
        <v>1339</v>
      </c>
      <c r="C445" s="611" t="s">
        <v>110</v>
      </c>
      <c r="D445" s="576">
        <f t="shared" si="352"/>
        <v>0</v>
      </c>
      <c r="E445" s="577" t="e">
        <f t="shared" si="353"/>
        <v>#REF!</v>
      </c>
      <c r="F445" s="577" t="e">
        <f t="shared" si="354"/>
        <v>#REF!</v>
      </c>
      <c r="G445" s="578"/>
      <c r="I445" s="594"/>
      <c r="J445" s="580" t="e">
        <f t="shared" si="355"/>
        <v>#REF!</v>
      </c>
      <c r="K445" s="537"/>
      <c r="L445" s="445" t="e">
        <f t="shared" si="356"/>
        <v>#REF!</v>
      </c>
      <c r="M445" s="542"/>
      <c r="N445" s="445" t="e">
        <f t="shared" si="357"/>
        <v>#REF!</v>
      </c>
      <c r="O445" s="542"/>
      <c r="P445" s="445" t="e">
        <f t="shared" si="358"/>
        <v>#REF!</v>
      </c>
      <c r="Q445" s="542"/>
      <c r="R445" s="445" t="e">
        <f t="shared" si="359"/>
        <v>#REF!</v>
      </c>
      <c r="S445" s="542"/>
      <c r="T445" s="445" t="e">
        <f t="shared" si="360"/>
        <v>#REF!</v>
      </c>
      <c r="V445" s="581" t="e">
        <f>+'8,70'!$I$22</f>
        <v>#REF!</v>
      </c>
      <c r="W445" s="582" t="e">
        <f t="shared" si="361"/>
        <v>#REF!</v>
      </c>
      <c r="X445" s="581">
        <f>+'8,70'!$I$53</f>
        <v>133417.92000000001</v>
      </c>
      <c r="Y445" s="582">
        <f t="shared" si="362"/>
        <v>0</v>
      </c>
      <c r="Z445" s="581">
        <f>+'8,70'!$I$33</f>
        <v>74203.710000000006</v>
      </c>
      <c r="AA445" s="582">
        <f t="shared" si="363"/>
        <v>0</v>
      </c>
      <c r="AB445" s="581">
        <f>+'8,70'!$I$44</f>
        <v>0</v>
      </c>
      <c r="AC445" s="582">
        <f t="shared" si="364"/>
        <v>0</v>
      </c>
      <c r="AE445" s="769" t="e">
        <f t="shared" si="351"/>
        <v>#REF!</v>
      </c>
    </row>
    <row r="446" spans="1:31" ht="51" hidden="1" customHeight="1" x14ac:dyDescent="0.2">
      <c r="A446" s="661" t="s">
        <v>1340</v>
      </c>
      <c r="B446" s="601" t="s">
        <v>1341</v>
      </c>
      <c r="C446" s="611" t="s">
        <v>110</v>
      </c>
      <c r="D446" s="576">
        <f t="shared" si="352"/>
        <v>0</v>
      </c>
      <c r="E446" s="577" t="e">
        <f t="shared" si="353"/>
        <v>#REF!</v>
      </c>
      <c r="F446" s="577" t="e">
        <f t="shared" si="354"/>
        <v>#REF!</v>
      </c>
      <c r="G446" s="578"/>
      <c r="I446" s="594"/>
      <c r="J446" s="580" t="e">
        <f t="shared" si="355"/>
        <v>#REF!</v>
      </c>
      <c r="K446" s="537"/>
      <c r="L446" s="445" t="e">
        <f t="shared" si="356"/>
        <v>#REF!</v>
      </c>
      <c r="M446" s="542"/>
      <c r="N446" s="445" t="e">
        <f t="shared" si="357"/>
        <v>#REF!</v>
      </c>
      <c r="O446" s="542"/>
      <c r="P446" s="445" t="e">
        <f t="shared" si="358"/>
        <v>#REF!</v>
      </c>
      <c r="Q446" s="542"/>
      <c r="R446" s="445" t="e">
        <f t="shared" si="359"/>
        <v>#REF!</v>
      </c>
      <c r="S446" s="542"/>
      <c r="T446" s="445" t="e">
        <f t="shared" si="360"/>
        <v>#REF!</v>
      </c>
      <c r="V446" s="581" t="e">
        <f>+'8,71'!$I$22</f>
        <v>#REF!</v>
      </c>
      <c r="W446" s="582" t="e">
        <f t="shared" si="361"/>
        <v>#REF!</v>
      </c>
      <c r="X446" s="581">
        <f>+'8,71'!$I$53</f>
        <v>133417.92000000001</v>
      </c>
      <c r="Y446" s="582">
        <f t="shared" si="362"/>
        <v>0</v>
      </c>
      <c r="Z446" s="581">
        <f>+'8,71'!$I$33</f>
        <v>15458.33</v>
      </c>
      <c r="AA446" s="582">
        <f t="shared" si="363"/>
        <v>0</v>
      </c>
      <c r="AB446" s="581">
        <f>+'8,71'!$I$44</f>
        <v>0</v>
      </c>
      <c r="AC446" s="582">
        <f t="shared" si="364"/>
        <v>0</v>
      </c>
      <c r="AE446" s="769" t="e">
        <f t="shared" si="351"/>
        <v>#REF!</v>
      </c>
    </row>
    <row r="447" spans="1:31" ht="51" hidden="1" customHeight="1" x14ac:dyDescent="0.2">
      <c r="A447" s="661" t="s">
        <v>1342</v>
      </c>
      <c r="B447" s="601" t="s">
        <v>1343</v>
      </c>
      <c r="C447" s="611" t="s">
        <v>110</v>
      </c>
      <c r="D447" s="576">
        <f t="shared" si="352"/>
        <v>0</v>
      </c>
      <c r="E447" s="577" t="e">
        <f t="shared" si="353"/>
        <v>#REF!</v>
      </c>
      <c r="F447" s="577" t="e">
        <f t="shared" si="354"/>
        <v>#REF!</v>
      </c>
      <c r="G447" s="578"/>
      <c r="I447" s="594"/>
      <c r="J447" s="580" t="e">
        <f t="shared" si="355"/>
        <v>#REF!</v>
      </c>
      <c r="K447" s="537"/>
      <c r="L447" s="445" t="e">
        <f t="shared" si="356"/>
        <v>#REF!</v>
      </c>
      <c r="M447" s="542"/>
      <c r="N447" s="445" t="e">
        <f t="shared" si="357"/>
        <v>#REF!</v>
      </c>
      <c r="O447" s="542"/>
      <c r="P447" s="445" t="e">
        <f t="shared" si="358"/>
        <v>#REF!</v>
      </c>
      <c r="Q447" s="542"/>
      <c r="R447" s="445" t="e">
        <f t="shared" si="359"/>
        <v>#REF!</v>
      </c>
      <c r="S447" s="542"/>
      <c r="T447" s="445" t="e">
        <f t="shared" si="360"/>
        <v>#REF!</v>
      </c>
      <c r="V447" s="581" t="e">
        <f>+'8,72'!$I$22</f>
        <v>#REF!</v>
      </c>
      <c r="W447" s="582" t="e">
        <f t="shared" si="361"/>
        <v>#REF!</v>
      </c>
      <c r="X447" s="581">
        <f>+'8,72'!$I$53</f>
        <v>133417.92000000001</v>
      </c>
      <c r="Y447" s="582">
        <f t="shared" si="362"/>
        <v>0</v>
      </c>
      <c r="Z447" s="581">
        <f>+'8,72'!$I$33</f>
        <v>15458.33</v>
      </c>
      <c r="AA447" s="582">
        <f t="shared" si="363"/>
        <v>0</v>
      </c>
      <c r="AB447" s="581">
        <f>+'8,72'!$I$44</f>
        <v>0</v>
      </c>
      <c r="AC447" s="582">
        <f t="shared" si="364"/>
        <v>0</v>
      </c>
      <c r="AE447" s="769" t="e">
        <f t="shared" si="351"/>
        <v>#REF!</v>
      </c>
    </row>
    <row r="448" spans="1:31" ht="51" hidden="1" customHeight="1" x14ac:dyDescent="0.2">
      <c r="A448" s="661" t="s">
        <v>1344</v>
      </c>
      <c r="B448" s="601" t="s">
        <v>1345</v>
      </c>
      <c r="C448" s="611" t="s">
        <v>110</v>
      </c>
      <c r="D448" s="576">
        <f t="shared" si="352"/>
        <v>0</v>
      </c>
      <c r="E448" s="577" t="e">
        <f t="shared" si="353"/>
        <v>#REF!</v>
      </c>
      <c r="F448" s="577" t="e">
        <f t="shared" si="354"/>
        <v>#REF!</v>
      </c>
      <c r="G448" s="578"/>
      <c r="I448" s="594"/>
      <c r="J448" s="580" t="e">
        <f t="shared" si="355"/>
        <v>#REF!</v>
      </c>
      <c r="K448" s="537"/>
      <c r="L448" s="445" t="e">
        <f t="shared" si="356"/>
        <v>#REF!</v>
      </c>
      <c r="M448" s="542"/>
      <c r="N448" s="445" t="e">
        <f t="shared" si="357"/>
        <v>#REF!</v>
      </c>
      <c r="O448" s="542"/>
      <c r="P448" s="445" t="e">
        <f t="shared" si="358"/>
        <v>#REF!</v>
      </c>
      <c r="Q448" s="542"/>
      <c r="R448" s="445" t="e">
        <f t="shared" si="359"/>
        <v>#REF!</v>
      </c>
      <c r="S448" s="542"/>
      <c r="T448" s="445" t="e">
        <f t="shared" si="360"/>
        <v>#REF!</v>
      </c>
      <c r="V448" s="581" t="e">
        <f>+'8,73'!$I$22</f>
        <v>#REF!</v>
      </c>
      <c r="W448" s="582" t="e">
        <f t="shared" si="361"/>
        <v>#REF!</v>
      </c>
      <c r="X448" s="581">
        <f>+'8,73'!$I$53</f>
        <v>133417.92000000001</v>
      </c>
      <c r="Y448" s="582">
        <f t="shared" si="362"/>
        <v>0</v>
      </c>
      <c r="Z448" s="581">
        <f>+'8,73'!$I$33</f>
        <v>15458.33</v>
      </c>
      <c r="AA448" s="582">
        <f t="shared" si="363"/>
        <v>0</v>
      </c>
      <c r="AB448" s="581">
        <f>+'8,73'!$I$44</f>
        <v>0</v>
      </c>
      <c r="AC448" s="582">
        <f t="shared" si="364"/>
        <v>0</v>
      </c>
      <c r="AE448" s="769" t="e">
        <f t="shared" si="351"/>
        <v>#REF!</v>
      </c>
    </row>
    <row r="449" spans="1:31" ht="38.25" x14ac:dyDescent="0.2">
      <c r="A449" s="661" t="s">
        <v>1346</v>
      </c>
      <c r="B449" s="601" t="s">
        <v>1347</v>
      </c>
      <c r="C449" s="611" t="s">
        <v>110</v>
      </c>
      <c r="D449" s="576">
        <f t="shared" si="352"/>
        <v>1</v>
      </c>
      <c r="E449" s="577" t="e">
        <f t="shared" si="353"/>
        <v>#REF!</v>
      </c>
      <c r="F449" s="577" t="e">
        <f t="shared" si="354"/>
        <v>#REF!</v>
      </c>
      <c r="G449" s="578"/>
      <c r="I449" s="594"/>
      <c r="J449" s="580" t="e">
        <f t="shared" si="355"/>
        <v>#REF!</v>
      </c>
      <c r="K449" s="537"/>
      <c r="L449" s="445" t="e">
        <f t="shared" si="356"/>
        <v>#REF!</v>
      </c>
      <c r="M449" s="542"/>
      <c r="N449" s="445" t="e">
        <f t="shared" si="357"/>
        <v>#REF!</v>
      </c>
      <c r="O449" s="542"/>
      <c r="P449" s="445" t="e">
        <f t="shared" si="358"/>
        <v>#REF!</v>
      </c>
      <c r="Q449" s="542"/>
      <c r="R449" s="445" t="e">
        <f t="shared" si="359"/>
        <v>#REF!</v>
      </c>
      <c r="S449" s="542">
        <v>1</v>
      </c>
      <c r="T449" s="445" t="e">
        <f t="shared" si="360"/>
        <v>#REF!</v>
      </c>
      <c r="V449" s="581" t="e">
        <f>+#REF!</f>
        <v>#REF!</v>
      </c>
      <c r="W449" s="582" t="e">
        <f t="shared" si="361"/>
        <v>#REF!</v>
      </c>
      <c r="X449" s="581" t="e">
        <f>+#REF!</f>
        <v>#REF!</v>
      </c>
      <c r="Y449" s="582" t="e">
        <f t="shared" si="362"/>
        <v>#REF!</v>
      </c>
      <c r="Z449" s="581" t="e">
        <f>+#REF!</f>
        <v>#REF!</v>
      </c>
      <c r="AA449" s="582" t="e">
        <f t="shared" si="363"/>
        <v>#REF!</v>
      </c>
      <c r="AB449" s="581" t="e">
        <f>+#REF!</f>
        <v>#REF!</v>
      </c>
      <c r="AC449" s="582" t="e">
        <f t="shared" si="364"/>
        <v>#REF!</v>
      </c>
      <c r="AE449" s="769" t="e">
        <f t="shared" si="351"/>
        <v>#REF!</v>
      </c>
    </row>
    <row r="450" spans="1:31" ht="38.25" x14ac:dyDescent="0.2">
      <c r="A450" s="661" t="s">
        <v>1348</v>
      </c>
      <c r="B450" s="601" t="s">
        <v>1349</v>
      </c>
      <c r="C450" s="611" t="s">
        <v>110</v>
      </c>
      <c r="D450" s="576">
        <f t="shared" si="352"/>
        <v>1</v>
      </c>
      <c r="E450" s="577" t="e">
        <f t="shared" si="353"/>
        <v>#REF!</v>
      </c>
      <c r="F450" s="577" t="e">
        <f t="shared" si="354"/>
        <v>#REF!</v>
      </c>
      <c r="G450" s="578"/>
      <c r="I450" s="594"/>
      <c r="J450" s="580" t="e">
        <f t="shared" si="355"/>
        <v>#REF!</v>
      </c>
      <c r="K450" s="537"/>
      <c r="L450" s="445" t="e">
        <f t="shared" si="356"/>
        <v>#REF!</v>
      </c>
      <c r="M450" s="542"/>
      <c r="N450" s="445" t="e">
        <f t="shared" si="357"/>
        <v>#REF!</v>
      </c>
      <c r="O450" s="542"/>
      <c r="P450" s="445" t="e">
        <f t="shared" si="358"/>
        <v>#REF!</v>
      </c>
      <c r="Q450" s="542"/>
      <c r="R450" s="445" t="e">
        <f t="shared" si="359"/>
        <v>#REF!</v>
      </c>
      <c r="S450" s="542">
        <v>1</v>
      </c>
      <c r="T450" s="445" t="e">
        <f t="shared" si="360"/>
        <v>#REF!</v>
      </c>
      <c r="V450" s="581" t="e">
        <f>+#REF!</f>
        <v>#REF!</v>
      </c>
      <c r="W450" s="582" t="e">
        <f t="shared" si="361"/>
        <v>#REF!</v>
      </c>
      <c r="X450" s="581" t="e">
        <f>+#REF!</f>
        <v>#REF!</v>
      </c>
      <c r="Y450" s="582" t="e">
        <f t="shared" si="362"/>
        <v>#REF!</v>
      </c>
      <c r="Z450" s="581" t="e">
        <f>+#REF!</f>
        <v>#REF!</v>
      </c>
      <c r="AA450" s="582" t="e">
        <f t="shared" si="363"/>
        <v>#REF!</v>
      </c>
      <c r="AB450" s="581" t="e">
        <f>+#REF!</f>
        <v>#REF!</v>
      </c>
      <c r="AC450" s="582" t="e">
        <f t="shared" si="364"/>
        <v>#REF!</v>
      </c>
      <c r="AE450" s="769" t="e">
        <f t="shared" si="351"/>
        <v>#REF!</v>
      </c>
    </row>
    <row r="451" spans="1:31" ht="38.25" x14ac:dyDescent="0.2">
      <c r="A451" s="661" t="s">
        <v>1350</v>
      </c>
      <c r="B451" s="601" t="s">
        <v>1351</v>
      </c>
      <c r="C451" s="611" t="s">
        <v>110</v>
      </c>
      <c r="D451" s="576">
        <f t="shared" si="352"/>
        <v>1</v>
      </c>
      <c r="E451" s="577" t="e">
        <f t="shared" si="353"/>
        <v>#REF!</v>
      </c>
      <c r="F451" s="577" t="e">
        <f t="shared" si="354"/>
        <v>#REF!</v>
      </c>
      <c r="G451" s="578"/>
      <c r="I451" s="594"/>
      <c r="J451" s="580" t="e">
        <f t="shared" si="355"/>
        <v>#REF!</v>
      </c>
      <c r="K451" s="537"/>
      <c r="L451" s="445" t="e">
        <f t="shared" si="356"/>
        <v>#REF!</v>
      </c>
      <c r="M451" s="542"/>
      <c r="N451" s="445" t="e">
        <f t="shared" si="357"/>
        <v>#REF!</v>
      </c>
      <c r="O451" s="542"/>
      <c r="P451" s="445" t="e">
        <f t="shared" si="358"/>
        <v>#REF!</v>
      </c>
      <c r="Q451" s="542"/>
      <c r="R451" s="445" t="e">
        <f t="shared" si="359"/>
        <v>#REF!</v>
      </c>
      <c r="S451" s="542">
        <v>1</v>
      </c>
      <c r="T451" s="445" t="e">
        <f t="shared" si="360"/>
        <v>#REF!</v>
      </c>
      <c r="V451" s="581" t="e">
        <f>+#REF!</f>
        <v>#REF!</v>
      </c>
      <c r="W451" s="582" t="e">
        <f t="shared" si="361"/>
        <v>#REF!</v>
      </c>
      <c r="X451" s="581" t="e">
        <f>+#REF!</f>
        <v>#REF!</v>
      </c>
      <c r="Y451" s="582" t="e">
        <f t="shared" si="362"/>
        <v>#REF!</v>
      </c>
      <c r="Z451" s="581" t="e">
        <f>+#REF!</f>
        <v>#REF!</v>
      </c>
      <c r="AA451" s="582" t="e">
        <f t="shared" si="363"/>
        <v>#REF!</v>
      </c>
      <c r="AB451" s="581" t="e">
        <f>+#REF!</f>
        <v>#REF!</v>
      </c>
      <c r="AC451" s="582" t="e">
        <f t="shared" si="364"/>
        <v>#REF!</v>
      </c>
      <c r="AE451" s="769" t="e">
        <f t="shared" si="351"/>
        <v>#REF!</v>
      </c>
    </row>
    <row r="452" spans="1:31" ht="25.5" hidden="1" customHeight="1" x14ac:dyDescent="0.2">
      <c r="A452" s="661" t="s">
        <v>1352</v>
      </c>
      <c r="B452" s="601" t="s">
        <v>1353</v>
      </c>
      <c r="C452" s="611" t="s">
        <v>144</v>
      </c>
      <c r="D452" s="576">
        <f t="shared" si="352"/>
        <v>0</v>
      </c>
      <c r="E452" s="577" t="e">
        <f t="shared" si="353"/>
        <v>#REF!</v>
      </c>
      <c r="F452" s="577" t="e">
        <f t="shared" si="354"/>
        <v>#REF!</v>
      </c>
      <c r="G452" s="578"/>
      <c r="I452" s="594"/>
      <c r="J452" s="580" t="e">
        <f t="shared" si="355"/>
        <v>#REF!</v>
      </c>
      <c r="K452" s="537"/>
      <c r="L452" s="445" t="e">
        <f t="shared" si="356"/>
        <v>#REF!</v>
      </c>
      <c r="M452" s="542"/>
      <c r="N452" s="445" t="e">
        <f t="shared" si="357"/>
        <v>#REF!</v>
      </c>
      <c r="O452" s="542"/>
      <c r="P452" s="445" t="e">
        <f t="shared" si="358"/>
        <v>#REF!</v>
      </c>
      <c r="Q452" s="542"/>
      <c r="R452" s="445" t="e">
        <f t="shared" si="359"/>
        <v>#REF!</v>
      </c>
      <c r="S452" s="542"/>
      <c r="T452" s="445" t="e">
        <f t="shared" si="360"/>
        <v>#REF!</v>
      </c>
      <c r="V452" s="581" t="e">
        <f>+'8,77'!$I$22</f>
        <v>#REF!</v>
      </c>
      <c r="W452" s="582" t="e">
        <f t="shared" si="361"/>
        <v>#REF!</v>
      </c>
      <c r="X452" s="581">
        <f>+'8,77'!$I$53</f>
        <v>5334.75</v>
      </c>
      <c r="Y452" s="582">
        <f t="shared" si="362"/>
        <v>0</v>
      </c>
      <c r="Z452" s="581">
        <f>+'8,77'!$I$33</f>
        <v>307.42</v>
      </c>
      <c r="AA452" s="582">
        <f t="shared" si="363"/>
        <v>0</v>
      </c>
      <c r="AB452" s="581">
        <f>+'8,77'!$I$44</f>
        <v>0</v>
      </c>
      <c r="AC452" s="582">
        <f t="shared" si="364"/>
        <v>0</v>
      </c>
      <c r="AE452" s="769" t="e">
        <f t="shared" si="351"/>
        <v>#REF!</v>
      </c>
    </row>
    <row r="453" spans="1:31" ht="25.5" hidden="1" customHeight="1" x14ac:dyDescent="0.2">
      <c r="A453" s="661" t="s">
        <v>1354</v>
      </c>
      <c r="B453" s="601" t="s">
        <v>1355</v>
      </c>
      <c r="C453" s="611" t="s">
        <v>144</v>
      </c>
      <c r="D453" s="576">
        <f t="shared" si="352"/>
        <v>0</v>
      </c>
      <c r="E453" s="577" t="e">
        <f t="shared" si="353"/>
        <v>#REF!</v>
      </c>
      <c r="F453" s="577" t="e">
        <f t="shared" si="354"/>
        <v>#REF!</v>
      </c>
      <c r="G453" s="578"/>
      <c r="I453" s="594"/>
      <c r="J453" s="580" t="e">
        <f t="shared" si="355"/>
        <v>#REF!</v>
      </c>
      <c r="K453" s="537"/>
      <c r="L453" s="445" t="e">
        <f t="shared" si="356"/>
        <v>#REF!</v>
      </c>
      <c r="M453" s="542"/>
      <c r="N453" s="445" t="e">
        <f t="shared" si="357"/>
        <v>#REF!</v>
      </c>
      <c r="O453" s="542"/>
      <c r="P453" s="445" t="e">
        <f t="shared" si="358"/>
        <v>#REF!</v>
      </c>
      <c r="Q453" s="542"/>
      <c r="R453" s="445" t="e">
        <f t="shared" si="359"/>
        <v>#REF!</v>
      </c>
      <c r="S453" s="542"/>
      <c r="T453" s="445" t="e">
        <f t="shared" si="360"/>
        <v>#REF!</v>
      </c>
      <c r="V453" s="581" t="e">
        <f>+'8,78'!$I$22</f>
        <v>#REF!</v>
      </c>
      <c r="W453" s="582" t="e">
        <f t="shared" si="361"/>
        <v>#REF!</v>
      </c>
      <c r="X453" s="581">
        <f>+'8,78'!$I$53</f>
        <v>4001.91</v>
      </c>
      <c r="Y453" s="582">
        <f t="shared" si="362"/>
        <v>0</v>
      </c>
      <c r="Z453" s="581">
        <f>+'8,78'!$I$33</f>
        <v>307.42</v>
      </c>
      <c r="AA453" s="582">
        <f t="shared" si="363"/>
        <v>0</v>
      </c>
      <c r="AB453" s="581">
        <f>+'8,78'!$I$44</f>
        <v>0</v>
      </c>
      <c r="AC453" s="582">
        <f t="shared" si="364"/>
        <v>0</v>
      </c>
      <c r="AE453" s="769" t="e">
        <f t="shared" si="351"/>
        <v>#REF!</v>
      </c>
    </row>
    <row r="454" spans="1:31" ht="25.5" hidden="1" customHeight="1" x14ac:dyDescent="0.2">
      <c r="A454" s="661" t="s">
        <v>1356</v>
      </c>
      <c r="B454" s="601" t="s">
        <v>1357</v>
      </c>
      <c r="C454" s="611" t="s">
        <v>144</v>
      </c>
      <c r="D454" s="576">
        <f t="shared" si="352"/>
        <v>0</v>
      </c>
      <c r="E454" s="577" t="e">
        <f t="shared" si="353"/>
        <v>#REF!</v>
      </c>
      <c r="F454" s="577" t="e">
        <f t="shared" si="354"/>
        <v>#REF!</v>
      </c>
      <c r="G454" s="578"/>
      <c r="I454" s="594"/>
      <c r="J454" s="580" t="e">
        <f t="shared" si="355"/>
        <v>#REF!</v>
      </c>
      <c r="K454" s="537"/>
      <c r="L454" s="445" t="e">
        <f t="shared" si="356"/>
        <v>#REF!</v>
      </c>
      <c r="M454" s="542"/>
      <c r="N454" s="445" t="e">
        <f t="shared" si="357"/>
        <v>#REF!</v>
      </c>
      <c r="O454" s="542"/>
      <c r="P454" s="445" t="e">
        <f t="shared" si="358"/>
        <v>#REF!</v>
      </c>
      <c r="Q454" s="542"/>
      <c r="R454" s="445" t="e">
        <f t="shared" si="359"/>
        <v>#REF!</v>
      </c>
      <c r="S454" s="542"/>
      <c r="T454" s="445" t="e">
        <f t="shared" si="360"/>
        <v>#REF!</v>
      </c>
      <c r="V454" s="581" t="e">
        <f>+'8,79'!$I$22</f>
        <v>#REF!</v>
      </c>
      <c r="W454" s="582" t="e">
        <f t="shared" si="361"/>
        <v>#REF!</v>
      </c>
      <c r="X454" s="581">
        <f>+'8,79'!$I$53</f>
        <v>5334.81</v>
      </c>
      <c r="Y454" s="582">
        <f t="shared" si="362"/>
        <v>0</v>
      </c>
      <c r="Z454" s="581">
        <f>+'8,79'!$I$33</f>
        <v>307.42</v>
      </c>
      <c r="AA454" s="582">
        <f t="shared" si="363"/>
        <v>0</v>
      </c>
      <c r="AB454" s="581">
        <f>+'8,79'!$I$44</f>
        <v>0</v>
      </c>
      <c r="AC454" s="582">
        <f t="shared" si="364"/>
        <v>0</v>
      </c>
      <c r="AE454" s="769" t="e">
        <f t="shared" si="351"/>
        <v>#REF!</v>
      </c>
    </row>
    <row r="455" spans="1:31" ht="25.5" hidden="1" customHeight="1" x14ac:dyDescent="0.2">
      <c r="A455" s="661" t="s">
        <v>1358</v>
      </c>
      <c r="B455" s="601" t="s">
        <v>1359</v>
      </c>
      <c r="C455" s="611" t="s">
        <v>144</v>
      </c>
      <c r="D455" s="576">
        <f t="shared" si="352"/>
        <v>0</v>
      </c>
      <c r="E455" s="577" t="e">
        <f t="shared" si="353"/>
        <v>#REF!</v>
      </c>
      <c r="F455" s="577" t="e">
        <f t="shared" si="354"/>
        <v>#REF!</v>
      </c>
      <c r="G455" s="578"/>
      <c r="I455" s="594"/>
      <c r="J455" s="580" t="e">
        <f t="shared" si="355"/>
        <v>#REF!</v>
      </c>
      <c r="K455" s="537"/>
      <c r="L455" s="445" t="e">
        <f t="shared" si="356"/>
        <v>#REF!</v>
      </c>
      <c r="M455" s="542"/>
      <c r="N455" s="445" t="e">
        <f t="shared" si="357"/>
        <v>#REF!</v>
      </c>
      <c r="O455" s="542"/>
      <c r="P455" s="445" t="e">
        <f t="shared" si="358"/>
        <v>#REF!</v>
      </c>
      <c r="Q455" s="542"/>
      <c r="R455" s="445" t="e">
        <f t="shared" si="359"/>
        <v>#REF!</v>
      </c>
      <c r="S455" s="542"/>
      <c r="T455" s="445" t="e">
        <f t="shared" si="360"/>
        <v>#REF!</v>
      </c>
      <c r="V455" s="581" t="e">
        <f>+'8,80'!$I$22</f>
        <v>#REF!</v>
      </c>
      <c r="W455" s="582" t="e">
        <f t="shared" si="361"/>
        <v>#REF!</v>
      </c>
      <c r="X455" s="581">
        <f>+'8,80'!$I$53</f>
        <v>4002.31</v>
      </c>
      <c r="Y455" s="582">
        <f t="shared" si="362"/>
        <v>0</v>
      </c>
      <c r="Z455" s="581">
        <f>+'8,80'!$I$33</f>
        <v>307.42</v>
      </c>
      <c r="AA455" s="582">
        <f t="shared" si="363"/>
        <v>0</v>
      </c>
      <c r="AB455" s="581">
        <f>+'8,80'!$I$44</f>
        <v>0</v>
      </c>
      <c r="AC455" s="582">
        <f t="shared" si="364"/>
        <v>0</v>
      </c>
      <c r="AE455" s="769" t="e">
        <f t="shared" si="351"/>
        <v>#REF!</v>
      </c>
    </row>
    <row r="456" spans="1:31" ht="38.25" x14ac:dyDescent="0.2">
      <c r="A456" s="661" t="s">
        <v>1360</v>
      </c>
      <c r="B456" s="601" t="s">
        <v>1361</v>
      </c>
      <c r="C456" s="611" t="s">
        <v>144</v>
      </c>
      <c r="D456" s="576">
        <f t="shared" si="352"/>
        <v>1</v>
      </c>
      <c r="E456" s="577" t="e">
        <f t="shared" si="353"/>
        <v>#REF!</v>
      </c>
      <c r="F456" s="577" t="e">
        <f t="shared" si="354"/>
        <v>#REF!</v>
      </c>
      <c r="G456" s="578"/>
      <c r="I456" s="594"/>
      <c r="J456" s="580" t="e">
        <f t="shared" si="355"/>
        <v>#REF!</v>
      </c>
      <c r="K456" s="537">
        <v>1</v>
      </c>
      <c r="L456" s="445" t="e">
        <f t="shared" si="356"/>
        <v>#REF!</v>
      </c>
      <c r="M456" s="542"/>
      <c r="N456" s="445" t="e">
        <f t="shared" si="357"/>
        <v>#REF!</v>
      </c>
      <c r="O456" s="542"/>
      <c r="P456" s="445" t="e">
        <f t="shared" si="358"/>
        <v>#REF!</v>
      </c>
      <c r="Q456" s="542"/>
      <c r="R456" s="445" t="e">
        <f t="shared" si="359"/>
        <v>#REF!</v>
      </c>
      <c r="S456" s="542"/>
      <c r="T456" s="445" t="e">
        <f t="shared" si="360"/>
        <v>#REF!</v>
      </c>
      <c r="V456" s="581" t="e">
        <f>+#REF!</f>
        <v>#REF!</v>
      </c>
      <c r="W456" s="582" t="e">
        <f t="shared" si="361"/>
        <v>#REF!</v>
      </c>
      <c r="X456" s="581" t="e">
        <f>+#REF!</f>
        <v>#REF!</v>
      </c>
      <c r="Y456" s="582" t="e">
        <f t="shared" si="362"/>
        <v>#REF!</v>
      </c>
      <c r="Z456" s="581" t="e">
        <f>+#REF!</f>
        <v>#REF!</v>
      </c>
      <c r="AA456" s="582" t="e">
        <f t="shared" si="363"/>
        <v>#REF!</v>
      </c>
      <c r="AB456" s="581" t="e">
        <f>+#REF!</f>
        <v>#REF!</v>
      </c>
      <c r="AC456" s="582" t="e">
        <f t="shared" si="364"/>
        <v>#REF!</v>
      </c>
      <c r="AE456" s="769" t="e">
        <f t="shared" si="351"/>
        <v>#REF!</v>
      </c>
    </row>
    <row r="457" spans="1:31" ht="38.25" hidden="1" customHeight="1" x14ac:dyDescent="0.2">
      <c r="A457" s="661" t="s">
        <v>1362</v>
      </c>
      <c r="B457" s="601" t="s">
        <v>1363</v>
      </c>
      <c r="C457" s="611" t="s">
        <v>144</v>
      </c>
      <c r="D457" s="576">
        <f t="shared" si="352"/>
        <v>0</v>
      </c>
      <c r="E457" s="577" t="e">
        <f t="shared" si="353"/>
        <v>#REF!</v>
      </c>
      <c r="F457" s="577" t="e">
        <f t="shared" si="354"/>
        <v>#REF!</v>
      </c>
      <c r="G457" s="578"/>
      <c r="I457" s="594"/>
      <c r="J457" s="580" t="e">
        <f t="shared" si="355"/>
        <v>#REF!</v>
      </c>
      <c r="K457" s="537"/>
      <c r="L457" s="445" t="e">
        <f t="shared" si="356"/>
        <v>#REF!</v>
      </c>
      <c r="M457" s="542"/>
      <c r="N457" s="445" t="e">
        <f t="shared" si="357"/>
        <v>#REF!</v>
      </c>
      <c r="O457" s="542"/>
      <c r="P457" s="445" t="e">
        <f t="shared" si="358"/>
        <v>#REF!</v>
      </c>
      <c r="Q457" s="542"/>
      <c r="R457" s="445" t="e">
        <f t="shared" si="359"/>
        <v>#REF!</v>
      </c>
      <c r="S457" s="542"/>
      <c r="T457" s="445" t="e">
        <f t="shared" si="360"/>
        <v>#REF!</v>
      </c>
      <c r="V457" s="581" t="e">
        <f>+'8,82'!$I$22</f>
        <v>#REF!</v>
      </c>
      <c r="W457" s="582" t="e">
        <f t="shared" si="361"/>
        <v>#REF!</v>
      </c>
      <c r="X457" s="581">
        <f>+'8,82'!$I$53</f>
        <v>125035.65</v>
      </c>
      <c r="Y457" s="582">
        <f t="shared" si="362"/>
        <v>0</v>
      </c>
      <c r="Z457" s="581">
        <f>+'8,82'!$I$33</f>
        <v>4478.6100000000006</v>
      </c>
      <c r="AA457" s="582">
        <f t="shared" si="363"/>
        <v>0</v>
      </c>
      <c r="AB457" s="581">
        <f>+'8,82'!$I$44</f>
        <v>0</v>
      </c>
      <c r="AC457" s="582">
        <f t="shared" si="364"/>
        <v>0</v>
      </c>
      <c r="AE457" s="769" t="e">
        <f t="shared" si="351"/>
        <v>#REF!</v>
      </c>
    </row>
    <row r="458" spans="1:31" ht="25.5" hidden="1" customHeight="1" x14ac:dyDescent="0.2">
      <c r="A458" s="661" t="s">
        <v>1364</v>
      </c>
      <c r="B458" s="601" t="s">
        <v>1365</v>
      </c>
      <c r="C458" s="611" t="s">
        <v>110</v>
      </c>
      <c r="D458" s="576">
        <f t="shared" si="352"/>
        <v>0</v>
      </c>
      <c r="E458" s="577" t="e">
        <f t="shared" si="353"/>
        <v>#REF!</v>
      </c>
      <c r="F458" s="577" t="e">
        <f t="shared" si="354"/>
        <v>#REF!</v>
      </c>
      <c r="G458" s="578"/>
      <c r="I458" s="594"/>
      <c r="J458" s="580" t="e">
        <f t="shared" si="355"/>
        <v>#REF!</v>
      </c>
      <c r="K458" s="537"/>
      <c r="L458" s="445" t="e">
        <f t="shared" si="356"/>
        <v>#REF!</v>
      </c>
      <c r="M458" s="542"/>
      <c r="N458" s="445" t="e">
        <f t="shared" si="357"/>
        <v>#REF!</v>
      </c>
      <c r="O458" s="542"/>
      <c r="P458" s="445" t="e">
        <f t="shared" si="358"/>
        <v>#REF!</v>
      </c>
      <c r="Q458" s="542"/>
      <c r="R458" s="445" t="e">
        <f t="shared" si="359"/>
        <v>#REF!</v>
      </c>
      <c r="S458" s="542"/>
      <c r="T458" s="445" t="e">
        <f t="shared" si="360"/>
        <v>#REF!</v>
      </c>
      <c r="V458" s="581" t="e">
        <f>+'8,83'!$I$22</f>
        <v>#REF!</v>
      </c>
      <c r="W458" s="582" t="e">
        <f t="shared" si="361"/>
        <v>#REF!</v>
      </c>
      <c r="X458" s="581">
        <f>+'8,83'!$I$53</f>
        <v>138928.5</v>
      </c>
      <c r="Y458" s="582">
        <f t="shared" si="362"/>
        <v>0</v>
      </c>
      <c r="Z458" s="581">
        <f>+'8,83'!$I$33</f>
        <v>4478.6100000000006</v>
      </c>
      <c r="AA458" s="582">
        <f t="shared" si="363"/>
        <v>0</v>
      </c>
      <c r="AB458" s="581">
        <f>+'8,83'!$I$44</f>
        <v>0</v>
      </c>
      <c r="AC458" s="582">
        <f t="shared" si="364"/>
        <v>0</v>
      </c>
      <c r="AE458" s="769" t="e">
        <f t="shared" si="351"/>
        <v>#REF!</v>
      </c>
    </row>
    <row r="459" spans="1:31" ht="38.25" x14ac:dyDescent="0.2">
      <c r="A459" s="661" t="s">
        <v>1366</v>
      </c>
      <c r="B459" s="601" t="s">
        <v>1367</v>
      </c>
      <c r="C459" s="611" t="s">
        <v>126</v>
      </c>
      <c r="D459" s="576">
        <f t="shared" si="352"/>
        <v>1</v>
      </c>
      <c r="E459" s="577" t="e">
        <f t="shared" si="353"/>
        <v>#REF!</v>
      </c>
      <c r="F459" s="577" t="e">
        <f t="shared" si="354"/>
        <v>#REF!</v>
      </c>
      <c r="G459" s="578"/>
      <c r="I459" s="594"/>
      <c r="J459" s="580" t="e">
        <f t="shared" si="355"/>
        <v>#REF!</v>
      </c>
      <c r="K459" s="537">
        <v>1</v>
      </c>
      <c r="L459" s="445" t="e">
        <f t="shared" si="356"/>
        <v>#REF!</v>
      </c>
      <c r="M459" s="542"/>
      <c r="N459" s="445" t="e">
        <f t="shared" si="357"/>
        <v>#REF!</v>
      </c>
      <c r="O459" s="542"/>
      <c r="P459" s="445" t="e">
        <f t="shared" si="358"/>
        <v>#REF!</v>
      </c>
      <c r="Q459" s="542"/>
      <c r="R459" s="445" t="e">
        <f t="shared" si="359"/>
        <v>#REF!</v>
      </c>
      <c r="S459" s="542"/>
      <c r="T459" s="445" t="e">
        <f t="shared" si="360"/>
        <v>#REF!</v>
      </c>
      <c r="V459" s="581" t="e">
        <f>+#REF!</f>
        <v>#REF!</v>
      </c>
      <c r="W459" s="582" t="e">
        <f t="shared" si="361"/>
        <v>#REF!</v>
      </c>
      <c r="X459" s="581" t="e">
        <f>+#REF!</f>
        <v>#REF!</v>
      </c>
      <c r="Y459" s="582" t="e">
        <f t="shared" si="362"/>
        <v>#REF!</v>
      </c>
      <c r="Z459" s="581" t="e">
        <f>+#REF!</f>
        <v>#REF!</v>
      </c>
      <c r="AA459" s="582" t="e">
        <f t="shared" si="363"/>
        <v>#REF!</v>
      </c>
      <c r="AB459" s="581" t="e">
        <f>+#REF!</f>
        <v>#REF!</v>
      </c>
      <c r="AC459" s="582" t="e">
        <f t="shared" si="364"/>
        <v>#REF!</v>
      </c>
      <c r="AE459" s="769" t="e">
        <f t="shared" si="351"/>
        <v>#REF!</v>
      </c>
    </row>
    <row r="460" spans="1:31" ht="25.5" hidden="1" customHeight="1" x14ac:dyDescent="0.2">
      <c r="A460" s="661" t="s">
        <v>1368</v>
      </c>
      <c r="B460" s="601" t="s">
        <v>1369</v>
      </c>
      <c r="C460" s="611" t="s">
        <v>126</v>
      </c>
      <c r="D460" s="576">
        <f t="shared" si="352"/>
        <v>0</v>
      </c>
      <c r="E460" s="577">
        <f t="shared" si="353"/>
        <v>297192.53000000003</v>
      </c>
      <c r="F460" s="577">
        <f t="shared" si="354"/>
        <v>0</v>
      </c>
      <c r="G460" s="578"/>
      <c r="I460" s="594"/>
      <c r="J460" s="580">
        <f t="shared" si="355"/>
        <v>0</v>
      </c>
      <c r="K460" s="537"/>
      <c r="L460" s="445">
        <f t="shared" si="356"/>
        <v>0</v>
      </c>
      <c r="M460" s="542"/>
      <c r="N460" s="445">
        <f t="shared" si="357"/>
        <v>0</v>
      </c>
      <c r="O460" s="542"/>
      <c r="P460" s="445">
        <f t="shared" si="358"/>
        <v>0</v>
      </c>
      <c r="Q460" s="542"/>
      <c r="R460" s="445">
        <f t="shared" si="359"/>
        <v>0</v>
      </c>
      <c r="S460" s="542"/>
      <c r="T460" s="445">
        <f t="shared" si="360"/>
        <v>0</v>
      </c>
      <c r="V460" s="581">
        <f>+'8,85'!$I$22</f>
        <v>0</v>
      </c>
      <c r="W460" s="582">
        <f t="shared" si="361"/>
        <v>0</v>
      </c>
      <c r="X460" s="581">
        <f>+'8,85'!$I$53</f>
        <v>144826.01</v>
      </c>
      <c r="Y460" s="582">
        <f t="shared" si="362"/>
        <v>0</v>
      </c>
      <c r="Z460" s="581">
        <f>+'8,85'!$I$33</f>
        <v>152366.52000000002</v>
      </c>
      <c r="AA460" s="582">
        <f t="shared" si="363"/>
        <v>0</v>
      </c>
      <c r="AB460" s="581">
        <f>+'8,85'!$I$44</f>
        <v>0</v>
      </c>
      <c r="AC460" s="582">
        <f t="shared" si="364"/>
        <v>0</v>
      </c>
      <c r="AE460" s="769">
        <f t="shared" si="351"/>
        <v>0</v>
      </c>
    </row>
    <row r="461" spans="1:31" ht="25.5" hidden="1" customHeight="1" x14ac:dyDescent="0.2">
      <c r="A461" s="661" t="s">
        <v>1370</v>
      </c>
      <c r="B461" s="601" t="s">
        <v>1371</v>
      </c>
      <c r="C461" s="611" t="s">
        <v>126</v>
      </c>
      <c r="D461" s="576">
        <f t="shared" si="352"/>
        <v>0</v>
      </c>
      <c r="E461" s="577">
        <f t="shared" si="353"/>
        <v>8309.6200000000008</v>
      </c>
      <c r="F461" s="577">
        <f t="shared" si="354"/>
        <v>0</v>
      </c>
      <c r="G461" s="578"/>
      <c r="I461" s="594"/>
      <c r="J461" s="580">
        <f t="shared" si="355"/>
        <v>0</v>
      </c>
      <c r="K461" s="537"/>
      <c r="L461" s="445">
        <f t="shared" si="356"/>
        <v>0</v>
      </c>
      <c r="M461" s="542"/>
      <c r="N461" s="445">
        <f t="shared" si="357"/>
        <v>0</v>
      </c>
      <c r="O461" s="542"/>
      <c r="P461" s="445">
        <f t="shared" si="358"/>
        <v>0</v>
      </c>
      <c r="Q461" s="542"/>
      <c r="R461" s="445">
        <f t="shared" si="359"/>
        <v>0</v>
      </c>
      <c r="S461" s="542"/>
      <c r="T461" s="445">
        <f t="shared" si="360"/>
        <v>0</v>
      </c>
      <c r="V461" s="581">
        <f>+'8,86'!$I$22</f>
        <v>0</v>
      </c>
      <c r="W461" s="582">
        <f t="shared" si="361"/>
        <v>0</v>
      </c>
      <c r="X461" s="581">
        <f>+'8,86'!$I$53</f>
        <v>8002.21</v>
      </c>
      <c r="Y461" s="582">
        <f t="shared" si="362"/>
        <v>0</v>
      </c>
      <c r="Z461" s="581">
        <f>+'8,86'!$I$33</f>
        <v>307.41000000000003</v>
      </c>
      <c r="AA461" s="582">
        <f t="shared" si="363"/>
        <v>0</v>
      </c>
      <c r="AB461" s="581">
        <f>+'8,86'!$I$44</f>
        <v>0</v>
      </c>
      <c r="AC461" s="582">
        <f t="shared" si="364"/>
        <v>0</v>
      </c>
      <c r="AE461" s="769">
        <f t="shared" ref="AE461:AE529" si="365">SUM(AC461,AA461,Y461,W461)-SUM(T461,R461,P461,N461,L461)</f>
        <v>0</v>
      </c>
    </row>
    <row r="462" spans="1:31" ht="15" hidden="1" customHeight="1" x14ac:dyDescent="0.2">
      <c r="A462" s="661" t="s">
        <v>1372</v>
      </c>
      <c r="B462" s="601" t="s">
        <v>1373</v>
      </c>
      <c r="C462" s="611" t="s">
        <v>126</v>
      </c>
      <c r="D462" s="576">
        <f t="shared" si="352"/>
        <v>0</v>
      </c>
      <c r="E462" s="577">
        <f t="shared" si="353"/>
        <v>761.06000000000006</v>
      </c>
      <c r="F462" s="577">
        <f t="shared" si="354"/>
        <v>0</v>
      </c>
      <c r="G462" s="578"/>
      <c r="I462" s="594"/>
      <c r="J462" s="580">
        <f t="shared" si="355"/>
        <v>0</v>
      </c>
      <c r="K462" s="537"/>
      <c r="L462" s="445">
        <f t="shared" si="356"/>
        <v>0</v>
      </c>
      <c r="M462" s="542"/>
      <c r="N462" s="445">
        <f t="shared" si="357"/>
        <v>0</v>
      </c>
      <c r="O462" s="542"/>
      <c r="P462" s="445">
        <f t="shared" si="358"/>
        <v>0</v>
      </c>
      <c r="Q462" s="542"/>
      <c r="R462" s="445">
        <f t="shared" si="359"/>
        <v>0</v>
      </c>
      <c r="S462" s="542"/>
      <c r="T462" s="445">
        <f t="shared" si="360"/>
        <v>0</v>
      </c>
      <c r="V462" s="581">
        <f>+'8,87'!$I$22</f>
        <v>0</v>
      </c>
      <c r="W462" s="582">
        <f t="shared" si="361"/>
        <v>0</v>
      </c>
      <c r="X462" s="581">
        <f>+'8,87'!$I$53</f>
        <v>695.34</v>
      </c>
      <c r="Y462" s="582">
        <f t="shared" si="362"/>
        <v>0</v>
      </c>
      <c r="Z462" s="581">
        <f>+'8,87'!$I$33</f>
        <v>65.72</v>
      </c>
      <c r="AA462" s="582">
        <f t="shared" si="363"/>
        <v>0</v>
      </c>
      <c r="AB462" s="581">
        <f>+'8,87'!$I$44</f>
        <v>0</v>
      </c>
      <c r="AC462" s="582">
        <f t="shared" si="364"/>
        <v>0</v>
      </c>
      <c r="AE462" s="769">
        <f t="shared" si="365"/>
        <v>0</v>
      </c>
    </row>
    <row r="463" spans="1:31" ht="38.25" x14ac:dyDescent="0.2">
      <c r="A463" s="661" t="s">
        <v>1374</v>
      </c>
      <c r="B463" s="601" t="s">
        <v>1375</v>
      </c>
      <c r="C463" s="611" t="s">
        <v>114</v>
      </c>
      <c r="D463" s="576">
        <f t="shared" si="352"/>
        <v>210</v>
      </c>
      <c r="E463" s="577" t="e">
        <f t="shared" si="353"/>
        <v>#REF!</v>
      </c>
      <c r="F463" s="577" t="e">
        <f t="shared" si="354"/>
        <v>#REF!</v>
      </c>
      <c r="G463" s="578"/>
      <c r="I463" s="594"/>
      <c r="J463" s="580" t="e">
        <f t="shared" si="355"/>
        <v>#REF!</v>
      </c>
      <c r="K463" s="537"/>
      <c r="L463" s="445" t="e">
        <f t="shared" si="356"/>
        <v>#REF!</v>
      </c>
      <c r="M463" s="542"/>
      <c r="N463" s="445" t="e">
        <f t="shared" si="357"/>
        <v>#REF!</v>
      </c>
      <c r="O463" s="542"/>
      <c r="P463" s="445" t="e">
        <f t="shared" si="358"/>
        <v>#REF!</v>
      </c>
      <c r="Q463" s="542"/>
      <c r="R463" s="445" t="e">
        <f t="shared" si="359"/>
        <v>#REF!</v>
      </c>
      <c r="S463" s="542">
        <v>210</v>
      </c>
      <c r="T463" s="445" t="e">
        <f t="shared" si="360"/>
        <v>#REF!</v>
      </c>
      <c r="V463" s="581" t="e">
        <f>+#REF!</f>
        <v>#REF!</v>
      </c>
      <c r="W463" s="582" t="e">
        <f t="shared" si="361"/>
        <v>#REF!</v>
      </c>
      <c r="X463" s="581" t="e">
        <f>+#REF!</f>
        <v>#REF!</v>
      </c>
      <c r="Y463" s="582" t="e">
        <f t="shared" si="362"/>
        <v>#REF!</v>
      </c>
      <c r="Z463" s="581" t="e">
        <f>+#REF!</f>
        <v>#REF!</v>
      </c>
      <c r="AA463" s="582" t="e">
        <f t="shared" si="363"/>
        <v>#REF!</v>
      </c>
      <c r="AB463" s="581" t="e">
        <f>+#REF!</f>
        <v>#REF!</v>
      </c>
      <c r="AC463" s="582" t="e">
        <f t="shared" si="364"/>
        <v>#REF!</v>
      </c>
      <c r="AE463" s="769" t="e">
        <f t="shared" si="365"/>
        <v>#REF!</v>
      </c>
    </row>
    <row r="464" spans="1:31" ht="29.25" customHeight="1" x14ac:dyDescent="0.2">
      <c r="A464" s="661" t="s">
        <v>1376</v>
      </c>
      <c r="B464" s="601" t="s">
        <v>1377</v>
      </c>
      <c r="C464" s="611" t="s">
        <v>111</v>
      </c>
      <c r="D464" s="576">
        <f t="shared" si="352"/>
        <v>2</v>
      </c>
      <c r="E464" s="577" t="e">
        <f t="shared" si="353"/>
        <v>#REF!</v>
      </c>
      <c r="F464" s="577" t="e">
        <f t="shared" si="354"/>
        <v>#REF!</v>
      </c>
      <c r="G464" s="578"/>
      <c r="I464" s="594"/>
      <c r="J464" s="580" t="e">
        <f t="shared" si="355"/>
        <v>#REF!</v>
      </c>
      <c r="K464" s="537"/>
      <c r="L464" s="445" t="e">
        <f t="shared" si="356"/>
        <v>#REF!</v>
      </c>
      <c r="M464" s="542"/>
      <c r="N464" s="445" t="e">
        <f t="shared" si="357"/>
        <v>#REF!</v>
      </c>
      <c r="O464" s="542"/>
      <c r="P464" s="445" t="e">
        <f t="shared" si="358"/>
        <v>#REF!</v>
      </c>
      <c r="Q464" s="542"/>
      <c r="R464" s="445" t="e">
        <f t="shared" si="359"/>
        <v>#REF!</v>
      </c>
      <c r="S464" s="542">
        <v>2</v>
      </c>
      <c r="T464" s="445" t="e">
        <f t="shared" si="360"/>
        <v>#REF!</v>
      </c>
      <c r="V464" s="581" t="e">
        <f>+#REF!</f>
        <v>#REF!</v>
      </c>
      <c r="W464" s="582" t="e">
        <f t="shared" si="361"/>
        <v>#REF!</v>
      </c>
      <c r="X464" s="581" t="e">
        <f>+#REF!</f>
        <v>#REF!</v>
      </c>
      <c r="Y464" s="582" t="e">
        <f t="shared" si="362"/>
        <v>#REF!</v>
      </c>
      <c r="Z464" s="581" t="e">
        <f>+#REF!</f>
        <v>#REF!</v>
      </c>
      <c r="AA464" s="582" t="e">
        <f t="shared" si="363"/>
        <v>#REF!</v>
      </c>
      <c r="AB464" s="581" t="e">
        <f>+#REF!</f>
        <v>#REF!</v>
      </c>
      <c r="AC464" s="582" t="e">
        <f t="shared" si="364"/>
        <v>#REF!</v>
      </c>
      <c r="AE464" s="769" t="e">
        <f t="shared" si="365"/>
        <v>#REF!</v>
      </c>
    </row>
    <row r="465" spans="1:31" ht="51" x14ac:dyDescent="0.2">
      <c r="A465" s="661" t="s">
        <v>1378</v>
      </c>
      <c r="B465" s="601" t="s">
        <v>1379</v>
      </c>
      <c r="C465" s="611" t="s">
        <v>111</v>
      </c>
      <c r="D465" s="576">
        <f t="shared" si="352"/>
        <v>4</v>
      </c>
      <c r="E465" s="577" t="e">
        <f t="shared" si="353"/>
        <v>#REF!</v>
      </c>
      <c r="F465" s="577" t="e">
        <f t="shared" si="354"/>
        <v>#REF!</v>
      </c>
      <c r="G465" s="578"/>
      <c r="I465" s="594"/>
      <c r="J465" s="580" t="e">
        <f t="shared" si="355"/>
        <v>#REF!</v>
      </c>
      <c r="K465" s="537"/>
      <c r="L465" s="445" t="e">
        <f t="shared" si="356"/>
        <v>#REF!</v>
      </c>
      <c r="M465" s="542"/>
      <c r="N465" s="445" t="e">
        <f t="shared" si="357"/>
        <v>#REF!</v>
      </c>
      <c r="O465" s="542"/>
      <c r="P465" s="445" t="e">
        <f t="shared" si="358"/>
        <v>#REF!</v>
      </c>
      <c r="Q465" s="542"/>
      <c r="R465" s="445" t="e">
        <f t="shared" si="359"/>
        <v>#REF!</v>
      </c>
      <c r="S465" s="542">
        <v>4</v>
      </c>
      <c r="T465" s="445" t="e">
        <f t="shared" si="360"/>
        <v>#REF!</v>
      </c>
      <c r="V465" s="581" t="e">
        <f>+#REF!</f>
        <v>#REF!</v>
      </c>
      <c r="W465" s="582" t="e">
        <f t="shared" si="361"/>
        <v>#REF!</v>
      </c>
      <c r="X465" s="581" t="e">
        <f>+#REF!</f>
        <v>#REF!</v>
      </c>
      <c r="Y465" s="582" t="e">
        <f t="shared" si="362"/>
        <v>#REF!</v>
      </c>
      <c r="Z465" s="581" t="e">
        <f>+#REF!</f>
        <v>#REF!</v>
      </c>
      <c r="AA465" s="582" t="e">
        <f t="shared" si="363"/>
        <v>#REF!</v>
      </c>
      <c r="AB465" s="581" t="e">
        <f>+#REF!</f>
        <v>#REF!</v>
      </c>
      <c r="AC465" s="582" t="e">
        <f t="shared" si="364"/>
        <v>#REF!</v>
      </c>
      <c r="AE465" s="769" t="e">
        <f t="shared" si="365"/>
        <v>#REF!</v>
      </c>
    </row>
    <row r="466" spans="1:31" ht="51" x14ac:dyDescent="0.2">
      <c r="A466" s="661" t="s">
        <v>1380</v>
      </c>
      <c r="B466" s="601" t="s">
        <v>1381</v>
      </c>
      <c r="C466" s="611" t="s">
        <v>111</v>
      </c>
      <c r="D466" s="576">
        <f t="shared" si="352"/>
        <v>1</v>
      </c>
      <c r="E466" s="577" t="e">
        <f t="shared" si="353"/>
        <v>#REF!</v>
      </c>
      <c r="F466" s="577" t="e">
        <f t="shared" si="354"/>
        <v>#REF!</v>
      </c>
      <c r="G466" s="578"/>
      <c r="I466" s="594"/>
      <c r="J466" s="580" t="e">
        <f t="shared" si="355"/>
        <v>#REF!</v>
      </c>
      <c r="K466" s="537"/>
      <c r="L466" s="445" t="e">
        <f t="shared" si="356"/>
        <v>#REF!</v>
      </c>
      <c r="M466" s="542"/>
      <c r="N466" s="445" t="e">
        <f t="shared" si="357"/>
        <v>#REF!</v>
      </c>
      <c r="O466" s="542">
        <v>1</v>
      </c>
      <c r="P466" s="445" t="e">
        <f t="shared" si="358"/>
        <v>#REF!</v>
      </c>
      <c r="Q466" s="542"/>
      <c r="R466" s="445" t="e">
        <f t="shared" si="359"/>
        <v>#REF!</v>
      </c>
      <c r="S466" s="542"/>
      <c r="T466" s="445" t="e">
        <f t="shared" si="360"/>
        <v>#REF!</v>
      </c>
      <c r="V466" s="581" t="e">
        <f>+#REF!</f>
        <v>#REF!</v>
      </c>
      <c r="W466" s="582" t="e">
        <f t="shared" si="361"/>
        <v>#REF!</v>
      </c>
      <c r="X466" s="581" t="e">
        <f>+#REF!</f>
        <v>#REF!</v>
      </c>
      <c r="Y466" s="582" t="e">
        <f t="shared" si="362"/>
        <v>#REF!</v>
      </c>
      <c r="Z466" s="581" t="e">
        <f>+#REF!</f>
        <v>#REF!</v>
      </c>
      <c r="AA466" s="582" t="e">
        <f t="shared" si="363"/>
        <v>#REF!</v>
      </c>
      <c r="AB466" s="581" t="e">
        <f>+#REF!</f>
        <v>#REF!</v>
      </c>
      <c r="AC466" s="582" t="e">
        <f t="shared" si="364"/>
        <v>#REF!</v>
      </c>
      <c r="AE466" s="769" t="e">
        <f t="shared" si="365"/>
        <v>#REF!</v>
      </c>
    </row>
    <row r="467" spans="1:31" x14ac:dyDescent="0.2">
      <c r="A467" s="661" t="s">
        <v>1382</v>
      </c>
      <c r="B467" s="601" t="s">
        <v>1383</v>
      </c>
      <c r="C467" s="611" t="s">
        <v>111</v>
      </c>
      <c r="D467" s="576">
        <f t="shared" si="352"/>
        <v>1</v>
      </c>
      <c r="E467" s="577" t="e">
        <f t="shared" si="353"/>
        <v>#REF!</v>
      </c>
      <c r="F467" s="577" t="e">
        <f t="shared" si="354"/>
        <v>#REF!</v>
      </c>
      <c r="G467" s="578"/>
      <c r="I467" s="594"/>
      <c r="J467" s="580" t="e">
        <f t="shared" si="355"/>
        <v>#REF!</v>
      </c>
      <c r="K467" s="537"/>
      <c r="L467" s="445" t="e">
        <f t="shared" si="356"/>
        <v>#REF!</v>
      </c>
      <c r="M467" s="542"/>
      <c r="N467" s="445" t="e">
        <f t="shared" si="357"/>
        <v>#REF!</v>
      </c>
      <c r="O467" s="542">
        <v>1</v>
      </c>
      <c r="P467" s="445" t="e">
        <f t="shared" si="358"/>
        <v>#REF!</v>
      </c>
      <c r="Q467" s="542"/>
      <c r="R467" s="445" t="e">
        <f t="shared" si="359"/>
        <v>#REF!</v>
      </c>
      <c r="S467" s="542"/>
      <c r="T467" s="445" t="e">
        <f t="shared" si="360"/>
        <v>#REF!</v>
      </c>
      <c r="V467" s="581" t="e">
        <f>+#REF!</f>
        <v>#REF!</v>
      </c>
      <c r="W467" s="582" t="e">
        <f t="shared" si="361"/>
        <v>#REF!</v>
      </c>
      <c r="X467" s="581" t="e">
        <f>+#REF!</f>
        <v>#REF!</v>
      </c>
      <c r="Y467" s="582" t="e">
        <f t="shared" si="362"/>
        <v>#REF!</v>
      </c>
      <c r="Z467" s="581" t="e">
        <f>+#REF!</f>
        <v>#REF!</v>
      </c>
      <c r="AA467" s="582" t="e">
        <f t="shared" si="363"/>
        <v>#REF!</v>
      </c>
      <c r="AB467" s="581" t="e">
        <f>+#REF!</f>
        <v>#REF!</v>
      </c>
      <c r="AC467" s="582" t="e">
        <f t="shared" si="364"/>
        <v>#REF!</v>
      </c>
      <c r="AE467" s="769" t="e">
        <f t="shared" si="365"/>
        <v>#REF!</v>
      </c>
    </row>
    <row r="468" spans="1:31" s="666" customFormat="1" ht="8.25" customHeight="1" thickBot="1" x14ac:dyDescent="0.25">
      <c r="A468" s="662"/>
      <c r="B468" s="663"/>
      <c r="C468" s="116"/>
      <c r="D468" s="173"/>
      <c r="E468" s="177"/>
      <c r="F468" s="177"/>
      <c r="G468" s="177"/>
      <c r="H468" s="642"/>
      <c r="I468" s="644"/>
      <c r="J468" s="644"/>
      <c r="K468" s="664"/>
      <c r="L468" s="644"/>
      <c r="M468" s="177"/>
      <c r="N468" s="644"/>
      <c r="O468" s="177"/>
      <c r="P468" s="644"/>
      <c r="Q468" s="177"/>
      <c r="R468" s="644"/>
      <c r="S468" s="177"/>
      <c r="T468" s="644"/>
      <c r="U468" s="642"/>
      <c r="V468" s="665"/>
      <c r="W468" s="665"/>
      <c r="X468" s="665"/>
      <c r="Y468" s="665"/>
      <c r="Z468" s="665"/>
      <c r="AA468" s="665"/>
      <c r="AB468" s="665"/>
      <c r="AC468" s="665"/>
      <c r="AD468" s="921"/>
      <c r="AE468" s="769">
        <f t="shared" si="365"/>
        <v>0</v>
      </c>
    </row>
    <row r="469" spans="1:31" ht="30" customHeight="1" thickTop="1" thickBot="1" x14ac:dyDescent="0.25">
      <c r="A469" s="564" t="s">
        <v>1384</v>
      </c>
      <c r="B469" s="1045" t="s">
        <v>1385</v>
      </c>
      <c r="C469" s="1045"/>
      <c r="D469" s="1045"/>
      <c r="E469" s="1045"/>
      <c r="F469" s="1045"/>
      <c r="G469" s="180" t="e">
        <f>+ROUND(F470+F475,10)</f>
        <v>#REF!</v>
      </c>
      <c r="H469" s="568"/>
      <c r="I469" s="616"/>
      <c r="J469" s="439" t="e">
        <f>+ROUND(J470+J475,10)</f>
        <v>#REF!</v>
      </c>
      <c r="K469" s="617"/>
      <c r="L469" s="180" t="e">
        <f>+ROUND(L470+L475,10)</f>
        <v>#REF!</v>
      </c>
      <c r="M469" s="180"/>
      <c r="N469" s="180" t="e">
        <f>+ROUND(N470+N475,10)</f>
        <v>#REF!</v>
      </c>
      <c r="O469" s="180"/>
      <c r="P469" s="180" t="e">
        <f>+ROUND(P470+P475,10)</f>
        <v>#REF!</v>
      </c>
      <c r="Q469" s="180"/>
      <c r="R469" s="180" t="e">
        <f>+ROUND(R470+R475,10)</f>
        <v>#REF!</v>
      </c>
      <c r="S469" s="180"/>
      <c r="T469" s="180" t="e">
        <f>+ROUND(T470+T475,10)</f>
        <v>#REF!</v>
      </c>
      <c r="U469" s="568"/>
      <c r="V469" s="569" t="e">
        <f>W469/$G$469</f>
        <v>#REF!</v>
      </c>
      <c r="W469" s="570" t="e">
        <f>ROUND(W470+W475,10)</f>
        <v>#REF!</v>
      </c>
      <c r="X469" s="569" t="e">
        <f>Y469/$G$469</f>
        <v>#REF!</v>
      </c>
      <c r="Y469" s="570" t="e">
        <f>ROUND(Y470+Y475,10)</f>
        <v>#REF!</v>
      </c>
      <c r="Z469" s="569" t="e">
        <f>AA469/$G$469</f>
        <v>#REF!</v>
      </c>
      <c r="AA469" s="570" t="e">
        <f>ROUND(AA470+AA475,10)</f>
        <v>#REF!</v>
      </c>
      <c r="AB469" s="569" t="e">
        <f>AC469/$G$469</f>
        <v>#REF!</v>
      </c>
      <c r="AC469" s="570">
        <f>ROUND(AC470+AC475,10)</f>
        <v>0</v>
      </c>
      <c r="AE469" s="769" t="e">
        <f t="shared" si="365"/>
        <v>#REF!</v>
      </c>
    </row>
    <row r="470" spans="1:31" s="595" customFormat="1" ht="16.5" thickTop="1" x14ac:dyDescent="0.2">
      <c r="A470" s="572" t="s">
        <v>1386</v>
      </c>
      <c r="B470" s="573" t="s">
        <v>1387</v>
      </c>
      <c r="C470" s="846"/>
      <c r="D470" s="576"/>
      <c r="E470" s="180"/>
      <c r="F470" s="180" t="e">
        <f>+ROUND(SUM(F471:F474),10)</f>
        <v>#REF!</v>
      </c>
      <c r="G470" s="473"/>
      <c r="H470" s="568"/>
      <c r="I470" s="618"/>
      <c r="J470" s="439" t="e">
        <f>ROUND(SUM(J471:J474),10)</f>
        <v>#REF!</v>
      </c>
      <c r="K470" s="539"/>
      <c r="L470" s="180" t="e">
        <f>ROUND(SUM(L471:L474),10)</f>
        <v>#REF!</v>
      </c>
      <c r="M470" s="541"/>
      <c r="N470" s="180" t="e">
        <f>ROUND(SUM(N471:N474),10)</f>
        <v>#REF!</v>
      </c>
      <c r="O470" s="541"/>
      <c r="P470" s="180" t="e">
        <f>ROUND(SUM(P471:P474),10)</f>
        <v>#REF!</v>
      </c>
      <c r="Q470" s="541"/>
      <c r="R470" s="180" t="e">
        <f>ROUND(SUM(R471:R474),10)</f>
        <v>#REF!</v>
      </c>
      <c r="S470" s="541"/>
      <c r="T470" s="180" t="e">
        <f>ROUND(SUM(T471:T474),10)</f>
        <v>#REF!</v>
      </c>
      <c r="U470" s="568"/>
      <c r="V470" s="575"/>
      <c r="W470" s="570" t="e">
        <f>ROUND(SUM(W471:W474),10)</f>
        <v>#REF!</v>
      </c>
      <c r="X470" s="575"/>
      <c r="Y470" s="570" t="e">
        <f>ROUND(SUM(Y471:Y474),10)</f>
        <v>#REF!</v>
      </c>
      <c r="Z470" s="575"/>
      <c r="AA470" s="570" t="e">
        <f>ROUND(SUM(AA471:AA474),10)</f>
        <v>#REF!</v>
      </c>
      <c r="AB470" s="575"/>
      <c r="AC470" s="570">
        <f>ROUND(SUM(AC471:AC474),10)</f>
        <v>0</v>
      </c>
      <c r="AD470" s="912"/>
      <c r="AE470" s="769" t="e">
        <f t="shared" si="365"/>
        <v>#REF!</v>
      </c>
    </row>
    <row r="471" spans="1:31" s="595" customFormat="1" x14ac:dyDescent="0.2">
      <c r="A471" s="611" t="s">
        <v>1388</v>
      </c>
      <c r="B471" s="601" t="s">
        <v>1389</v>
      </c>
      <c r="C471" s="611" t="s">
        <v>130</v>
      </c>
      <c r="D471" s="576">
        <f>+I471+K471+M471+O471+Q471+S471</f>
        <v>737.82</v>
      </c>
      <c r="E471" s="577" t="e">
        <f t="shared" ref="E471:E478" si="366">V471+X471+Z471+AB471</f>
        <v>#REF!</v>
      </c>
      <c r="F471" s="577" t="e">
        <f>ROUND(D471*E471,10)</f>
        <v>#REF!</v>
      </c>
      <c r="G471" s="578"/>
      <c r="H471" s="552"/>
      <c r="I471" s="594"/>
      <c r="J471" s="580" t="e">
        <f>+ROUND(E471*I471,10)</f>
        <v>#REF!</v>
      </c>
      <c r="K471" s="537">
        <v>66.989999999999995</v>
      </c>
      <c r="L471" s="445" t="e">
        <f>+ROUND(E471*K471,10)</f>
        <v>#REF!</v>
      </c>
      <c r="M471" s="542">
        <f>140.26+4.86+43.92</f>
        <v>189.04000000000002</v>
      </c>
      <c r="N471" s="445" t="e">
        <f>+ROUND(E471*M471,10)</f>
        <v>#REF!</v>
      </c>
      <c r="O471" s="537">
        <f>174.95+52.28+12.6+147.13+67.86+10.36+16.61</f>
        <v>481.79</v>
      </c>
      <c r="P471" s="445" t="e">
        <f>+ROUND(E471*O471,10)</f>
        <v>#REF!</v>
      </c>
      <c r="Q471" s="542"/>
      <c r="R471" s="445" t="e">
        <f>+ROUND(E471*Q471,10)</f>
        <v>#REF!</v>
      </c>
      <c r="S471" s="542"/>
      <c r="T471" s="445" t="e">
        <f>+ROUND(E471*S471,10)</f>
        <v>#REF!</v>
      </c>
      <c r="U471" s="552"/>
      <c r="V471" s="581" t="e">
        <f>+#REF!</f>
        <v>#REF!</v>
      </c>
      <c r="W471" s="582" t="e">
        <f>ROUND(V471*$D471,10)</f>
        <v>#REF!</v>
      </c>
      <c r="X471" s="581" t="e">
        <f>+#REF!</f>
        <v>#REF!</v>
      </c>
      <c r="Y471" s="582" t="e">
        <f>ROUND(X471*$D471,10)</f>
        <v>#REF!</v>
      </c>
      <c r="Z471" s="581" t="e">
        <f>+#REF!</f>
        <v>#REF!</v>
      </c>
      <c r="AA471" s="582" t="e">
        <f>ROUND(Z471*$D471,10)</f>
        <v>#REF!</v>
      </c>
      <c r="AB471" s="581"/>
      <c r="AC471" s="582">
        <f>ROUND(AB471*$D471,10)</f>
        <v>0</v>
      </c>
      <c r="AD471" s="912"/>
      <c r="AE471" s="769" t="e">
        <f t="shared" si="365"/>
        <v>#REF!</v>
      </c>
    </row>
    <row r="472" spans="1:31" s="595" customFormat="1" x14ac:dyDescent="0.2">
      <c r="A472" s="611" t="s">
        <v>1390</v>
      </c>
      <c r="B472" s="601" t="s">
        <v>1391</v>
      </c>
      <c r="C472" s="611" t="s">
        <v>130</v>
      </c>
      <c r="D472" s="576">
        <f>+I472+K472+M472+O472+Q472+S472</f>
        <v>754.67000000000007</v>
      </c>
      <c r="E472" s="577" t="e">
        <f t="shared" si="366"/>
        <v>#REF!</v>
      </c>
      <c r="F472" s="577" t="e">
        <f>ROUND(D472*E472,10)</f>
        <v>#REF!</v>
      </c>
      <c r="G472" s="578"/>
      <c r="H472" s="552"/>
      <c r="I472" s="584"/>
      <c r="J472" s="585" t="e">
        <f>+ROUND(E472*I472,10)</f>
        <v>#REF!</v>
      </c>
      <c r="K472" s="537">
        <f>309.27+24.34+57.8+214.97+19.47+38.24+18.88+42.04</f>
        <v>725.01</v>
      </c>
      <c r="L472" s="445" t="e">
        <f>+ROUND(E472*K472,10)</f>
        <v>#REF!</v>
      </c>
      <c r="M472" s="542">
        <f>2.6+7.11</f>
        <v>9.7100000000000009</v>
      </c>
      <c r="N472" s="445" t="e">
        <f>+ROUND(E472*M472,10)</f>
        <v>#REF!</v>
      </c>
      <c r="O472" s="537">
        <f>9.44+10.51</f>
        <v>19.95</v>
      </c>
      <c r="P472" s="445" t="e">
        <f>+ROUND(E472*O472,10)</f>
        <v>#REF!</v>
      </c>
      <c r="Q472" s="542"/>
      <c r="R472" s="445" t="e">
        <f>+ROUND(E472*Q472,10)</f>
        <v>#REF!</v>
      </c>
      <c r="S472" s="542"/>
      <c r="T472" s="445" t="e">
        <f>+ROUND(E472*S472,10)</f>
        <v>#REF!</v>
      </c>
      <c r="U472" s="552"/>
      <c r="V472" s="581" t="e">
        <f>+#REF!</f>
        <v>#REF!</v>
      </c>
      <c r="W472" s="582" t="e">
        <f>ROUND(V472*$D472,10)</f>
        <v>#REF!</v>
      </c>
      <c r="X472" s="581" t="e">
        <f>+#REF!</f>
        <v>#REF!</v>
      </c>
      <c r="Y472" s="582" t="e">
        <f>ROUND(X472*$D472,10)</f>
        <v>#REF!</v>
      </c>
      <c r="Z472" s="581" t="e">
        <f>+#REF!</f>
        <v>#REF!</v>
      </c>
      <c r="AA472" s="582" t="e">
        <f>ROUND(Z472*$D472,10)</f>
        <v>#REF!</v>
      </c>
      <c r="AB472" s="581"/>
      <c r="AC472" s="582">
        <f>ROUND(AB472*$D472,10)</f>
        <v>0</v>
      </c>
      <c r="AD472" s="912"/>
      <c r="AE472" s="769" t="e">
        <f t="shared" si="365"/>
        <v>#REF!</v>
      </c>
    </row>
    <row r="473" spans="1:31" s="595" customFormat="1" x14ac:dyDescent="0.2">
      <c r="A473" s="611" t="s">
        <v>1392</v>
      </c>
      <c r="B473" s="601" t="s">
        <v>1393</v>
      </c>
      <c r="C473" s="611" t="s">
        <v>130</v>
      </c>
      <c r="D473" s="576">
        <f>+I473+K473+M473+O473+Q473+S473</f>
        <v>671.5</v>
      </c>
      <c r="E473" s="577" t="e">
        <f t="shared" si="366"/>
        <v>#REF!</v>
      </c>
      <c r="F473" s="577" t="e">
        <f>ROUND(D473*E473,10)</f>
        <v>#REF!</v>
      </c>
      <c r="G473" s="578"/>
      <c r="H473" s="552"/>
      <c r="I473" s="584"/>
      <c r="J473" s="585" t="e">
        <f>+ROUND(E473*I473,10)</f>
        <v>#REF!</v>
      </c>
      <c r="K473" s="537">
        <f>116.51+28.08+57.8+73.35+22.46+38.24+9.44+42.04</f>
        <v>387.92</v>
      </c>
      <c r="L473" s="445" t="e">
        <f>+ROUND(E473*K473,10)</f>
        <v>#REF!</v>
      </c>
      <c r="M473" s="542">
        <f>1.3+10.51+28.17</f>
        <v>39.980000000000004</v>
      </c>
      <c r="N473" s="445" t="e">
        <f>+ROUND(E473*M473,10)</f>
        <v>#REF!</v>
      </c>
      <c r="O473" s="537">
        <f>4.72+10.51</f>
        <v>15.23</v>
      </c>
      <c r="P473" s="445" t="e">
        <f>+ROUND(E473*O473,10)</f>
        <v>#REF!</v>
      </c>
      <c r="Q473" s="537">
        <v>121.98</v>
      </c>
      <c r="R473" s="445" t="e">
        <f>+ROUND(E473*Q473,10)</f>
        <v>#REF!</v>
      </c>
      <c r="S473" s="537">
        <f>61.72+44.67</f>
        <v>106.39</v>
      </c>
      <c r="T473" s="445" t="e">
        <f>+ROUND(E473*S473,10)</f>
        <v>#REF!</v>
      </c>
      <c r="U473" s="552"/>
      <c r="V473" s="581" t="e">
        <f>+#REF!</f>
        <v>#REF!</v>
      </c>
      <c r="W473" s="582" t="e">
        <f>ROUND(V473*$D473,10)</f>
        <v>#REF!</v>
      </c>
      <c r="X473" s="581" t="e">
        <f>+#REF!</f>
        <v>#REF!</v>
      </c>
      <c r="Y473" s="582" t="e">
        <f>ROUND(X473*$D473,10)</f>
        <v>#REF!</v>
      </c>
      <c r="Z473" s="581" t="e">
        <f>+#REF!</f>
        <v>#REF!</v>
      </c>
      <c r="AA473" s="582" t="e">
        <f>ROUND(Z473*$D473,10)</f>
        <v>#REF!</v>
      </c>
      <c r="AB473" s="581"/>
      <c r="AC473" s="582">
        <f>ROUND(AB473*$D473,10)</f>
        <v>0</v>
      </c>
      <c r="AD473" s="912"/>
      <c r="AE473" s="769" t="e">
        <f t="shared" si="365"/>
        <v>#REF!</v>
      </c>
    </row>
    <row r="474" spans="1:31" s="595" customFormat="1" ht="15" hidden="1" customHeight="1" x14ac:dyDescent="0.2">
      <c r="A474" s="611" t="s">
        <v>1394</v>
      </c>
      <c r="B474" s="601" t="s">
        <v>1395</v>
      </c>
      <c r="C474" s="611"/>
      <c r="D474" s="576">
        <f>+I474+K474+M474+O474+Q474+S474</f>
        <v>0</v>
      </c>
      <c r="E474" s="577">
        <f t="shared" si="366"/>
        <v>0</v>
      </c>
      <c r="F474" s="577">
        <f>ROUND(D474*E474,10)</f>
        <v>0</v>
      </c>
      <c r="G474" s="578"/>
      <c r="H474" s="552"/>
      <c r="I474" s="597"/>
      <c r="J474" s="598">
        <f>+ROUND(E474*I474,10)</f>
        <v>0</v>
      </c>
      <c r="K474" s="537"/>
      <c r="L474" s="445">
        <f>+ROUND(E474*K474,10)</f>
        <v>0</v>
      </c>
      <c r="M474" s="542"/>
      <c r="N474" s="445">
        <f>+ROUND(E474*M474,10)</f>
        <v>0</v>
      </c>
      <c r="O474" s="542"/>
      <c r="P474" s="445">
        <f>+ROUND(E474*O474,10)</f>
        <v>0</v>
      </c>
      <c r="Q474" s="542"/>
      <c r="R474" s="445">
        <f>+ROUND(E474*Q474,10)</f>
        <v>0</v>
      </c>
      <c r="S474" s="542"/>
      <c r="T474" s="445">
        <f>+ROUND(E474*S474,10)</f>
        <v>0</v>
      </c>
      <c r="U474" s="552"/>
      <c r="V474" s="581"/>
      <c r="W474" s="582">
        <f>ROUND(V474*$D474,10)</f>
        <v>0</v>
      </c>
      <c r="X474" s="581"/>
      <c r="Y474" s="582">
        <f>ROUND(X474*$D474,10)</f>
        <v>0</v>
      </c>
      <c r="Z474" s="581"/>
      <c r="AA474" s="582">
        <f>ROUND(Z474*$D474,10)</f>
        <v>0</v>
      </c>
      <c r="AB474" s="581"/>
      <c r="AC474" s="582">
        <f>ROUND(AB474*$D474,10)</f>
        <v>0</v>
      </c>
      <c r="AD474" s="912"/>
      <c r="AE474" s="769">
        <f t="shared" si="365"/>
        <v>0</v>
      </c>
    </row>
    <row r="475" spans="1:31" s="595" customFormat="1" ht="15.75" x14ac:dyDescent="0.2">
      <c r="A475" s="572" t="s">
        <v>1396</v>
      </c>
      <c r="B475" s="573" t="s">
        <v>1397</v>
      </c>
      <c r="C475" s="846"/>
      <c r="D475" s="576"/>
      <c r="E475" s="577"/>
      <c r="F475" s="180" t="e">
        <f>+ROUND(SUM(F476:F478),10)</f>
        <v>#REF!</v>
      </c>
      <c r="G475" s="473"/>
      <c r="H475" s="565"/>
      <c r="I475" s="613"/>
      <c r="J475" s="440" t="e">
        <f>ROUND(SUM(J476:J478),10)</f>
        <v>#REF!</v>
      </c>
      <c r="K475" s="537"/>
      <c r="L475" s="180" t="e">
        <f>ROUND(SUM(L476:L478),10)</f>
        <v>#REF!</v>
      </c>
      <c r="M475" s="542"/>
      <c r="N475" s="180" t="e">
        <f>ROUND(SUM(N476:N478),10)</f>
        <v>#REF!</v>
      </c>
      <c r="O475" s="542"/>
      <c r="P475" s="180" t="e">
        <f>ROUND(SUM(P476:P478),10)</f>
        <v>#REF!</v>
      </c>
      <c r="Q475" s="542"/>
      <c r="R475" s="180" t="e">
        <f>ROUND(SUM(R476:R478),10)</f>
        <v>#REF!</v>
      </c>
      <c r="S475" s="542"/>
      <c r="T475" s="180" t="e">
        <f>ROUND(SUM(T476:T478),10)</f>
        <v>#REF!</v>
      </c>
      <c r="U475" s="565"/>
      <c r="V475" s="575"/>
      <c r="W475" s="570" t="e">
        <f>ROUND(SUM(W476:W478),10)</f>
        <v>#REF!</v>
      </c>
      <c r="X475" s="575"/>
      <c r="Y475" s="570" t="e">
        <f>ROUND(SUM(Y476:Y478),10)</f>
        <v>#REF!</v>
      </c>
      <c r="Z475" s="575"/>
      <c r="AA475" s="570" t="e">
        <f>ROUND(SUM(AA476:AA478),10)</f>
        <v>#REF!</v>
      </c>
      <c r="AB475" s="575"/>
      <c r="AC475" s="570">
        <f>ROUND(SUM(AC476:AC478),10)</f>
        <v>0</v>
      </c>
      <c r="AD475" s="912"/>
      <c r="AE475" s="769" t="e">
        <f t="shared" si="365"/>
        <v>#REF!</v>
      </c>
    </row>
    <row r="476" spans="1:31" s="595" customFormat="1" x14ac:dyDescent="0.2">
      <c r="A476" s="611" t="s">
        <v>1398</v>
      </c>
      <c r="B476" s="601" t="s">
        <v>1399</v>
      </c>
      <c r="C476" s="611" t="s">
        <v>130</v>
      </c>
      <c r="D476" s="768">
        <f>+I476+K476+M476+O476+Q476+S476</f>
        <v>506.90999999999997</v>
      </c>
      <c r="E476" s="577" t="e">
        <f t="shared" si="366"/>
        <v>#REF!</v>
      </c>
      <c r="F476" s="577" t="e">
        <f>ROUND(D476*E476,10)</f>
        <v>#REF!</v>
      </c>
      <c r="G476" s="578"/>
      <c r="H476" s="554"/>
      <c r="I476" s="594"/>
      <c r="J476" s="580" t="e">
        <f>+ROUND(E476*I476,10)</f>
        <v>#REF!</v>
      </c>
      <c r="K476" s="537">
        <v>283.61</v>
      </c>
      <c r="L476" s="445" t="e">
        <f>+ROUND(E476*K476,10)</f>
        <v>#REF!</v>
      </c>
      <c r="M476" s="542">
        <v>30.96</v>
      </c>
      <c r="N476" s="445" t="e">
        <f>+ROUND(E476*M476,10)</f>
        <v>#REF!</v>
      </c>
      <c r="O476" s="542">
        <v>73.959999999999994</v>
      </c>
      <c r="P476" s="445" t="e">
        <f>+ROUND(E476*O476,10)</f>
        <v>#REF!</v>
      </c>
      <c r="Q476" s="537">
        <v>118.38</v>
      </c>
      <c r="R476" s="445" t="e">
        <f>+ROUND(E476*Q476,10)</f>
        <v>#REF!</v>
      </c>
      <c r="S476" s="537"/>
      <c r="T476" s="445" t="e">
        <f>+ROUND(E476*S476,10)</f>
        <v>#REF!</v>
      </c>
      <c r="U476" s="554"/>
      <c r="V476" s="581" t="e">
        <f>+#REF!</f>
        <v>#REF!</v>
      </c>
      <c r="W476" s="582" t="e">
        <f>ROUND(V476*$D476,10)</f>
        <v>#REF!</v>
      </c>
      <c r="X476" s="581" t="e">
        <f>+#REF!</f>
        <v>#REF!</v>
      </c>
      <c r="Y476" s="582" t="e">
        <f>ROUND(X476*$D476,10)</f>
        <v>#REF!</v>
      </c>
      <c r="Z476" s="581" t="e">
        <f>+#REF!</f>
        <v>#REF!</v>
      </c>
      <c r="AA476" s="582" t="e">
        <f>ROUND(Z476*$D476,10)</f>
        <v>#REF!</v>
      </c>
      <c r="AB476" s="581"/>
      <c r="AC476" s="582">
        <f>ROUND(AB476*$D476,10)</f>
        <v>0</v>
      </c>
      <c r="AD476" s="912"/>
      <c r="AE476" s="769" t="e">
        <f t="shared" si="365"/>
        <v>#REF!</v>
      </c>
    </row>
    <row r="477" spans="1:31" s="595" customFormat="1" ht="15" hidden="1" customHeight="1" x14ac:dyDescent="0.2">
      <c r="A477" s="611" t="s">
        <v>1400</v>
      </c>
      <c r="B477" s="601" t="s">
        <v>1401</v>
      </c>
      <c r="C477" s="611" t="s">
        <v>130</v>
      </c>
      <c r="D477" s="576">
        <f>+I477+K477+M477+O477+Q477+S477</f>
        <v>0</v>
      </c>
      <c r="E477" s="577">
        <f t="shared" si="366"/>
        <v>0</v>
      </c>
      <c r="F477" s="577">
        <f>ROUND(D477*E477,10)</f>
        <v>0</v>
      </c>
      <c r="G477" s="578"/>
      <c r="H477" s="552"/>
      <c r="I477" s="584"/>
      <c r="J477" s="585">
        <f>+ROUND(E477*I477,10)</f>
        <v>0</v>
      </c>
      <c r="K477" s="537"/>
      <c r="L477" s="445">
        <f>+ROUND(E477*K477,10)</f>
        <v>0</v>
      </c>
      <c r="M477" s="542"/>
      <c r="N477" s="445">
        <f>+ROUND(E477*M477,10)</f>
        <v>0</v>
      </c>
      <c r="O477" s="542"/>
      <c r="P477" s="445">
        <f>+ROUND(E477*O477,10)</f>
        <v>0</v>
      </c>
      <c r="Q477" s="542"/>
      <c r="R477" s="445">
        <f>+ROUND(E477*Q477,10)</f>
        <v>0</v>
      </c>
      <c r="S477" s="542"/>
      <c r="T477" s="445">
        <f>+ROUND(E477*S477,10)</f>
        <v>0</v>
      </c>
      <c r="U477" s="552"/>
      <c r="V477" s="581"/>
      <c r="W477" s="582">
        <f>ROUND(V477*$D477,10)</f>
        <v>0</v>
      </c>
      <c r="X477" s="581"/>
      <c r="Y477" s="582">
        <f>ROUND(X477*$D477,10)</f>
        <v>0</v>
      </c>
      <c r="Z477" s="581"/>
      <c r="AA477" s="582">
        <f>ROUND(Z477*$D477,10)</f>
        <v>0</v>
      </c>
      <c r="AB477" s="581"/>
      <c r="AC477" s="582">
        <f>ROUND(AB477*$D477,10)</f>
        <v>0</v>
      </c>
      <c r="AD477" s="912"/>
      <c r="AE477" s="769">
        <f t="shared" si="365"/>
        <v>0</v>
      </c>
    </row>
    <row r="478" spans="1:31" s="595" customFormat="1" ht="15.75" hidden="1" customHeight="1" thickBot="1" x14ac:dyDescent="0.25">
      <c r="A478" s="611" t="s">
        <v>1402</v>
      </c>
      <c r="B478" s="601" t="s">
        <v>1395</v>
      </c>
      <c r="C478" s="611"/>
      <c r="D478" s="576">
        <f>+I478+K478+M478+O478+Q478+S478</f>
        <v>0</v>
      </c>
      <c r="E478" s="577">
        <f t="shared" si="366"/>
        <v>0</v>
      </c>
      <c r="F478" s="577">
        <f>ROUND(D478*E478,10)</f>
        <v>0</v>
      </c>
      <c r="G478" s="578"/>
      <c r="H478" s="552"/>
      <c r="I478" s="602"/>
      <c r="J478" s="603">
        <f>+ROUND(E478*I478,10)</f>
        <v>0</v>
      </c>
      <c r="K478" s="537"/>
      <c r="L478" s="445">
        <f>+ROUND(E478*K478,10)</f>
        <v>0</v>
      </c>
      <c r="M478" s="542"/>
      <c r="N478" s="445">
        <f>+ROUND(E478*M478,10)</f>
        <v>0</v>
      </c>
      <c r="O478" s="542"/>
      <c r="P478" s="445">
        <f>+ROUND(E478*O478,10)</f>
        <v>0</v>
      </c>
      <c r="Q478" s="542"/>
      <c r="R478" s="445">
        <f>+ROUND(E478*Q478,10)</f>
        <v>0</v>
      </c>
      <c r="S478" s="542"/>
      <c r="T478" s="445">
        <f>+ROUND(E478*S478,10)</f>
        <v>0</v>
      </c>
      <c r="U478" s="552"/>
      <c r="V478" s="581"/>
      <c r="W478" s="582">
        <f>ROUND(V478*$D478,10)</f>
        <v>0</v>
      </c>
      <c r="X478" s="581"/>
      <c r="Y478" s="582">
        <f>ROUND(X478*$D478,10)</f>
        <v>0</v>
      </c>
      <c r="Z478" s="581"/>
      <c r="AA478" s="582">
        <f>ROUND(Z478*$D478,10)</f>
        <v>0</v>
      </c>
      <c r="AB478" s="581"/>
      <c r="AC478" s="582">
        <f>ROUND(AB478*$D478,10)</f>
        <v>0</v>
      </c>
      <c r="AD478" s="912"/>
      <c r="AE478" s="769">
        <f t="shared" si="365"/>
        <v>0</v>
      </c>
    </row>
    <row r="479" spans="1:31" s="595" customFormat="1" ht="15" hidden="1" customHeight="1" x14ac:dyDescent="0.2">
      <c r="A479" s="611"/>
      <c r="B479" s="601"/>
      <c r="C479" s="611"/>
      <c r="D479" s="576"/>
      <c r="E479" s="577"/>
      <c r="F479" s="577"/>
      <c r="G479" s="578"/>
      <c r="H479" s="552"/>
      <c r="I479" s="604"/>
      <c r="J479" s="635"/>
      <c r="K479" s="537"/>
      <c r="L479" s="445"/>
      <c r="M479" s="542"/>
      <c r="N479" s="445"/>
      <c r="O479" s="542"/>
      <c r="P479" s="445"/>
      <c r="Q479" s="542"/>
      <c r="R479" s="445"/>
      <c r="S479" s="542"/>
      <c r="T479" s="445"/>
      <c r="U479" s="552"/>
      <c r="V479" s="581"/>
      <c r="W479" s="582"/>
      <c r="X479" s="581"/>
      <c r="Y479" s="582"/>
      <c r="Z479" s="581"/>
      <c r="AA479" s="582"/>
      <c r="AB479" s="581"/>
      <c r="AC479" s="582"/>
      <c r="AD479" s="912"/>
      <c r="AE479" s="769">
        <f t="shared" si="365"/>
        <v>0</v>
      </c>
    </row>
    <row r="480" spans="1:31" s="666" customFormat="1" ht="6.75" customHeight="1" thickBot="1" x14ac:dyDescent="0.25">
      <c r="A480" s="919"/>
      <c r="B480" s="920"/>
      <c r="C480" s="919"/>
      <c r="D480" s="655"/>
      <c r="E480" s="656"/>
      <c r="F480" s="656"/>
      <c r="G480" s="656"/>
      <c r="H480" s="657"/>
      <c r="I480" s="658"/>
      <c r="J480" s="658"/>
      <c r="K480" s="659"/>
      <c r="L480" s="658"/>
      <c r="M480" s="174"/>
      <c r="N480" s="658"/>
      <c r="O480" s="174"/>
      <c r="P480" s="658"/>
      <c r="Q480" s="174"/>
      <c r="R480" s="658"/>
      <c r="S480" s="174"/>
      <c r="T480" s="658"/>
      <c r="U480" s="657"/>
      <c r="V480" s="667"/>
      <c r="W480" s="667"/>
      <c r="X480" s="667"/>
      <c r="Y480" s="667"/>
      <c r="Z480" s="667"/>
      <c r="AA480" s="667"/>
      <c r="AB480" s="667"/>
      <c r="AC480" s="667"/>
      <c r="AD480" s="921"/>
      <c r="AE480" s="769"/>
    </row>
    <row r="481" spans="1:31" ht="30" customHeight="1" thickTop="1" thickBot="1" x14ac:dyDescent="0.25">
      <c r="A481" s="564" t="s">
        <v>1403</v>
      </c>
      <c r="B481" s="1045" t="s">
        <v>1404</v>
      </c>
      <c r="C481" s="1045"/>
      <c r="D481" s="1045"/>
      <c r="E481" s="1045"/>
      <c r="F481" s="1045"/>
      <c r="G481" s="180" t="e">
        <f>+ROUND(F482+F490+F495+F499+F502+F506+F509+F511+F513+F515+F517+F524+F527+F529+F531+F537,10)</f>
        <v>#REF!</v>
      </c>
      <c r="H481" s="568"/>
      <c r="I481" s="616"/>
      <c r="J481" s="439" t="e">
        <f>+ROUND(J482+J490+J495+J499+J502+J506+J509+J511+J513+J515+J517+J524+J527+J529+J531+J537,10)</f>
        <v>#REF!</v>
      </c>
      <c r="K481" s="617"/>
      <c r="L481" s="180" t="e">
        <f>+ROUND(L482+L490+L495+L499+L502+L506+L509+L511+L513+L515+L517+L524+L527+L529+L531+L537,10)</f>
        <v>#REF!</v>
      </c>
      <c r="M481" s="180"/>
      <c r="N481" s="180" t="e">
        <f>+ROUND(N482+N490+N495+N499+N502+N506+N509+N511+N513+N515+N517+N524+N527+N529+N531+N537,10)</f>
        <v>#REF!</v>
      </c>
      <c r="O481" s="180"/>
      <c r="P481" s="180" t="e">
        <f>+ROUND(P482+P490+P495+P499+P502+P506+P509+P511+P513+P515+P517+P524+P527+P529+P531+P537,10)</f>
        <v>#REF!</v>
      </c>
      <c r="Q481" s="180"/>
      <c r="R481" s="180" t="e">
        <f>+ROUND(R482+R490+R495+R499+R502+R506+R509+R511+R513+R515+R517+R524+R527+R529+R531+R537,10)</f>
        <v>#REF!</v>
      </c>
      <c r="S481" s="180"/>
      <c r="T481" s="180" t="e">
        <f>+ROUND(T482+T490+T495+T499+T502+T506+T509+T511+T513+T515+T517+T524+T527+T529+T531+T537,10)</f>
        <v>#REF!</v>
      </c>
      <c r="U481" s="568"/>
      <c r="V481" s="569" t="e">
        <f>W481/$G$481</f>
        <v>#REF!</v>
      </c>
      <c r="W481" s="570" t="e">
        <f>ROUND(W482+W490+W495+W499+W502+W506+W509+W511+W513+W515+W517+W524+W527+W529+W531+W537,10)</f>
        <v>#REF!</v>
      </c>
      <c r="X481" s="569" t="e">
        <f>Y481/$G$481</f>
        <v>#REF!</v>
      </c>
      <c r="Y481" s="570" t="e">
        <f>ROUND(Y482+Y490+Y495+Y499+Y502+Y506+Y509+Y511+Y513+Y515+Y517+Y524+Y527+Y529+Y531+Y537,10)</f>
        <v>#REF!</v>
      </c>
      <c r="Z481" s="569" t="e">
        <f>AA481/$G$481</f>
        <v>#REF!</v>
      </c>
      <c r="AA481" s="570" t="e">
        <f>ROUND(AA482+AA490+AA495+AA499+AA502+AA506+AA509+AA511+AA513+AA515+AA517+AA524+AA527+AA529+AA531+AA537,10)</f>
        <v>#REF!</v>
      </c>
      <c r="AB481" s="569" t="e">
        <f>AC481/$G$481</f>
        <v>#REF!</v>
      </c>
      <c r="AC481" s="570" t="e">
        <f>ROUND(AC482+AC490+AC495+AC499+AC502+AC506+AC509+AC511+AC513+AC515+AC517+AC524+AC527+AC529+AC531+AC537,10)</f>
        <v>#REF!</v>
      </c>
      <c r="AE481" s="769" t="e">
        <f t="shared" si="365"/>
        <v>#REF!</v>
      </c>
    </row>
    <row r="482" spans="1:31" ht="15" customHeight="1" thickTop="1" x14ac:dyDescent="0.2">
      <c r="A482" s="572" t="s">
        <v>1405</v>
      </c>
      <c r="B482" s="573" t="s">
        <v>1406</v>
      </c>
      <c r="C482" s="846"/>
      <c r="D482" s="576"/>
      <c r="E482" s="180"/>
      <c r="F482" s="180" t="e">
        <f>+ROUND(SUM(F483:F488),10)</f>
        <v>#REF!</v>
      </c>
      <c r="G482" s="473"/>
      <c r="H482" s="568"/>
      <c r="I482" s="618"/>
      <c r="J482" s="439" t="e">
        <f>ROUND(SUM(J483:J489),10)</f>
        <v>#REF!</v>
      </c>
      <c r="K482" s="619"/>
      <c r="L482" s="180" t="e">
        <f>ROUND(SUM(L483:L489),10)</f>
        <v>#REF!</v>
      </c>
      <c r="M482" s="473"/>
      <c r="N482" s="180" t="e">
        <f>ROUND(SUM(N483:N489),10)</f>
        <v>#REF!</v>
      </c>
      <c r="O482" s="473"/>
      <c r="P482" s="180" t="e">
        <f>ROUND(SUM(P483:P489),10)</f>
        <v>#REF!</v>
      </c>
      <c r="Q482" s="473"/>
      <c r="R482" s="180" t="e">
        <f>ROUND(SUM(R483:R489),10)</f>
        <v>#REF!</v>
      </c>
      <c r="S482" s="473"/>
      <c r="T482" s="180" t="e">
        <f>ROUND(SUM(T483:T489),10)</f>
        <v>#REF!</v>
      </c>
      <c r="U482" s="568"/>
      <c r="V482" s="575"/>
      <c r="W482" s="570" t="e">
        <f>ROUND(SUM(W483:W488),10)</f>
        <v>#REF!</v>
      </c>
      <c r="X482" s="575"/>
      <c r="Y482" s="570" t="e">
        <f>ROUND(SUM(Y483:Y488),10)</f>
        <v>#REF!</v>
      </c>
      <c r="Z482" s="575"/>
      <c r="AA482" s="570" t="e">
        <f>ROUND(SUM(AA483:AA488),10)</f>
        <v>#REF!</v>
      </c>
      <c r="AB482" s="575"/>
      <c r="AC482" s="570" t="e">
        <f>ROUND(SUM(AC483:AC488),10)</f>
        <v>#REF!</v>
      </c>
      <c r="AE482" s="769" t="e">
        <f t="shared" si="365"/>
        <v>#REF!</v>
      </c>
    </row>
    <row r="483" spans="1:31" ht="15" customHeight="1" x14ac:dyDescent="0.2">
      <c r="A483" s="611" t="s">
        <v>1407</v>
      </c>
      <c r="B483" s="601" t="s">
        <v>1408</v>
      </c>
      <c r="C483" s="611" t="s">
        <v>130</v>
      </c>
      <c r="D483" s="576">
        <f t="shared" ref="D483:D488" si="367">+I483+K483+M483+O483+Q483+S483</f>
        <v>22.4</v>
      </c>
      <c r="E483" s="577" t="e">
        <f t="shared" ref="E483:E542" si="368">V483+X483+Z483+AB483</f>
        <v>#REF!</v>
      </c>
      <c r="F483" s="577" t="e">
        <f t="shared" ref="F483:F488" si="369">ROUND(D483*E483,10)</f>
        <v>#REF!</v>
      </c>
      <c r="G483" s="578"/>
      <c r="I483" s="594"/>
      <c r="J483" s="580" t="e">
        <f t="shared" ref="J483:J488" si="370">+ROUND(E483*I483,10)</f>
        <v>#REF!</v>
      </c>
      <c r="K483" s="538">
        <v>20.16</v>
      </c>
      <c r="L483" s="445" t="e">
        <f t="shared" ref="L483:L488" si="371">+ROUND(E483*K483,10)</f>
        <v>#REF!</v>
      </c>
      <c r="M483" s="542">
        <v>2.2400000000000002</v>
      </c>
      <c r="N483" s="445" t="e">
        <f t="shared" ref="N483:N488" si="372">+ROUND(E483*M483,10)</f>
        <v>#REF!</v>
      </c>
      <c r="O483" s="542"/>
      <c r="P483" s="445" t="e">
        <f t="shared" ref="P483:P488" si="373">+ROUND(E483*O483,10)</f>
        <v>#REF!</v>
      </c>
      <c r="Q483" s="542"/>
      <c r="R483" s="445" t="e">
        <f t="shared" ref="R483:R488" si="374">+ROUND(E483*Q483,10)</f>
        <v>#REF!</v>
      </c>
      <c r="S483" s="542"/>
      <c r="T483" s="445" t="e">
        <f t="shared" ref="T483:T488" si="375">+ROUND(E483*S483,10)</f>
        <v>#REF!</v>
      </c>
      <c r="V483" s="581" t="e">
        <f>+'10,1,1 base mueble concreto'!I19</f>
        <v>#REF!</v>
      </c>
      <c r="W483" s="582" t="e">
        <f t="shared" ref="W483:W488" si="376">ROUND(V483*$D483,10)</f>
        <v>#REF!</v>
      </c>
      <c r="X483" s="581">
        <f>+'10,1,1 base mueble concreto'!I50</f>
        <v>9407.1200000000008</v>
      </c>
      <c r="Y483" s="582">
        <f t="shared" ref="Y483:Y488" si="377">ROUND(X483*$D483,10)</f>
        <v>210719.48800000001</v>
      </c>
      <c r="Z483" s="581">
        <f>+'10,1,1 base mueble concreto'!I30</f>
        <v>185.5</v>
      </c>
      <c r="AA483" s="582">
        <f t="shared" ref="AA483:AA488" si="378">ROUND(Z483*$D483,10)</f>
        <v>4155.2</v>
      </c>
      <c r="AB483" s="581">
        <f>+'10,1,1 base mueble concreto'!I41</f>
        <v>0</v>
      </c>
      <c r="AC483" s="582">
        <f t="shared" ref="AC483:AC488" si="379">ROUND(AB483*$D483,10)</f>
        <v>0</v>
      </c>
      <c r="AE483" s="769" t="e">
        <f t="shared" si="365"/>
        <v>#REF!</v>
      </c>
    </row>
    <row r="484" spans="1:31" ht="15" hidden="1" customHeight="1" x14ac:dyDescent="0.2">
      <c r="A484" s="611" t="s">
        <v>1409</v>
      </c>
      <c r="B484" s="601" t="s">
        <v>1410</v>
      </c>
      <c r="C484" s="611" t="s">
        <v>130</v>
      </c>
      <c r="D484" s="576">
        <f t="shared" si="367"/>
        <v>0</v>
      </c>
      <c r="E484" s="577">
        <f t="shared" si="368"/>
        <v>0</v>
      </c>
      <c r="F484" s="577">
        <f t="shared" si="369"/>
        <v>0</v>
      </c>
      <c r="G484" s="578"/>
      <c r="I484" s="584"/>
      <c r="J484" s="585">
        <f t="shared" si="370"/>
        <v>0</v>
      </c>
      <c r="K484" s="537"/>
      <c r="L484" s="445">
        <f t="shared" si="371"/>
        <v>0</v>
      </c>
      <c r="M484" s="542"/>
      <c r="N484" s="445">
        <f t="shared" si="372"/>
        <v>0</v>
      </c>
      <c r="O484" s="542"/>
      <c r="P484" s="445">
        <f t="shared" si="373"/>
        <v>0</v>
      </c>
      <c r="Q484" s="542"/>
      <c r="R484" s="445">
        <f t="shared" si="374"/>
        <v>0</v>
      </c>
      <c r="S484" s="542"/>
      <c r="T484" s="445">
        <f t="shared" si="375"/>
        <v>0</v>
      </c>
      <c r="V484" s="581"/>
      <c r="W484" s="582">
        <f t="shared" si="376"/>
        <v>0</v>
      </c>
      <c r="X484" s="581"/>
      <c r="Y484" s="582">
        <f t="shared" si="377"/>
        <v>0</v>
      </c>
      <c r="Z484" s="581"/>
      <c r="AA484" s="582">
        <f t="shared" si="378"/>
        <v>0</v>
      </c>
      <c r="AB484" s="581"/>
      <c r="AC484" s="582">
        <f t="shared" si="379"/>
        <v>0</v>
      </c>
      <c r="AE484" s="769">
        <f t="shared" si="365"/>
        <v>0</v>
      </c>
    </row>
    <row r="485" spans="1:31" ht="25.5" hidden="1" customHeight="1" x14ac:dyDescent="0.2">
      <c r="A485" s="611" t="s">
        <v>1411</v>
      </c>
      <c r="B485" s="601" t="s">
        <v>1412</v>
      </c>
      <c r="C485" s="611" t="s">
        <v>130</v>
      </c>
      <c r="D485" s="576">
        <f t="shared" si="367"/>
        <v>0</v>
      </c>
      <c r="E485" s="577" t="e">
        <f t="shared" si="368"/>
        <v>#REF!</v>
      </c>
      <c r="F485" s="577" t="e">
        <f t="shared" si="369"/>
        <v>#REF!</v>
      </c>
      <c r="G485" s="578"/>
      <c r="I485" s="584"/>
      <c r="J485" s="585" t="e">
        <f t="shared" si="370"/>
        <v>#REF!</v>
      </c>
      <c r="K485" s="537"/>
      <c r="L485" s="445" t="e">
        <f t="shared" si="371"/>
        <v>#REF!</v>
      </c>
      <c r="M485" s="542"/>
      <c r="N485" s="445" t="e">
        <f t="shared" si="372"/>
        <v>#REF!</v>
      </c>
      <c r="O485" s="542"/>
      <c r="P485" s="445" t="e">
        <f t="shared" si="373"/>
        <v>#REF!</v>
      </c>
      <c r="Q485" s="542"/>
      <c r="R485" s="445" t="e">
        <f t="shared" si="374"/>
        <v>#REF!</v>
      </c>
      <c r="S485" s="542"/>
      <c r="T485" s="445" t="e">
        <f t="shared" si="375"/>
        <v>#REF!</v>
      </c>
      <c r="V485" s="581" t="e">
        <f>+'10,1,3 Alistado pisos'!I19</f>
        <v>#REF!</v>
      </c>
      <c r="W485" s="582" t="e">
        <f t="shared" si="376"/>
        <v>#REF!</v>
      </c>
      <c r="X485" s="581">
        <f>+'10,1,3 Alistado pisos'!I50</f>
        <v>3873.52</v>
      </c>
      <c r="Y485" s="582">
        <f t="shared" si="377"/>
        <v>0</v>
      </c>
      <c r="Z485" s="581">
        <f>+'10,1,3 Alistado pisos'!I30</f>
        <v>185.5</v>
      </c>
      <c r="AA485" s="582">
        <f t="shared" si="378"/>
        <v>0</v>
      </c>
      <c r="AB485" s="581"/>
      <c r="AC485" s="582">
        <f t="shared" si="379"/>
        <v>0</v>
      </c>
      <c r="AE485" s="769" t="e">
        <f t="shared" si="365"/>
        <v>#REF!</v>
      </c>
    </row>
    <row r="486" spans="1:31" ht="15" hidden="1" customHeight="1" x14ac:dyDescent="0.2">
      <c r="A486" s="611" t="s">
        <v>1413</v>
      </c>
      <c r="B486" s="601" t="s">
        <v>1414</v>
      </c>
      <c r="C486" s="611" t="s">
        <v>130</v>
      </c>
      <c r="D486" s="576">
        <f t="shared" si="367"/>
        <v>0</v>
      </c>
      <c r="E486" s="577" t="e">
        <f t="shared" si="368"/>
        <v>#REF!</v>
      </c>
      <c r="F486" s="577" t="e">
        <f t="shared" si="369"/>
        <v>#REF!</v>
      </c>
      <c r="G486" s="578"/>
      <c r="I486" s="584"/>
      <c r="J486" s="585" t="e">
        <f t="shared" si="370"/>
        <v>#REF!</v>
      </c>
      <c r="K486" s="537"/>
      <c r="L486" s="445" t="e">
        <f t="shared" si="371"/>
        <v>#REF!</v>
      </c>
      <c r="M486" s="542"/>
      <c r="N486" s="445" t="e">
        <f t="shared" si="372"/>
        <v>#REF!</v>
      </c>
      <c r="O486" s="542"/>
      <c r="P486" s="445" t="e">
        <f t="shared" si="373"/>
        <v>#REF!</v>
      </c>
      <c r="Q486" s="542"/>
      <c r="R486" s="445" t="e">
        <f t="shared" si="374"/>
        <v>#REF!</v>
      </c>
      <c r="S486" s="542"/>
      <c r="T486" s="445" t="e">
        <f t="shared" si="375"/>
        <v>#REF!</v>
      </c>
      <c r="V486" s="581" t="e">
        <f>+'10,1,4 Mortero afinado'!I19</f>
        <v>#REF!</v>
      </c>
      <c r="W486" s="582" t="e">
        <f t="shared" si="376"/>
        <v>#REF!</v>
      </c>
      <c r="X486" s="581">
        <f>+'10,1,4 Mortero afinado'!I50</f>
        <v>3873.52</v>
      </c>
      <c r="Y486" s="582">
        <f t="shared" si="377"/>
        <v>0</v>
      </c>
      <c r="Z486" s="581">
        <f>+'10,1,4 Mortero afinado'!I30</f>
        <v>185.5</v>
      </c>
      <c r="AA486" s="582">
        <f t="shared" si="378"/>
        <v>0</v>
      </c>
      <c r="AB486" s="581"/>
      <c r="AC486" s="582">
        <f t="shared" si="379"/>
        <v>0</v>
      </c>
      <c r="AE486" s="769" t="e">
        <f t="shared" si="365"/>
        <v>#REF!</v>
      </c>
    </row>
    <row r="487" spans="1:31" ht="15" hidden="1" customHeight="1" x14ac:dyDescent="0.2">
      <c r="A487" s="611" t="s">
        <v>1415</v>
      </c>
      <c r="B487" s="601" t="s">
        <v>1416</v>
      </c>
      <c r="C487" s="611" t="s">
        <v>130</v>
      </c>
      <c r="D487" s="576">
        <f t="shared" si="367"/>
        <v>0</v>
      </c>
      <c r="E487" s="577">
        <f t="shared" si="368"/>
        <v>0</v>
      </c>
      <c r="F487" s="577">
        <f t="shared" si="369"/>
        <v>0</v>
      </c>
      <c r="G487" s="578"/>
      <c r="I487" s="584"/>
      <c r="J487" s="585">
        <f t="shared" si="370"/>
        <v>0</v>
      </c>
      <c r="K487" s="537"/>
      <c r="L487" s="445">
        <f t="shared" si="371"/>
        <v>0</v>
      </c>
      <c r="M487" s="542"/>
      <c r="N487" s="445">
        <f t="shared" si="372"/>
        <v>0</v>
      </c>
      <c r="O487" s="542"/>
      <c r="P487" s="445">
        <f t="shared" si="373"/>
        <v>0</v>
      </c>
      <c r="Q487" s="542"/>
      <c r="R487" s="445">
        <f t="shared" si="374"/>
        <v>0</v>
      </c>
      <c r="S487" s="542"/>
      <c r="T487" s="445">
        <f t="shared" si="375"/>
        <v>0</v>
      </c>
      <c r="V487" s="581"/>
      <c r="W487" s="582">
        <f t="shared" si="376"/>
        <v>0</v>
      </c>
      <c r="X487" s="581"/>
      <c r="Y487" s="582">
        <f t="shared" si="377"/>
        <v>0</v>
      </c>
      <c r="Z487" s="581"/>
      <c r="AA487" s="582">
        <f t="shared" si="378"/>
        <v>0</v>
      </c>
      <c r="AB487" s="581"/>
      <c r="AC487" s="582">
        <f t="shared" si="379"/>
        <v>0</v>
      </c>
      <c r="AE487" s="769">
        <f t="shared" si="365"/>
        <v>0</v>
      </c>
    </row>
    <row r="488" spans="1:31" ht="25.5" x14ac:dyDescent="0.2">
      <c r="A488" s="611" t="s">
        <v>1417</v>
      </c>
      <c r="B488" s="601" t="s">
        <v>1418</v>
      </c>
      <c r="C488" s="611" t="s">
        <v>130</v>
      </c>
      <c r="D488" s="576">
        <f t="shared" si="367"/>
        <v>187.63</v>
      </c>
      <c r="E488" s="577" t="e">
        <f t="shared" si="368"/>
        <v>#REF!</v>
      </c>
      <c r="F488" s="577" t="e">
        <f t="shared" si="369"/>
        <v>#REF!</v>
      </c>
      <c r="G488" s="578"/>
      <c r="I488" s="597"/>
      <c r="J488" s="598" t="e">
        <f t="shared" si="370"/>
        <v>#REF!</v>
      </c>
      <c r="K488" s="537">
        <v>10</v>
      </c>
      <c r="L488" s="445" t="e">
        <f t="shared" si="371"/>
        <v>#REF!</v>
      </c>
      <c r="M488" s="542"/>
      <c r="N488" s="445" t="e">
        <f t="shared" si="372"/>
        <v>#REF!</v>
      </c>
      <c r="O488" s="542"/>
      <c r="P488" s="445" t="e">
        <f t="shared" si="373"/>
        <v>#REF!</v>
      </c>
      <c r="Q488" s="542"/>
      <c r="R488" s="445" t="e">
        <f t="shared" si="374"/>
        <v>#REF!</v>
      </c>
      <c r="S488" s="542">
        <v>177.63</v>
      </c>
      <c r="T488" s="445" t="e">
        <f t="shared" si="375"/>
        <v>#REF!</v>
      </c>
      <c r="V488" s="581" t="e">
        <f>+#REF!</f>
        <v>#REF!</v>
      </c>
      <c r="W488" s="582" t="e">
        <f t="shared" si="376"/>
        <v>#REF!</v>
      </c>
      <c r="X488" s="581" t="e">
        <f>+#REF!</f>
        <v>#REF!</v>
      </c>
      <c r="Y488" s="582" t="e">
        <f t="shared" si="377"/>
        <v>#REF!</v>
      </c>
      <c r="Z488" s="581" t="e">
        <f>+#REF!</f>
        <v>#REF!</v>
      </c>
      <c r="AA488" s="582" t="e">
        <f t="shared" si="378"/>
        <v>#REF!</v>
      </c>
      <c r="AB488" s="581" t="e">
        <f>+#REF!</f>
        <v>#REF!</v>
      </c>
      <c r="AC488" s="582" t="e">
        <f t="shared" si="379"/>
        <v>#REF!</v>
      </c>
      <c r="AE488" s="769" t="e">
        <f t="shared" si="365"/>
        <v>#REF!</v>
      </c>
    </row>
    <row r="489" spans="1:31" ht="15" customHeight="1" x14ac:dyDescent="0.2">
      <c r="A489" s="572" t="s">
        <v>1419</v>
      </c>
      <c r="B489" s="573" t="s">
        <v>1420</v>
      </c>
      <c r="C489" s="846"/>
      <c r="D489" s="576"/>
      <c r="E489" s="577"/>
      <c r="F489" s="180"/>
      <c r="G489" s="473"/>
      <c r="H489" s="568"/>
      <c r="I489" s="613"/>
      <c r="J489" s="652"/>
      <c r="K489" s="537"/>
      <c r="L489" s="445"/>
      <c r="M489" s="542"/>
      <c r="N489" s="445"/>
      <c r="O489" s="542"/>
      <c r="P489" s="445"/>
      <c r="Q489" s="542"/>
      <c r="R489" s="445"/>
      <c r="S489" s="542"/>
      <c r="T489" s="445"/>
      <c r="U489" s="568"/>
      <c r="V489" s="575"/>
      <c r="W489" s="570"/>
      <c r="X489" s="575"/>
      <c r="Y489" s="570"/>
      <c r="Z489" s="575"/>
      <c r="AA489" s="570"/>
      <c r="AB489" s="575"/>
      <c r="AC489" s="570"/>
      <c r="AE489" s="769">
        <f t="shared" si="365"/>
        <v>0</v>
      </c>
    </row>
    <row r="490" spans="1:31" s="595" customFormat="1" ht="18" hidden="1" customHeight="1" x14ac:dyDescent="0.2">
      <c r="A490" s="572" t="s">
        <v>1421</v>
      </c>
      <c r="B490" s="573" t="s">
        <v>1422</v>
      </c>
      <c r="C490" s="846"/>
      <c r="D490" s="576"/>
      <c r="E490" s="577"/>
      <c r="F490" s="180" t="e">
        <f>+ROUND(SUM(F491:F494),10)</f>
        <v>#REF!</v>
      </c>
      <c r="G490" s="473"/>
      <c r="H490" s="568"/>
      <c r="I490" s="633"/>
      <c r="J490" s="441" t="e">
        <f>ROUND(SUM(J491:J494),10)</f>
        <v>#REF!</v>
      </c>
      <c r="K490" s="537"/>
      <c r="L490" s="180" t="e">
        <f>ROUND(SUM(L491:L494),10)</f>
        <v>#REF!</v>
      </c>
      <c r="M490" s="542"/>
      <c r="N490" s="180" t="e">
        <f>ROUND(SUM(N491:N494),10)</f>
        <v>#REF!</v>
      </c>
      <c r="O490" s="542"/>
      <c r="P490" s="180" t="e">
        <f>ROUND(SUM(P491:P494),10)</f>
        <v>#REF!</v>
      </c>
      <c r="Q490" s="542"/>
      <c r="R490" s="180" t="e">
        <f>ROUND(SUM(R491:R494),10)</f>
        <v>#REF!</v>
      </c>
      <c r="S490" s="542"/>
      <c r="T490" s="180" t="e">
        <f>ROUND(SUM(T491:T494),10)</f>
        <v>#REF!</v>
      </c>
      <c r="U490" s="568"/>
      <c r="V490" s="575"/>
      <c r="W490" s="570" t="e">
        <f>ROUND(SUM(W491:W494),10)</f>
        <v>#REF!</v>
      </c>
      <c r="X490" s="575"/>
      <c r="Y490" s="570">
        <f>ROUND(SUM(Y491:Y494),10)</f>
        <v>0</v>
      </c>
      <c r="Z490" s="575"/>
      <c r="AA490" s="570">
        <f>ROUND(SUM(AA491:AA494),10)</f>
        <v>0</v>
      </c>
      <c r="AB490" s="575"/>
      <c r="AC490" s="570">
        <f>ROUND(SUM(AC491:AC494),10)</f>
        <v>0</v>
      </c>
      <c r="AD490" s="912"/>
      <c r="AE490" s="769" t="e">
        <f t="shared" si="365"/>
        <v>#REF!</v>
      </c>
    </row>
    <row r="491" spans="1:31" s="595" customFormat="1" ht="15" hidden="1" customHeight="1" x14ac:dyDescent="0.2">
      <c r="A491" s="611" t="s">
        <v>1423</v>
      </c>
      <c r="B491" s="601" t="s">
        <v>1424</v>
      </c>
      <c r="C491" s="611" t="s">
        <v>130</v>
      </c>
      <c r="D491" s="576">
        <f>+I491+K491+M491+O491+Q491+S491</f>
        <v>0</v>
      </c>
      <c r="E491" s="577">
        <f t="shared" si="368"/>
        <v>0</v>
      </c>
      <c r="F491" s="577">
        <f>ROUND(D491*E491,10)</f>
        <v>0</v>
      </c>
      <c r="G491" s="578"/>
      <c r="H491" s="552"/>
      <c r="I491" s="594"/>
      <c r="J491" s="580">
        <f>+ROUND(E491*I491,10)</f>
        <v>0</v>
      </c>
      <c r="K491" s="537"/>
      <c r="L491" s="445">
        <f>+ROUND(E491*K491,10)</f>
        <v>0</v>
      </c>
      <c r="M491" s="542"/>
      <c r="N491" s="445">
        <f>+ROUND(E491*M491,10)</f>
        <v>0</v>
      </c>
      <c r="O491" s="542"/>
      <c r="P491" s="445">
        <f>+ROUND(E491*O491,10)</f>
        <v>0</v>
      </c>
      <c r="Q491" s="542"/>
      <c r="R491" s="445">
        <f>+ROUND(E491*Q491,10)</f>
        <v>0</v>
      </c>
      <c r="S491" s="542"/>
      <c r="T491" s="445">
        <f>+ROUND(E491*S491,10)</f>
        <v>0</v>
      </c>
      <c r="U491" s="552"/>
      <c r="V491" s="581"/>
      <c r="W491" s="582">
        <f>ROUND(V491*$D491,10)</f>
        <v>0</v>
      </c>
      <c r="X491" s="581"/>
      <c r="Y491" s="582">
        <f>ROUND(X491*$D491,10)</f>
        <v>0</v>
      </c>
      <c r="Z491" s="581"/>
      <c r="AA491" s="582">
        <f>ROUND(Z491*$D491,10)</f>
        <v>0</v>
      </c>
      <c r="AB491" s="581"/>
      <c r="AC491" s="582">
        <f>ROUND(AB491*$D491,10)</f>
        <v>0</v>
      </c>
      <c r="AD491" s="912"/>
      <c r="AE491" s="769">
        <f t="shared" si="365"/>
        <v>0</v>
      </c>
    </row>
    <row r="492" spans="1:31" s="595" customFormat="1" ht="15" hidden="1" customHeight="1" x14ac:dyDescent="0.2">
      <c r="A492" s="611" t="s">
        <v>1425</v>
      </c>
      <c r="B492" s="601" t="s">
        <v>1426</v>
      </c>
      <c r="C492" s="611" t="s">
        <v>130</v>
      </c>
      <c r="D492" s="576">
        <f>+I492+K492+M492+O492+Q492+S492</f>
        <v>0</v>
      </c>
      <c r="E492" s="577">
        <f t="shared" si="368"/>
        <v>0</v>
      </c>
      <c r="F492" s="577">
        <f>ROUND(D492*E492,10)</f>
        <v>0</v>
      </c>
      <c r="G492" s="578"/>
      <c r="H492" s="552"/>
      <c r="I492" s="584"/>
      <c r="J492" s="585">
        <f>+ROUND(E492*I492,10)</f>
        <v>0</v>
      </c>
      <c r="K492" s="537"/>
      <c r="L492" s="445">
        <f>+ROUND(E492*K492,10)</f>
        <v>0</v>
      </c>
      <c r="M492" s="542"/>
      <c r="N492" s="445">
        <f>+ROUND(E492*M492,10)</f>
        <v>0</v>
      </c>
      <c r="O492" s="542"/>
      <c r="P492" s="445">
        <f>+ROUND(E492*O492,10)</f>
        <v>0</v>
      </c>
      <c r="Q492" s="542"/>
      <c r="R492" s="445">
        <f>+ROUND(E492*Q492,10)</f>
        <v>0</v>
      </c>
      <c r="S492" s="542"/>
      <c r="T492" s="445">
        <f>+ROUND(E492*S492,10)</f>
        <v>0</v>
      </c>
      <c r="U492" s="552"/>
      <c r="V492" s="581"/>
      <c r="W492" s="582">
        <f>ROUND(V492*$D492,10)</f>
        <v>0</v>
      </c>
      <c r="X492" s="581"/>
      <c r="Y492" s="582">
        <f>ROUND(X492*$D492,10)</f>
        <v>0</v>
      </c>
      <c r="Z492" s="581"/>
      <c r="AA492" s="582">
        <f>ROUND(Z492*$D492,10)</f>
        <v>0</v>
      </c>
      <c r="AB492" s="581"/>
      <c r="AC492" s="582">
        <f>ROUND(AB492*$D492,10)</f>
        <v>0</v>
      </c>
      <c r="AD492" s="912"/>
      <c r="AE492" s="769">
        <f t="shared" si="365"/>
        <v>0</v>
      </c>
    </row>
    <row r="493" spans="1:31" s="595" customFormat="1" ht="15" hidden="1" customHeight="1" x14ac:dyDescent="0.2">
      <c r="A493" s="611" t="s">
        <v>1427</v>
      </c>
      <c r="B493" s="601" t="s">
        <v>1428</v>
      </c>
      <c r="C493" s="611" t="s">
        <v>130</v>
      </c>
      <c r="D493" s="576">
        <f>+I493+K493+M493+O493+Q493+S493</f>
        <v>0</v>
      </c>
      <c r="E493" s="577" t="e">
        <f t="shared" si="368"/>
        <v>#REF!</v>
      </c>
      <c r="F493" s="577" t="e">
        <f>ROUND(D493*E493,10)</f>
        <v>#REF!</v>
      </c>
      <c r="G493" s="578"/>
      <c r="H493" s="552"/>
      <c r="I493" s="584"/>
      <c r="J493" s="585" t="e">
        <f>+ROUND(E493*I493,10)</f>
        <v>#REF!</v>
      </c>
      <c r="K493" s="537"/>
      <c r="L493" s="445" t="e">
        <f>+ROUND(E493*K493,10)</f>
        <v>#REF!</v>
      </c>
      <c r="M493" s="542"/>
      <c r="N493" s="445" t="e">
        <f>+ROUND(E493*M493,10)</f>
        <v>#REF!</v>
      </c>
      <c r="O493" s="542"/>
      <c r="P493" s="445" t="e">
        <f>+ROUND(E493*O493,10)</f>
        <v>#REF!</v>
      </c>
      <c r="Q493" s="542"/>
      <c r="R493" s="445" t="e">
        <f>+ROUND(E493*Q493,10)</f>
        <v>#REF!</v>
      </c>
      <c r="S493" s="542"/>
      <c r="T493" s="445" t="e">
        <f>+ROUND(E493*S493,10)</f>
        <v>#REF!</v>
      </c>
      <c r="U493" s="552"/>
      <c r="V493" s="581" t="e">
        <f>+'10,2,1,3 Ceramica 0,20 x 0,20 '!I19</f>
        <v>#REF!</v>
      </c>
      <c r="W493" s="582" t="e">
        <f>ROUND(V493*$D493,10)</f>
        <v>#REF!</v>
      </c>
      <c r="X493" s="581">
        <f>+'10,2,1,3 Ceramica 0,20 x 0,20 '!I50</f>
        <v>19033.62</v>
      </c>
      <c r="Y493" s="582">
        <f>ROUND(X493*$D493,10)</f>
        <v>0</v>
      </c>
      <c r="Z493" s="581">
        <f>+'10,2,1,3 Ceramica 0,20 x 0,20 '!I30</f>
        <v>742</v>
      </c>
      <c r="AA493" s="582">
        <f>ROUND(Z493*$D493,10)</f>
        <v>0</v>
      </c>
      <c r="AB493" s="581">
        <f>+'10,2,1,3 Ceramica 0,20 x 0,20 '!I41</f>
        <v>0</v>
      </c>
      <c r="AC493" s="582">
        <f>ROUND(AB493*$D493,10)</f>
        <v>0</v>
      </c>
      <c r="AD493" s="912"/>
      <c r="AE493" s="769" t="e">
        <f t="shared" si="365"/>
        <v>#REF!</v>
      </c>
    </row>
    <row r="494" spans="1:31" s="595" customFormat="1" ht="15" hidden="1" customHeight="1" x14ac:dyDescent="0.2">
      <c r="A494" s="611" t="s">
        <v>1429</v>
      </c>
      <c r="B494" s="601" t="s">
        <v>1430</v>
      </c>
      <c r="C494" s="611" t="s">
        <v>130</v>
      </c>
      <c r="D494" s="576">
        <f>+I494+K494+M494+O494+Q494+S494</f>
        <v>0</v>
      </c>
      <c r="E494" s="577">
        <f t="shared" si="368"/>
        <v>0</v>
      </c>
      <c r="F494" s="577">
        <f>ROUND(D494*E494,10)</f>
        <v>0</v>
      </c>
      <c r="G494" s="578"/>
      <c r="H494" s="552"/>
      <c r="I494" s="597"/>
      <c r="J494" s="598">
        <f>+ROUND(E494*I494,10)</f>
        <v>0</v>
      </c>
      <c r="K494" s="537"/>
      <c r="L494" s="445">
        <f>+ROUND(E494*K494,10)</f>
        <v>0</v>
      </c>
      <c r="M494" s="542"/>
      <c r="N494" s="445">
        <f>+ROUND(E494*M494,10)</f>
        <v>0</v>
      </c>
      <c r="O494" s="542"/>
      <c r="P494" s="445">
        <f>+ROUND(E494*O494,10)</f>
        <v>0</v>
      </c>
      <c r="Q494" s="542"/>
      <c r="R494" s="445">
        <f>+ROUND(E494*Q494,10)</f>
        <v>0</v>
      </c>
      <c r="S494" s="542"/>
      <c r="T494" s="445">
        <f>+ROUND(E494*S494,10)</f>
        <v>0</v>
      </c>
      <c r="U494" s="552"/>
      <c r="V494" s="581"/>
      <c r="W494" s="582">
        <f>ROUND(V494*$D494,10)</f>
        <v>0</v>
      </c>
      <c r="X494" s="581"/>
      <c r="Y494" s="582">
        <f>ROUND(X494*$D494,10)</f>
        <v>0</v>
      </c>
      <c r="Z494" s="581"/>
      <c r="AA494" s="582">
        <f>ROUND(Z494*$D494,10)</f>
        <v>0</v>
      </c>
      <c r="AB494" s="581"/>
      <c r="AC494" s="582">
        <f>ROUND(AB494*$D494,10)</f>
        <v>0</v>
      </c>
      <c r="AD494" s="912"/>
      <c r="AE494" s="769">
        <f t="shared" si="365"/>
        <v>0</v>
      </c>
    </row>
    <row r="495" spans="1:31" ht="15.75" hidden="1" customHeight="1" x14ac:dyDescent="0.2">
      <c r="A495" s="572" t="s">
        <v>1431</v>
      </c>
      <c r="B495" s="573" t="s">
        <v>1432</v>
      </c>
      <c r="C495" s="846"/>
      <c r="D495" s="576"/>
      <c r="E495" s="577"/>
      <c r="F495" s="626" t="e">
        <f>+ROUND(SUM(F496:F498),10)</f>
        <v>#REF!</v>
      </c>
      <c r="G495" s="473"/>
      <c r="H495" s="568"/>
      <c r="I495" s="613"/>
      <c r="J495" s="440" t="e">
        <f>ROUND(SUM(J496:J498),10)</f>
        <v>#REF!</v>
      </c>
      <c r="K495" s="537"/>
      <c r="L495" s="180" t="e">
        <f>ROUND(SUM(L496:L498),10)</f>
        <v>#REF!</v>
      </c>
      <c r="M495" s="542"/>
      <c r="N495" s="180" t="e">
        <f>ROUND(SUM(N496:N498),10)</f>
        <v>#REF!</v>
      </c>
      <c r="O495" s="542"/>
      <c r="P495" s="180" t="e">
        <f>ROUND(SUM(P496:P498),10)</f>
        <v>#REF!</v>
      </c>
      <c r="Q495" s="542"/>
      <c r="R495" s="180" t="e">
        <f>ROUND(SUM(R496:R498),10)</f>
        <v>#REF!</v>
      </c>
      <c r="S495" s="542"/>
      <c r="T495" s="180" t="e">
        <f>ROUND(SUM(T496:T498),10)</f>
        <v>#REF!</v>
      </c>
      <c r="U495" s="568"/>
      <c r="V495" s="575"/>
      <c r="W495" s="570" t="e">
        <f>ROUND(SUM(W496:W498),10)</f>
        <v>#REF!</v>
      </c>
      <c r="X495" s="575"/>
      <c r="Y495" s="570">
        <f>ROUND(SUM(Y496:Y498),10)</f>
        <v>0</v>
      </c>
      <c r="Z495" s="575"/>
      <c r="AA495" s="570">
        <f>ROUND(SUM(AA496:AA498),10)</f>
        <v>0</v>
      </c>
      <c r="AB495" s="575"/>
      <c r="AC495" s="570">
        <f>ROUND(SUM(AC496:AC498),10)</f>
        <v>0</v>
      </c>
      <c r="AE495" s="769" t="e">
        <f t="shared" si="365"/>
        <v>#REF!</v>
      </c>
    </row>
    <row r="496" spans="1:31" ht="15" hidden="1" customHeight="1" x14ac:dyDescent="0.2">
      <c r="A496" s="611" t="s">
        <v>1433</v>
      </c>
      <c r="B496" s="601" t="s">
        <v>1434</v>
      </c>
      <c r="C496" s="611" t="s">
        <v>130</v>
      </c>
      <c r="D496" s="576">
        <f>+I496+K496+M496+O496+Q496+S496</f>
        <v>0</v>
      </c>
      <c r="E496" s="577">
        <f t="shared" si="368"/>
        <v>0</v>
      </c>
      <c r="F496" s="577">
        <f>ROUND(D496*E496,10)</f>
        <v>0</v>
      </c>
      <c r="G496" s="578"/>
      <c r="I496" s="594"/>
      <c r="J496" s="580">
        <f>+ROUND(E496*I496,10)</f>
        <v>0</v>
      </c>
      <c r="K496" s="537"/>
      <c r="L496" s="445">
        <f>+ROUND(E496*K496,10)</f>
        <v>0</v>
      </c>
      <c r="M496" s="542"/>
      <c r="N496" s="445">
        <f>+ROUND(E496*M496,10)</f>
        <v>0</v>
      </c>
      <c r="O496" s="542"/>
      <c r="P496" s="445">
        <f>+ROUND(E496*O496,10)</f>
        <v>0</v>
      </c>
      <c r="Q496" s="542"/>
      <c r="R496" s="445">
        <f>+ROUND(E496*Q496,10)</f>
        <v>0</v>
      </c>
      <c r="S496" s="542"/>
      <c r="T496" s="445">
        <f>+ROUND(E496*S496,10)</f>
        <v>0</v>
      </c>
      <c r="V496" s="581"/>
      <c r="W496" s="582">
        <f>ROUND(V496*$D496,10)</f>
        <v>0</v>
      </c>
      <c r="X496" s="581"/>
      <c r="Y496" s="582">
        <f>ROUND(X496*$D496,10)</f>
        <v>0</v>
      </c>
      <c r="Z496" s="581"/>
      <c r="AA496" s="582">
        <f>ROUND(Z496*$D496,10)</f>
        <v>0</v>
      </c>
      <c r="AB496" s="581"/>
      <c r="AC496" s="582">
        <f>ROUND(AB496*$D496,10)</f>
        <v>0</v>
      </c>
      <c r="AE496" s="769">
        <f t="shared" si="365"/>
        <v>0</v>
      </c>
    </row>
    <row r="497" spans="1:31" ht="15" hidden="1" customHeight="1" x14ac:dyDescent="0.2">
      <c r="A497" s="611" t="s">
        <v>1435</v>
      </c>
      <c r="B497" s="601" t="s">
        <v>1436</v>
      </c>
      <c r="C497" s="611" t="s">
        <v>130</v>
      </c>
      <c r="D497" s="576">
        <f>+I497+K497+M497+O497+Q497+S497</f>
        <v>0</v>
      </c>
      <c r="E497" s="577">
        <f t="shared" si="368"/>
        <v>0</v>
      </c>
      <c r="F497" s="577">
        <f>ROUND(D497*E497,10)</f>
        <v>0</v>
      </c>
      <c r="G497" s="578"/>
      <c r="I497" s="584"/>
      <c r="J497" s="585">
        <f>+ROUND(E497*I497,10)</f>
        <v>0</v>
      </c>
      <c r="K497" s="537"/>
      <c r="L497" s="445">
        <f>+ROUND(E497*K497,10)</f>
        <v>0</v>
      </c>
      <c r="M497" s="542"/>
      <c r="N497" s="445">
        <f>+ROUND(E497*M497,10)</f>
        <v>0</v>
      </c>
      <c r="O497" s="542"/>
      <c r="P497" s="445">
        <f>+ROUND(E497*O497,10)</f>
        <v>0</v>
      </c>
      <c r="Q497" s="542"/>
      <c r="R497" s="445">
        <f>+ROUND(E497*Q497,10)</f>
        <v>0</v>
      </c>
      <c r="S497" s="542"/>
      <c r="T497" s="445">
        <f>+ROUND(E497*S497,10)</f>
        <v>0</v>
      </c>
      <c r="V497" s="581"/>
      <c r="W497" s="582">
        <f>ROUND(V497*$D497,10)</f>
        <v>0</v>
      </c>
      <c r="X497" s="581"/>
      <c r="Y497" s="582">
        <f>ROUND(X497*$D497,10)</f>
        <v>0</v>
      </c>
      <c r="Z497" s="581"/>
      <c r="AA497" s="582">
        <f>ROUND(Z497*$D497,10)</f>
        <v>0</v>
      </c>
      <c r="AB497" s="581"/>
      <c r="AC497" s="582">
        <f>ROUND(AB497*$D497,10)</f>
        <v>0</v>
      </c>
      <c r="AE497" s="769">
        <f t="shared" si="365"/>
        <v>0</v>
      </c>
    </row>
    <row r="498" spans="1:31" ht="15" hidden="1" customHeight="1" x14ac:dyDescent="0.2">
      <c r="A498" s="611" t="s">
        <v>1437</v>
      </c>
      <c r="B498" s="601" t="s">
        <v>1438</v>
      </c>
      <c r="C498" s="611" t="s">
        <v>130</v>
      </c>
      <c r="D498" s="576">
        <f>+I498+K498+M498+O498+Q498+S498</f>
        <v>0</v>
      </c>
      <c r="E498" s="577" t="e">
        <f t="shared" si="368"/>
        <v>#REF!</v>
      </c>
      <c r="F498" s="577" t="e">
        <f>ROUND(D498*E498,10)</f>
        <v>#REF!</v>
      </c>
      <c r="G498" s="578"/>
      <c r="I498" s="597"/>
      <c r="J498" s="598" t="e">
        <f>+ROUND(E498*I498,10)</f>
        <v>#REF!</v>
      </c>
      <c r="K498" s="537"/>
      <c r="L498" s="445" t="e">
        <f>+ROUND(E498*K498,10)</f>
        <v>#REF!</v>
      </c>
      <c r="M498" s="542"/>
      <c r="N498" s="445" t="e">
        <f>+ROUND(E498*M498,10)</f>
        <v>#REF!</v>
      </c>
      <c r="O498" s="542"/>
      <c r="P498" s="445" t="e">
        <f>+ROUND(E498*O498,10)</f>
        <v>#REF!</v>
      </c>
      <c r="Q498" s="542"/>
      <c r="R498" s="445" t="e">
        <f>+ROUND(E498*Q498,10)</f>
        <v>#REF!</v>
      </c>
      <c r="S498" s="542"/>
      <c r="T498" s="445" t="e">
        <f>+ROUND(E498*S498,10)</f>
        <v>#REF!</v>
      </c>
      <c r="V498" s="581" t="e">
        <f>'10,2,2,3 Piso tablòn ges 0,30 '!I19</f>
        <v>#REF!</v>
      </c>
      <c r="W498" s="582" t="e">
        <f>ROUND(V498*$D498,10)</f>
        <v>#REF!</v>
      </c>
      <c r="X498" s="581">
        <f>'10,2,2,3 Piso tablòn ges 0,30 '!I50</f>
        <v>14659.15</v>
      </c>
      <c r="Y498" s="582">
        <f>ROUND(X498*$D498,10)</f>
        <v>0</v>
      </c>
      <c r="Z498" s="581">
        <f>'10,2,2,3 Piso tablòn ges 0,30 '!I30</f>
        <v>351.86</v>
      </c>
      <c r="AA498" s="582">
        <f>ROUND(Z498*$D498,10)</f>
        <v>0</v>
      </c>
      <c r="AB498" s="581">
        <f>'10,2,2,3 Piso tablòn ges 0,30 '!I41</f>
        <v>0</v>
      </c>
      <c r="AC498" s="582">
        <f>ROUND(AB498*$D498,10)</f>
        <v>0</v>
      </c>
      <c r="AE498" s="769" t="e">
        <f t="shared" si="365"/>
        <v>#REF!</v>
      </c>
    </row>
    <row r="499" spans="1:31" ht="15" hidden="1" customHeight="1" x14ac:dyDescent="0.2">
      <c r="A499" s="572" t="s">
        <v>1439</v>
      </c>
      <c r="B499" s="573" t="s">
        <v>1440</v>
      </c>
      <c r="C499" s="846"/>
      <c r="D499" s="576"/>
      <c r="E499" s="577"/>
      <c r="F499" s="626">
        <f>+ROUND(SUM(F500:F501),10)</f>
        <v>0</v>
      </c>
      <c r="G499" s="473"/>
      <c r="H499" s="568"/>
      <c r="I499" s="613"/>
      <c r="J499" s="440">
        <f>ROUND(SUM(J500:J501),10)</f>
        <v>0</v>
      </c>
      <c r="K499" s="537"/>
      <c r="L499" s="180">
        <f>ROUND(SUM(L500:L501),10)</f>
        <v>0</v>
      </c>
      <c r="M499" s="542"/>
      <c r="N499" s="180">
        <f>ROUND(SUM(N500:N501),10)</f>
        <v>0</v>
      </c>
      <c r="O499" s="542"/>
      <c r="P499" s="180">
        <f>ROUND(SUM(P500:P501),10)</f>
        <v>0</v>
      </c>
      <c r="Q499" s="542"/>
      <c r="R499" s="180">
        <f>ROUND(SUM(R500:R501),10)</f>
        <v>0</v>
      </c>
      <c r="S499" s="542"/>
      <c r="T499" s="180">
        <f>ROUND(SUM(T500:T501),10)</f>
        <v>0</v>
      </c>
      <c r="U499" s="568"/>
      <c r="V499" s="575"/>
      <c r="W499" s="570">
        <f>ROUND(SUM(W500:W501),10)</f>
        <v>0</v>
      </c>
      <c r="X499" s="575"/>
      <c r="Y499" s="570">
        <f>ROUND(SUM(Y500:Y501),10)</f>
        <v>0</v>
      </c>
      <c r="Z499" s="575"/>
      <c r="AA499" s="570">
        <f>ROUND(SUM(AA500:AA501),10)</f>
        <v>0</v>
      </c>
      <c r="AB499" s="575"/>
      <c r="AC499" s="570">
        <f>ROUND(SUM(AC500:AC501),10)</f>
        <v>0</v>
      </c>
      <c r="AE499" s="769">
        <f t="shared" si="365"/>
        <v>0</v>
      </c>
    </row>
    <row r="500" spans="1:31" ht="15" hidden="1" customHeight="1" x14ac:dyDescent="0.2">
      <c r="A500" s="611" t="s">
        <v>1441</v>
      </c>
      <c r="B500" s="601" t="s">
        <v>1442</v>
      </c>
      <c r="C500" s="611" t="s">
        <v>130</v>
      </c>
      <c r="D500" s="576">
        <f>+I500+K500+M500+O500+Q500+S500</f>
        <v>0</v>
      </c>
      <c r="E500" s="577">
        <f t="shared" si="368"/>
        <v>0</v>
      </c>
      <c r="F500" s="577">
        <f>ROUND(D500*E500,10)</f>
        <v>0</v>
      </c>
      <c r="G500" s="578"/>
      <c r="I500" s="594"/>
      <c r="J500" s="580">
        <f>+ROUND(E500*I500,10)</f>
        <v>0</v>
      </c>
      <c r="K500" s="537"/>
      <c r="L500" s="445">
        <f>+ROUND(E500*K500,10)</f>
        <v>0</v>
      </c>
      <c r="M500" s="542"/>
      <c r="N500" s="445">
        <f>+ROUND(E500*M500,10)</f>
        <v>0</v>
      </c>
      <c r="O500" s="542"/>
      <c r="P500" s="445">
        <f>+ROUND(E500*O500,10)</f>
        <v>0</v>
      </c>
      <c r="Q500" s="542"/>
      <c r="R500" s="445">
        <f>+ROUND(E500*Q500,10)</f>
        <v>0</v>
      </c>
      <c r="S500" s="542"/>
      <c r="T500" s="445">
        <f>+ROUND(E500*S500,10)</f>
        <v>0</v>
      </c>
      <c r="V500" s="581"/>
      <c r="W500" s="582">
        <f>ROUND(V500*$D500,10)</f>
        <v>0</v>
      </c>
      <c r="X500" s="581"/>
      <c r="Y500" s="582">
        <f>ROUND(X500*$D500,10)</f>
        <v>0</v>
      </c>
      <c r="Z500" s="581"/>
      <c r="AA500" s="582">
        <f>ROUND(Z500*$D500,10)</f>
        <v>0</v>
      </c>
      <c r="AB500" s="581"/>
      <c r="AC500" s="582">
        <f>ROUND(AB500*$D500,10)</f>
        <v>0</v>
      </c>
      <c r="AE500" s="769">
        <f t="shared" si="365"/>
        <v>0</v>
      </c>
    </row>
    <row r="501" spans="1:31" ht="15" hidden="1" customHeight="1" x14ac:dyDescent="0.2">
      <c r="A501" s="611" t="s">
        <v>1443</v>
      </c>
      <c r="B501" s="601" t="s">
        <v>1444</v>
      </c>
      <c r="C501" s="611" t="s">
        <v>130</v>
      </c>
      <c r="D501" s="576">
        <f>+I501+K501+M501+O501+Q501+S501</f>
        <v>0</v>
      </c>
      <c r="E501" s="577">
        <f t="shared" si="368"/>
        <v>0</v>
      </c>
      <c r="F501" s="577">
        <f>ROUND(D501*E501,10)</f>
        <v>0</v>
      </c>
      <c r="G501" s="578"/>
      <c r="I501" s="597"/>
      <c r="J501" s="598">
        <f>+ROUND(E501*I501,10)</f>
        <v>0</v>
      </c>
      <c r="K501" s="537"/>
      <c r="L501" s="445">
        <f>+ROUND(E501*K501,10)</f>
        <v>0</v>
      </c>
      <c r="M501" s="542"/>
      <c r="N501" s="445">
        <f>+ROUND(E501*M501,10)</f>
        <v>0</v>
      </c>
      <c r="O501" s="542"/>
      <c r="P501" s="445">
        <f>+ROUND(E501*O501,10)</f>
        <v>0</v>
      </c>
      <c r="Q501" s="542"/>
      <c r="R501" s="445">
        <f>+ROUND(E501*Q501,10)</f>
        <v>0</v>
      </c>
      <c r="S501" s="542"/>
      <c r="T501" s="445">
        <f>+ROUND(E501*S501,10)</f>
        <v>0</v>
      </c>
      <c r="V501" s="581"/>
      <c r="W501" s="582">
        <f>ROUND(V501*$D501,10)</f>
        <v>0</v>
      </c>
      <c r="X501" s="581"/>
      <c r="Y501" s="582">
        <f>ROUND(X501*$D501,10)</f>
        <v>0</v>
      </c>
      <c r="Z501" s="581"/>
      <c r="AA501" s="582">
        <f>ROUND(Z501*$D501,10)</f>
        <v>0</v>
      </c>
      <c r="AB501" s="581"/>
      <c r="AC501" s="582">
        <f>ROUND(AB501*$D501,10)</f>
        <v>0</v>
      </c>
      <c r="AE501" s="769">
        <f t="shared" si="365"/>
        <v>0</v>
      </c>
    </row>
    <row r="502" spans="1:31" ht="15.75" x14ac:dyDescent="0.2">
      <c r="A502" s="572" t="s">
        <v>1445</v>
      </c>
      <c r="B502" s="573" t="s">
        <v>1446</v>
      </c>
      <c r="C502" s="846"/>
      <c r="D502" s="576"/>
      <c r="E502" s="641"/>
      <c r="F502" s="626" t="e">
        <f>+ROUND(SUM(F503:F505),10)</f>
        <v>#REF!</v>
      </c>
      <c r="G502" s="473"/>
      <c r="H502" s="568"/>
      <c r="I502" s="613"/>
      <c r="J502" s="440" t="e">
        <f>ROUND(SUM(J503:J505),10)</f>
        <v>#REF!</v>
      </c>
      <c r="K502" s="537"/>
      <c r="L502" s="180" t="e">
        <f>ROUND(SUM(L503:L505),10)</f>
        <v>#REF!</v>
      </c>
      <c r="M502" s="542"/>
      <c r="N502" s="180" t="e">
        <f>ROUND(SUM(N503:N505),10)</f>
        <v>#REF!</v>
      </c>
      <c r="O502" s="542"/>
      <c r="P502" s="180" t="e">
        <f>ROUND(SUM(P503:P505),10)</f>
        <v>#REF!</v>
      </c>
      <c r="Q502" s="542"/>
      <c r="R502" s="180" t="e">
        <f>ROUND(SUM(R503:R505),10)</f>
        <v>#REF!</v>
      </c>
      <c r="S502" s="542"/>
      <c r="T502" s="180" t="e">
        <f>ROUND(SUM(T503:T505),10)</f>
        <v>#REF!</v>
      </c>
      <c r="U502" s="568"/>
      <c r="V502" s="575"/>
      <c r="W502" s="570" t="e">
        <f>ROUND(SUM(W503:W505),10)</f>
        <v>#REF!</v>
      </c>
      <c r="X502" s="575"/>
      <c r="Y502" s="570" t="e">
        <f>ROUND(SUM(Y503:Y505),10)</f>
        <v>#REF!</v>
      </c>
      <c r="Z502" s="575"/>
      <c r="AA502" s="570" t="e">
        <f>ROUND(SUM(AA503:AA505),10)</f>
        <v>#REF!</v>
      </c>
      <c r="AB502" s="575"/>
      <c r="AC502" s="570">
        <f>ROUND(SUM(AC503:AC505),10)</f>
        <v>0</v>
      </c>
      <c r="AE502" s="769" t="e">
        <f t="shared" si="365"/>
        <v>#REF!</v>
      </c>
    </row>
    <row r="503" spans="1:31" s="672" customFormat="1" ht="25.5" x14ac:dyDescent="0.2">
      <c r="A503" s="627" t="s">
        <v>1447</v>
      </c>
      <c r="B503" s="610" t="s">
        <v>1448</v>
      </c>
      <c r="C503" s="627" t="s">
        <v>130</v>
      </c>
      <c r="D503" s="576">
        <f>+I503+K503+M503+O503+Q503+S503</f>
        <v>928.88999999999987</v>
      </c>
      <c r="E503" s="641" t="e">
        <f t="shared" si="368"/>
        <v>#REF!</v>
      </c>
      <c r="F503" s="641" t="e">
        <f>ROUND(D503*E503,10)</f>
        <v>#REF!</v>
      </c>
      <c r="G503" s="668"/>
      <c r="H503" s="657"/>
      <c r="I503" s="669"/>
      <c r="J503" s="670" t="e">
        <f>+ROUND(E503*I503,10)</f>
        <v>#REF!</v>
      </c>
      <c r="K503" s="538">
        <v>607.5</v>
      </c>
      <c r="L503" s="474" t="e">
        <f>+ROUND(E503*K503,10)</f>
        <v>#REF!</v>
      </c>
      <c r="M503" s="543">
        <v>80.05</v>
      </c>
      <c r="N503" s="474" t="e">
        <f>+ROUND(E503*M503,10)</f>
        <v>#REF!</v>
      </c>
      <c r="O503" s="543">
        <v>104.57</v>
      </c>
      <c r="P503" s="474" t="e">
        <f>+ROUND(E503*O503,10)</f>
        <v>#REF!</v>
      </c>
      <c r="Q503" s="543">
        <v>119.55</v>
      </c>
      <c r="R503" s="474" t="e">
        <f>+ROUND(E503*Q503,10)</f>
        <v>#REF!</v>
      </c>
      <c r="S503" s="543">
        <v>17.22</v>
      </c>
      <c r="T503" s="474" t="e">
        <f>+ROUND(E503*S503,10)</f>
        <v>#REF!</v>
      </c>
      <c r="U503" s="657"/>
      <c r="V503" s="671" t="e">
        <f>+#REF!</f>
        <v>#REF!</v>
      </c>
      <c r="W503" s="671" t="e">
        <f>ROUND(V503*$D503,10)</f>
        <v>#REF!</v>
      </c>
      <c r="X503" s="671" t="e">
        <f>+#REF!</f>
        <v>#REF!</v>
      </c>
      <c r="Y503" s="671" t="e">
        <f>ROUND(X503*$D503,10)</f>
        <v>#REF!</v>
      </c>
      <c r="Z503" s="671" t="e">
        <f>+#REF!</f>
        <v>#REF!</v>
      </c>
      <c r="AA503" s="671" t="e">
        <f>ROUND(Z503*$D503,10)</f>
        <v>#REF!</v>
      </c>
      <c r="AB503" s="671"/>
      <c r="AC503" s="671">
        <f>ROUND(AB503*$D503,10)</f>
        <v>0</v>
      </c>
      <c r="AE503" s="769" t="e">
        <f t="shared" si="365"/>
        <v>#REF!</v>
      </c>
    </row>
    <row r="504" spans="1:31" ht="15" hidden="1" customHeight="1" x14ac:dyDescent="0.2">
      <c r="A504" s="611" t="s">
        <v>1449</v>
      </c>
      <c r="B504" s="601" t="s">
        <v>1450</v>
      </c>
      <c r="C504" s="611" t="s">
        <v>130</v>
      </c>
      <c r="D504" s="576">
        <f>+I504+K504+M504+O504+Q504+S504</f>
        <v>0</v>
      </c>
      <c r="E504" s="577">
        <f t="shared" si="368"/>
        <v>0</v>
      </c>
      <c r="F504" s="577">
        <f>ROUND(D504*E504,10)</f>
        <v>0</v>
      </c>
      <c r="G504" s="578"/>
      <c r="I504" s="584"/>
      <c r="J504" s="585">
        <f>+ROUND(E504*I504,10)</f>
        <v>0</v>
      </c>
      <c r="K504" s="537"/>
      <c r="L504" s="445">
        <f>+ROUND(E504*K504,10)</f>
        <v>0</v>
      </c>
      <c r="M504" s="542"/>
      <c r="N504" s="445">
        <f>+ROUND(E504*M504,10)</f>
        <v>0</v>
      </c>
      <c r="O504" s="542"/>
      <c r="P504" s="445">
        <f>+ROUND(E504*O504,10)</f>
        <v>0</v>
      </c>
      <c r="Q504" s="542"/>
      <c r="R504" s="445">
        <f>+ROUND(E504*Q504,10)</f>
        <v>0</v>
      </c>
      <c r="S504" s="542"/>
      <c r="T504" s="445">
        <f>+ROUND(E504*S504,10)</f>
        <v>0</v>
      </c>
      <c r="V504" s="581"/>
      <c r="W504" s="582">
        <f>ROUND(V504*$D504,10)</f>
        <v>0</v>
      </c>
      <c r="X504" s="581"/>
      <c r="Y504" s="582">
        <f>ROUND(X504*$D504,10)</f>
        <v>0</v>
      </c>
      <c r="Z504" s="581"/>
      <c r="AA504" s="582">
        <f>ROUND(Z504*$D504,10)</f>
        <v>0</v>
      </c>
      <c r="AB504" s="581"/>
      <c r="AC504" s="582">
        <f>ROUND(AB504*$D504,10)</f>
        <v>0</v>
      </c>
      <c r="AE504" s="769">
        <f t="shared" si="365"/>
        <v>0</v>
      </c>
    </row>
    <row r="505" spans="1:31" ht="15" hidden="1" customHeight="1" x14ac:dyDescent="0.2">
      <c r="A505" s="611" t="s">
        <v>1451</v>
      </c>
      <c r="B505" s="601" t="s">
        <v>1452</v>
      </c>
      <c r="C505" s="611" t="s">
        <v>130</v>
      </c>
      <c r="D505" s="576">
        <f>+I505+K505+M505+O505+Q505+S505</f>
        <v>0</v>
      </c>
      <c r="E505" s="577" t="e">
        <f t="shared" si="368"/>
        <v>#REF!</v>
      </c>
      <c r="F505" s="577" t="e">
        <f>ROUND(D505*E505,10)</f>
        <v>#REF!</v>
      </c>
      <c r="G505" s="578"/>
      <c r="I505" s="597"/>
      <c r="J505" s="598" t="e">
        <f>+ROUND(E505*I505,10)</f>
        <v>#REF!</v>
      </c>
      <c r="K505" s="537"/>
      <c r="L505" s="445" t="e">
        <f>+ROUND(E505*K505,10)</f>
        <v>#REF!</v>
      </c>
      <c r="M505" s="542"/>
      <c r="N505" s="445" t="e">
        <f>+ROUND(E505*M505,10)</f>
        <v>#REF!</v>
      </c>
      <c r="O505" s="542"/>
      <c r="P505" s="445" t="e">
        <f>+ROUND(E505*O505,10)</f>
        <v>#REF!</v>
      </c>
      <c r="Q505" s="542"/>
      <c r="R505" s="445" t="e">
        <f>+ROUND(E505*Q505,10)</f>
        <v>#REF!</v>
      </c>
      <c r="S505" s="542"/>
      <c r="T505" s="445" t="e">
        <f>+ROUND(E505*S505,10)</f>
        <v>#REF!</v>
      </c>
      <c r="V505" s="581" t="e">
        <f>+'10,2,4,3 gravilla m2'!I19</f>
        <v>#REF!</v>
      </c>
      <c r="W505" s="582" t="e">
        <f>ROUND(V505*$D505,10)</f>
        <v>#REF!</v>
      </c>
      <c r="X505" s="581">
        <f>+'10,2,4,3 gravilla m2'!I50</f>
        <v>29931.73</v>
      </c>
      <c r="Y505" s="582">
        <f>ROUND(X505*$D505,10)</f>
        <v>0</v>
      </c>
      <c r="Z505" s="581">
        <f>+'10,2,4,3 gravilla m2'!I30</f>
        <v>371</v>
      </c>
      <c r="AA505" s="582">
        <f>ROUND(Z505*$D505,10)</f>
        <v>0</v>
      </c>
      <c r="AB505" s="581">
        <f>+'10,2,4,3 gravilla m2'!I41</f>
        <v>0</v>
      </c>
      <c r="AC505" s="582">
        <f>ROUND(AB505*$D505,10)</f>
        <v>0</v>
      </c>
      <c r="AE505" s="769" t="e">
        <f t="shared" si="365"/>
        <v>#REF!</v>
      </c>
    </row>
    <row r="506" spans="1:31" ht="15" hidden="1" customHeight="1" x14ac:dyDescent="0.2">
      <c r="A506" s="572" t="s">
        <v>1453</v>
      </c>
      <c r="B506" s="573" t="s">
        <v>1454</v>
      </c>
      <c r="C506" s="846"/>
      <c r="D506" s="576"/>
      <c r="E506" s="577"/>
      <c r="F506" s="626">
        <f>+ROUND(SUM(F507:F508),10)</f>
        <v>0</v>
      </c>
      <c r="G506" s="473"/>
      <c r="H506" s="568"/>
      <c r="I506" s="613"/>
      <c r="J506" s="440">
        <f>ROUND(SUM(J507:J508),10)</f>
        <v>0</v>
      </c>
      <c r="K506" s="537"/>
      <c r="L506" s="180">
        <f>ROUND(SUM(L507:L508),10)</f>
        <v>0</v>
      </c>
      <c r="M506" s="542"/>
      <c r="N506" s="180">
        <f>ROUND(SUM(N507:N508),10)</f>
        <v>0</v>
      </c>
      <c r="O506" s="542"/>
      <c r="P506" s="180">
        <f>ROUND(SUM(P507:P508),10)</f>
        <v>0</v>
      </c>
      <c r="Q506" s="542"/>
      <c r="R506" s="180">
        <f>ROUND(SUM(R507:R508),10)</f>
        <v>0</v>
      </c>
      <c r="S506" s="542"/>
      <c r="T506" s="180">
        <f>ROUND(SUM(T507:T508),10)</f>
        <v>0</v>
      </c>
      <c r="U506" s="568"/>
      <c r="V506" s="575"/>
      <c r="W506" s="570">
        <f>ROUND(SUM(W507:W508),10)</f>
        <v>0</v>
      </c>
      <c r="X506" s="575"/>
      <c r="Y506" s="570">
        <f>ROUND(SUM(Y507:Y508),10)</f>
        <v>0</v>
      </c>
      <c r="Z506" s="575"/>
      <c r="AA506" s="570">
        <f>ROUND(SUM(AA507:AA508),10)</f>
        <v>0</v>
      </c>
      <c r="AB506" s="575"/>
      <c r="AC506" s="570">
        <f>ROUND(SUM(AC507:AC508),10)</f>
        <v>0</v>
      </c>
      <c r="AE506" s="769">
        <f t="shared" si="365"/>
        <v>0</v>
      </c>
    </row>
    <row r="507" spans="1:31" ht="15" hidden="1" customHeight="1" x14ac:dyDescent="0.2">
      <c r="A507" s="611" t="s">
        <v>1455</v>
      </c>
      <c r="B507" s="601" t="s">
        <v>1456</v>
      </c>
      <c r="C507" s="611" t="s">
        <v>130</v>
      </c>
      <c r="D507" s="576">
        <f>+I507+K507+M507+O507+Q507+S507</f>
        <v>0</v>
      </c>
      <c r="E507" s="577">
        <f t="shared" si="368"/>
        <v>0</v>
      </c>
      <c r="F507" s="577">
        <f>ROUND(D507*E507,10)</f>
        <v>0</v>
      </c>
      <c r="G507" s="578"/>
      <c r="I507" s="594"/>
      <c r="J507" s="580">
        <f>+ROUND(E507*I507,10)</f>
        <v>0</v>
      </c>
      <c r="K507" s="537"/>
      <c r="L507" s="445">
        <f>+ROUND(E507*K507,10)</f>
        <v>0</v>
      </c>
      <c r="M507" s="542"/>
      <c r="N507" s="445">
        <f>+ROUND(E507*M507,10)</f>
        <v>0</v>
      </c>
      <c r="O507" s="542"/>
      <c r="P507" s="445">
        <f>+ROUND(E507*O507,10)</f>
        <v>0</v>
      </c>
      <c r="Q507" s="542"/>
      <c r="R507" s="445">
        <f>+ROUND(E507*Q507,10)</f>
        <v>0</v>
      </c>
      <c r="S507" s="542"/>
      <c r="T507" s="445">
        <f>+ROUND(E507*S507,10)</f>
        <v>0</v>
      </c>
      <c r="V507" s="581"/>
      <c r="W507" s="582">
        <f>ROUND(V507*$D507,10)</f>
        <v>0</v>
      </c>
      <c r="X507" s="581"/>
      <c r="Y507" s="582">
        <f>ROUND(X507*$D507,10)</f>
        <v>0</v>
      </c>
      <c r="Z507" s="581"/>
      <c r="AA507" s="582">
        <f>ROUND(Z507*$D507,10)</f>
        <v>0</v>
      </c>
      <c r="AB507" s="581"/>
      <c r="AC507" s="582">
        <f>ROUND(AB507*$D507,10)</f>
        <v>0</v>
      </c>
      <c r="AE507" s="769">
        <f t="shared" si="365"/>
        <v>0</v>
      </c>
    </row>
    <row r="508" spans="1:31" ht="15" hidden="1" customHeight="1" x14ac:dyDescent="0.2">
      <c r="A508" s="611" t="s">
        <v>1457</v>
      </c>
      <c r="B508" s="601" t="s">
        <v>1458</v>
      </c>
      <c r="C508" s="611" t="s">
        <v>130</v>
      </c>
      <c r="D508" s="576">
        <f>+I508+K508+M508+O508+Q508+S508</f>
        <v>0</v>
      </c>
      <c r="E508" s="577">
        <f t="shared" si="368"/>
        <v>0</v>
      </c>
      <c r="F508" s="577">
        <f>ROUND(D508*E508,10)</f>
        <v>0</v>
      </c>
      <c r="G508" s="578"/>
      <c r="I508" s="597"/>
      <c r="J508" s="598">
        <f>+ROUND(E508*I508,10)</f>
        <v>0</v>
      </c>
      <c r="K508" s="537"/>
      <c r="L508" s="445">
        <f>+ROUND(E508*K508,10)</f>
        <v>0</v>
      </c>
      <c r="M508" s="542"/>
      <c r="N508" s="445">
        <f>+ROUND(E508*M508,10)</f>
        <v>0</v>
      </c>
      <c r="O508" s="542"/>
      <c r="P508" s="445">
        <f>+ROUND(E508*O508,10)</f>
        <v>0</v>
      </c>
      <c r="Q508" s="542"/>
      <c r="R508" s="445">
        <f>+ROUND(E508*Q508,10)</f>
        <v>0</v>
      </c>
      <c r="S508" s="542"/>
      <c r="T508" s="445">
        <f>+ROUND(E508*S508,10)</f>
        <v>0</v>
      </c>
      <c r="V508" s="581"/>
      <c r="W508" s="582">
        <f>ROUND(V508*$D508,10)</f>
        <v>0</v>
      </c>
      <c r="X508" s="581"/>
      <c r="Y508" s="582">
        <f>ROUND(X508*$D508,10)</f>
        <v>0</v>
      </c>
      <c r="Z508" s="581"/>
      <c r="AA508" s="582">
        <f>ROUND(Z508*$D508,10)</f>
        <v>0</v>
      </c>
      <c r="AB508" s="581"/>
      <c r="AC508" s="582">
        <f>ROUND(AB508*$D508,10)</f>
        <v>0</v>
      </c>
      <c r="AE508" s="769">
        <f t="shared" si="365"/>
        <v>0</v>
      </c>
    </row>
    <row r="509" spans="1:31" ht="15" hidden="1" customHeight="1" x14ac:dyDescent="0.2">
      <c r="A509" s="611" t="s">
        <v>1459</v>
      </c>
      <c r="B509" s="601" t="s">
        <v>1460</v>
      </c>
      <c r="C509" s="846"/>
      <c r="D509" s="576"/>
      <c r="E509" s="577"/>
      <c r="F509" s="626">
        <f>+ROUND(SUM(F510),10)</f>
        <v>0</v>
      </c>
      <c r="G509" s="473"/>
      <c r="H509" s="568"/>
      <c r="I509" s="613"/>
      <c r="J509" s="440">
        <f>ROUND(SUM(J510),10)</f>
        <v>0</v>
      </c>
      <c r="K509" s="537"/>
      <c r="L509" s="180">
        <f>ROUND(SUM(L510),10)</f>
        <v>0</v>
      </c>
      <c r="M509" s="542"/>
      <c r="N509" s="180">
        <f>ROUND(SUM(N510),10)</f>
        <v>0</v>
      </c>
      <c r="O509" s="542"/>
      <c r="P509" s="180">
        <f>ROUND(SUM(P510),10)</f>
        <v>0</v>
      </c>
      <c r="Q509" s="542"/>
      <c r="R509" s="180">
        <f>ROUND(SUM(R510),10)</f>
        <v>0</v>
      </c>
      <c r="S509" s="542"/>
      <c r="T509" s="180">
        <f>ROUND(SUM(T510),10)</f>
        <v>0</v>
      </c>
      <c r="U509" s="568"/>
      <c r="V509" s="575"/>
      <c r="W509" s="570">
        <f>ROUND(SUM(W510),10)</f>
        <v>0</v>
      </c>
      <c r="X509" s="575"/>
      <c r="Y509" s="570">
        <f>ROUND(SUM(Y510),10)</f>
        <v>0</v>
      </c>
      <c r="Z509" s="575"/>
      <c r="AA509" s="570">
        <f>ROUND(SUM(AA510),10)</f>
        <v>0</v>
      </c>
      <c r="AB509" s="575"/>
      <c r="AC509" s="570">
        <f>ROUND(SUM(AC510),10)</f>
        <v>0</v>
      </c>
      <c r="AE509" s="769">
        <f t="shared" si="365"/>
        <v>0</v>
      </c>
    </row>
    <row r="510" spans="1:31" ht="15" hidden="1" customHeight="1" x14ac:dyDescent="0.2">
      <c r="A510" s="611" t="s">
        <v>1461</v>
      </c>
      <c r="B510" s="601" t="s">
        <v>1462</v>
      </c>
      <c r="C510" s="611" t="s">
        <v>130</v>
      </c>
      <c r="D510" s="576">
        <f>+I510+K510+M510+O510+Q510+S510</f>
        <v>0</v>
      </c>
      <c r="E510" s="577">
        <f t="shared" si="368"/>
        <v>0</v>
      </c>
      <c r="F510" s="577">
        <f>ROUND(D510*E510,10)</f>
        <v>0</v>
      </c>
      <c r="G510" s="578"/>
      <c r="I510" s="633"/>
      <c r="J510" s="648">
        <f>+ROUND(E510*I510,10)</f>
        <v>0</v>
      </c>
      <c r="K510" s="537"/>
      <c r="L510" s="445">
        <f>+ROUND(E510*K510,10)</f>
        <v>0</v>
      </c>
      <c r="M510" s="542"/>
      <c r="N510" s="445">
        <f>+ROUND(E510*M510,10)</f>
        <v>0</v>
      </c>
      <c r="O510" s="542"/>
      <c r="P510" s="445">
        <f>+ROUND(E510*O510,10)</f>
        <v>0</v>
      </c>
      <c r="Q510" s="542"/>
      <c r="R510" s="445">
        <f>+ROUND(E510*Q510,10)</f>
        <v>0</v>
      </c>
      <c r="S510" s="542"/>
      <c r="T510" s="445">
        <f>+ROUND(E510*S510,10)</f>
        <v>0</v>
      </c>
      <c r="V510" s="581"/>
      <c r="W510" s="582">
        <f>ROUND(V510*$D510,10)</f>
        <v>0</v>
      </c>
      <c r="X510" s="581"/>
      <c r="Y510" s="582">
        <f>ROUND(X510*$D510,10)</f>
        <v>0</v>
      </c>
      <c r="Z510" s="581"/>
      <c r="AA510" s="582">
        <f>ROUND(Z510*$D510,10)</f>
        <v>0</v>
      </c>
      <c r="AB510" s="581"/>
      <c r="AC510" s="582">
        <f>ROUND(AB510*$D510,10)</f>
        <v>0</v>
      </c>
      <c r="AE510" s="769">
        <f t="shared" si="365"/>
        <v>0</v>
      </c>
    </row>
    <row r="511" spans="1:31" ht="15" hidden="1" customHeight="1" x14ac:dyDescent="0.2">
      <c r="A511" s="572" t="s">
        <v>1463</v>
      </c>
      <c r="B511" s="573" t="s">
        <v>1464</v>
      </c>
      <c r="C511" s="846"/>
      <c r="D511" s="576"/>
      <c r="E511" s="577"/>
      <c r="F511" s="626">
        <f>+ROUND(SUM(F512),10)</f>
        <v>0</v>
      </c>
      <c r="G511" s="473"/>
      <c r="H511" s="568"/>
      <c r="I511" s="613"/>
      <c r="J511" s="440">
        <f>ROUND(SUM(J512),10)</f>
        <v>0</v>
      </c>
      <c r="K511" s="537"/>
      <c r="L511" s="180">
        <f>ROUND(SUM(L512),10)</f>
        <v>0</v>
      </c>
      <c r="M511" s="542"/>
      <c r="N511" s="180">
        <f>ROUND(SUM(N512),10)</f>
        <v>0</v>
      </c>
      <c r="O511" s="542"/>
      <c r="P511" s="180">
        <f>ROUND(SUM(P512),10)</f>
        <v>0</v>
      </c>
      <c r="Q511" s="542"/>
      <c r="R511" s="180">
        <f>ROUND(SUM(R512),10)</f>
        <v>0</v>
      </c>
      <c r="S511" s="542"/>
      <c r="T511" s="180">
        <f>ROUND(SUM(T512),10)</f>
        <v>0</v>
      </c>
      <c r="U511" s="568"/>
      <c r="V511" s="575"/>
      <c r="W511" s="570">
        <f>ROUND(SUM(W512),10)</f>
        <v>0</v>
      </c>
      <c r="X511" s="575"/>
      <c r="Y511" s="570">
        <f>ROUND(SUM(Y512),10)</f>
        <v>0</v>
      </c>
      <c r="Z511" s="575"/>
      <c r="AA511" s="570">
        <f>ROUND(SUM(AA512),10)</f>
        <v>0</v>
      </c>
      <c r="AB511" s="575"/>
      <c r="AC511" s="570">
        <f>ROUND(SUM(AC512),10)</f>
        <v>0</v>
      </c>
      <c r="AE511" s="769">
        <f t="shared" si="365"/>
        <v>0</v>
      </c>
    </row>
    <row r="512" spans="1:31" ht="15" hidden="1" customHeight="1" x14ac:dyDescent="0.2">
      <c r="A512" s="611" t="s">
        <v>1465</v>
      </c>
      <c r="B512" s="601" t="s">
        <v>1466</v>
      </c>
      <c r="C512" s="611" t="s">
        <v>130</v>
      </c>
      <c r="D512" s="576">
        <f>+I512+K512+M512+O512+Q512+S512</f>
        <v>0</v>
      </c>
      <c r="E512" s="577">
        <f t="shared" si="368"/>
        <v>0</v>
      </c>
      <c r="F512" s="577">
        <f>ROUND(D512*E512,10)</f>
        <v>0</v>
      </c>
      <c r="G512" s="578"/>
      <c r="I512" s="633"/>
      <c r="J512" s="648">
        <f>+ROUND(E512*I512,10)</f>
        <v>0</v>
      </c>
      <c r="K512" s="537"/>
      <c r="L512" s="445">
        <f>+ROUND(E512*K512,10)</f>
        <v>0</v>
      </c>
      <c r="M512" s="542"/>
      <c r="N512" s="445">
        <f>+ROUND(E512*M512,10)</f>
        <v>0</v>
      </c>
      <c r="O512" s="542"/>
      <c r="P512" s="445">
        <f>+ROUND(E512*O512,10)</f>
        <v>0</v>
      </c>
      <c r="Q512" s="542"/>
      <c r="R512" s="445">
        <f>+ROUND(E512*Q512,10)</f>
        <v>0</v>
      </c>
      <c r="S512" s="542"/>
      <c r="T512" s="445">
        <f>+ROUND(E512*S512,10)</f>
        <v>0</v>
      </c>
      <c r="V512" s="581"/>
      <c r="W512" s="582">
        <f>ROUND(V512*$D512,10)</f>
        <v>0</v>
      </c>
      <c r="X512" s="581"/>
      <c r="Y512" s="582">
        <f>ROUND(X512*$D512,10)</f>
        <v>0</v>
      </c>
      <c r="Z512" s="581"/>
      <c r="AA512" s="582">
        <f>ROUND(Z512*$D512,10)</f>
        <v>0</v>
      </c>
      <c r="AB512" s="581"/>
      <c r="AC512" s="582">
        <f>ROUND(AB512*$D512,10)</f>
        <v>0</v>
      </c>
      <c r="AE512" s="769">
        <f t="shared" si="365"/>
        <v>0</v>
      </c>
    </row>
    <row r="513" spans="1:31" ht="15" hidden="1" customHeight="1" x14ac:dyDescent="0.2">
      <c r="A513" s="572" t="s">
        <v>1467</v>
      </c>
      <c r="B513" s="573" t="s">
        <v>1395</v>
      </c>
      <c r="C513" s="846"/>
      <c r="D513" s="576"/>
      <c r="E513" s="577"/>
      <c r="F513" s="626">
        <f>ROUND(D513*E513,10)</f>
        <v>0</v>
      </c>
      <c r="G513" s="473"/>
      <c r="H513" s="568"/>
      <c r="I513" s="650"/>
      <c r="J513" s="651">
        <f>+ROUND(E513*I513,10)</f>
        <v>0</v>
      </c>
      <c r="K513" s="537"/>
      <c r="L513" s="180">
        <f>+ROUND(E513*K513,10)</f>
        <v>0</v>
      </c>
      <c r="M513" s="542"/>
      <c r="N513" s="180">
        <f>+ROUND(E513*M513,10)</f>
        <v>0</v>
      </c>
      <c r="O513" s="542"/>
      <c r="P513" s="180">
        <f>+ROUND(E513*O513,10)</f>
        <v>0</v>
      </c>
      <c r="Q513" s="542"/>
      <c r="R513" s="180">
        <f>+ROUND(E513*Q513,10)</f>
        <v>0</v>
      </c>
      <c r="S513" s="542"/>
      <c r="T513" s="180">
        <f>+ROUND(E513*S513,10)</f>
        <v>0</v>
      </c>
      <c r="U513" s="568"/>
      <c r="V513" s="575"/>
      <c r="W513" s="570">
        <f>ROUND(V513*$D513,10)</f>
        <v>0</v>
      </c>
      <c r="X513" s="575"/>
      <c r="Y513" s="570">
        <f>ROUND(X513*$D513,10)</f>
        <v>0</v>
      </c>
      <c r="Z513" s="575"/>
      <c r="AA513" s="570">
        <f>ROUND(Z513*$D513,10)</f>
        <v>0</v>
      </c>
      <c r="AB513" s="575"/>
      <c r="AC513" s="570">
        <f>ROUND(AB513*$D513,10)</f>
        <v>0</v>
      </c>
      <c r="AE513" s="769">
        <f t="shared" si="365"/>
        <v>0</v>
      </c>
    </row>
    <row r="514" spans="1:31" ht="15" customHeight="1" x14ac:dyDescent="0.2">
      <c r="A514" s="572" t="s">
        <v>1468</v>
      </c>
      <c r="B514" s="573" t="s">
        <v>1469</v>
      </c>
      <c r="C514" s="846"/>
      <c r="D514" s="576"/>
      <c r="E514" s="577">
        <f t="shared" si="368"/>
        <v>0</v>
      </c>
      <c r="F514" s="180"/>
      <c r="G514" s="473"/>
      <c r="H514" s="568"/>
      <c r="I514" s="633"/>
      <c r="J514" s="648"/>
      <c r="K514" s="537"/>
      <c r="L514" s="445"/>
      <c r="M514" s="542"/>
      <c r="N514" s="445"/>
      <c r="O514" s="542"/>
      <c r="P514" s="445"/>
      <c r="Q514" s="542"/>
      <c r="R514" s="445"/>
      <c r="S514" s="542"/>
      <c r="T514" s="445"/>
      <c r="U514" s="568"/>
      <c r="V514" s="575"/>
      <c r="W514" s="570"/>
      <c r="X514" s="575"/>
      <c r="Y514" s="570"/>
      <c r="Z514" s="575"/>
      <c r="AA514" s="570"/>
      <c r="AB514" s="575"/>
      <c r="AC514" s="570"/>
      <c r="AE514" s="769">
        <f t="shared" si="365"/>
        <v>0</v>
      </c>
    </row>
    <row r="515" spans="1:31" ht="15" hidden="1" customHeight="1" x14ac:dyDescent="0.2">
      <c r="A515" s="572" t="s">
        <v>1470</v>
      </c>
      <c r="B515" s="573" t="s">
        <v>1432</v>
      </c>
      <c r="C515" s="846"/>
      <c r="D515" s="576"/>
      <c r="E515" s="577"/>
      <c r="F515" s="626" t="e">
        <f>+ROUND(SUM(F516),10)</f>
        <v>#REF!</v>
      </c>
      <c r="G515" s="473"/>
      <c r="H515" s="568"/>
      <c r="I515" s="633"/>
      <c r="J515" s="441" t="e">
        <f>ROUND(SUM(J516),10)</f>
        <v>#REF!</v>
      </c>
      <c r="K515" s="537"/>
      <c r="L515" s="180" t="e">
        <f>ROUND(SUM(L516),10)</f>
        <v>#REF!</v>
      </c>
      <c r="M515" s="542"/>
      <c r="N515" s="180" t="e">
        <f>ROUND(SUM(N516),10)</f>
        <v>#REF!</v>
      </c>
      <c r="O515" s="542"/>
      <c r="P515" s="180" t="e">
        <f>ROUND(SUM(P516),10)</f>
        <v>#REF!</v>
      </c>
      <c r="Q515" s="542"/>
      <c r="R515" s="180" t="e">
        <f>ROUND(SUM(R516),10)</f>
        <v>#REF!</v>
      </c>
      <c r="S515" s="542"/>
      <c r="T515" s="180" t="e">
        <f>ROUND(SUM(T516),10)</f>
        <v>#REF!</v>
      </c>
      <c r="U515" s="568"/>
      <c r="V515" s="575"/>
      <c r="W515" s="570" t="e">
        <f>ROUND(SUM(W516),10)</f>
        <v>#REF!</v>
      </c>
      <c r="X515" s="575"/>
      <c r="Y515" s="570">
        <f>ROUND(SUM(Y516),10)</f>
        <v>0</v>
      </c>
      <c r="Z515" s="575"/>
      <c r="AA515" s="570">
        <f>ROUND(SUM(AA516),10)</f>
        <v>0</v>
      </c>
      <c r="AB515" s="575"/>
      <c r="AC515" s="570">
        <f>ROUND(SUM(AC516),10)</f>
        <v>0</v>
      </c>
      <c r="AE515" s="769" t="e">
        <f t="shared" si="365"/>
        <v>#REF!</v>
      </c>
    </row>
    <row r="516" spans="1:31" ht="15" hidden="1" customHeight="1" x14ac:dyDescent="0.2">
      <c r="A516" s="611" t="s">
        <v>1471</v>
      </c>
      <c r="B516" s="601" t="s">
        <v>1434</v>
      </c>
      <c r="C516" s="611" t="s">
        <v>114</v>
      </c>
      <c r="D516" s="576">
        <f>+I516+K516+M516+O516+Q516+S516</f>
        <v>0</v>
      </c>
      <c r="E516" s="577" t="e">
        <f t="shared" si="368"/>
        <v>#REF!</v>
      </c>
      <c r="F516" s="577" t="e">
        <f>ROUND(D516*E516,10)</f>
        <v>#REF!</v>
      </c>
      <c r="G516" s="578"/>
      <c r="I516" s="673"/>
      <c r="J516" s="674" t="e">
        <f>+ROUND(E516*I516,10)</f>
        <v>#REF!</v>
      </c>
      <c r="K516" s="537"/>
      <c r="L516" s="445" t="e">
        <f>+ROUND(E516*K516,10)</f>
        <v>#REF!</v>
      </c>
      <c r="M516" s="542"/>
      <c r="N516" s="445" t="e">
        <f>+ROUND(E516*M516,10)</f>
        <v>#REF!</v>
      </c>
      <c r="O516" s="542"/>
      <c r="P516" s="445" t="e">
        <f>+ROUND(E516*O516,10)</f>
        <v>#REF!</v>
      </c>
      <c r="Q516" s="542"/>
      <c r="R516" s="445" t="e">
        <f>+ROUND(E516*Q516,10)</f>
        <v>#REF!</v>
      </c>
      <c r="S516" s="542"/>
      <c r="T516" s="445" t="e">
        <f>+ROUND(E516*S516,10)</f>
        <v>#REF!</v>
      </c>
      <c r="V516" s="581" t="e">
        <f>#REF!</f>
        <v>#REF!</v>
      </c>
      <c r="W516" s="582" t="e">
        <f>ROUND(V516*$D516,10)</f>
        <v>#REF!</v>
      </c>
      <c r="X516" s="581">
        <f>'10,2,2,3 Piso tablòn ges 0,30 '!I50</f>
        <v>14659.15</v>
      </c>
      <c r="Y516" s="582">
        <f>ROUND(X516*$D516,10)</f>
        <v>0</v>
      </c>
      <c r="Z516" s="581">
        <f>'10,2,2,3 Piso tablòn ges 0,30 '!I30</f>
        <v>351.86</v>
      </c>
      <c r="AA516" s="582">
        <f>ROUND(Z516*$D516,10)</f>
        <v>0</v>
      </c>
      <c r="AB516" s="581">
        <f>'10,2,2,3 Piso tablòn ges 0,30 '!I41</f>
        <v>0</v>
      </c>
      <c r="AC516" s="582">
        <f>ROUND(AB516*$D516,10)</f>
        <v>0</v>
      </c>
      <c r="AE516" s="769" t="e">
        <f t="shared" si="365"/>
        <v>#REF!</v>
      </c>
    </row>
    <row r="517" spans="1:31" ht="15" customHeight="1" x14ac:dyDescent="0.2">
      <c r="A517" s="572" t="s">
        <v>1472</v>
      </c>
      <c r="B517" s="573" t="s">
        <v>1446</v>
      </c>
      <c r="C517" s="611"/>
      <c r="D517" s="576"/>
      <c r="E517" s="577"/>
      <c r="F517" s="626" t="e">
        <f>+ROUND(SUM(F518:F523),10)</f>
        <v>#REF!</v>
      </c>
      <c r="G517" s="578"/>
      <c r="I517" s="613"/>
      <c r="J517" s="440" t="e">
        <f>ROUND(SUM(J518:J522),10)</f>
        <v>#REF!</v>
      </c>
      <c r="K517" s="537"/>
      <c r="L517" s="180" t="e">
        <f>ROUND(SUM(L518:L523),10)</f>
        <v>#REF!</v>
      </c>
      <c r="M517" s="542"/>
      <c r="N517" s="180" t="e">
        <f>ROUND(SUM(N518:N523),10)</f>
        <v>#REF!</v>
      </c>
      <c r="O517" s="542"/>
      <c r="P517" s="180" t="e">
        <f>ROUND(SUM(P518:P523),10)</f>
        <v>#REF!</v>
      </c>
      <c r="Q517" s="542"/>
      <c r="R517" s="180" t="e">
        <f>ROUND(SUM(R518:R523),10)</f>
        <v>#REF!</v>
      </c>
      <c r="S517" s="542"/>
      <c r="T517" s="180" t="e">
        <f>ROUND(SUM(T518:T523),10)</f>
        <v>#REF!</v>
      </c>
      <c r="V517" s="581"/>
      <c r="W517" s="570" t="e">
        <f>ROUND(SUM(W518:W523),10)</f>
        <v>#REF!</v>
      </c>
      <c r="X517" s="581"/>
      <c r="Y517" s="570" t="e">
        <f>ROUND(SUM(Y518:Y523),10)</f>
        <v>#REF!</v>
      </c>
      <c r="Z517" s="581"/>
      <c r="AA517" s="570" t="e">
        <f>ROUND(SUM(AA518:AA523),10)</f>
        <v>#REF!</v>
      </c>
      <c r="AB517" s="581"/>
      <c r="AC517" s="570" t="e">
        <f>ROUND(SUM(AC518:AC523),10)</f>
        <v>#REF!</v>
      </c>
      <c r="AE517" s="769" t="e">
        <f t="shared" si="365"/>
        <v>#REF!</v>
      </c>
    </row>
    <row r="518" spans="1:31" s="672" customFormat="1" ht="15" customHeight="1" x14ac:dyDescent="0.2">
      <c r="A518" s="627" t="s">
        <v>1473</v>
      </c>
      <c r="B518" s="610" t="s">
        <v>1474</v>
      </c>
      <c r="C518" s="627" t="s">
        <v>114</v>
      </c>
      <c r="D518" s="576">
        <f t="shared" ref="D518:D523" si="380">+I518+K518+M518+O518+Q518+S518</f>
        <v>602.08999999999992</v>
      </c>
      <c r="E518" s="641" t="e">
        <f t="shared" si="368"/>
        <v>#REF!</v>
      </c>
      <c r="F518" s="641" t="e">
        <f t="shared" ref="F518:F523" si="381">ROUND(D518*E518,10)</f>
        <v>#REF!</v>
      </c>
      <c r="G518" s="668"/>
      <c r="H518" s="657"/>
      <c r="I518" s="669"/>
      <c r="J518" s="670" t="e">
        <f>+ROUND(E518*I518,10)</f>
        <v>#REF!</v>
      </c>
      <c r="K518" s="538">
        <v>302.39999999999998</v>
      </c>
      <c r="L518" s="474" t="e">
        <f t="shared" ref="L518:L523" si="382">+ROUND(E518*K518,10)</f>
        <v>#REF!</v>
      </c>
      <c r="M518" s="543"/>
      <c r="N518" s="474" t="e">
        <f t="shared" ref="N518:N523" si="383">+ROUND(E518*M518,10)</f>
        <v>#REF!</v>
      </c>
      <c r="O518" s="543"/>
      <c r="P518" s="474" t="e">
        <f t="shared" ref="P518:P523" si="384">+ROUND(E518*O518,10)</f>
        <v>#REF!</v>
      </c>
      <c r="Q518" s="543">
        <v>242.65</v>
      </c>
      <c r="R518" s="474" t="e">
        <f t="shared" ref="R518:R523" si="385">+ROUND(E518*Q518,10)</f>
        <v>#REF!</v>
      </c>
      <c r="S518" s="543">
        <v>57.04</v>
      </c>
      <c r="T518" s="474" t="e">
        <f t="shared" ref="T518:T523" si="386">+ROUND(E518*S518,10)</f>
        <v>#REF!</v>
      </c>
      <c r="U518" s="657"/>
      <c r="V518" s="671" t="e">
        <f>+#REF!</f>
        <v>#REF!</v>
      </c>
      <c r="W518" s="671" t="e">
        <f t="shared" ref="W518:W523" si="387">ROUND(V518*$D518,10)</f>
        <v>#REF!</v>
      </c>
      <c r="X518" s="671" t="e">
        <f>+#REF!</f>
        <v>#REF!</v>
      </c>
      <c r="Y518" s="671" t="e">
        <f t="shared" ref="Y518:Y523" si="388">ROUND(X518*$D518,10)</f>
        <v>#REF!</v>
      </c>
      <c r="Z518" s="671" t="e">
        <f>+#REF!</f>
        <v>#REF!</v>
      </c>
      <c r="AA518" s="671" t="e">
        <f t="shared" ref="AA518:AA523" si="389">ROUND(Z518*$D518,10)</f>
        <v>#REF!</v>
      </c>
      <c r="AB518" s="671"/>
      <c r="AC518" s="671">
        <f t="shared" ref="AC518:AC523" si="390">ROUND(AB518*$D518,10)</f>
        <v>0</v>
      </c>
      <c r="AE518" s="769" t="e">
        <f t="shared" si="365"/>
        <v>#REF!</v>
      </c>
    </row>
    <row r="519" spans="1:31" ht="15" hidden="1" customHeight="1" x14ac:dyDescent="0.2">
      <c r="A519" s="611" t="s">
        <v>1475</v>
      </c>
      <c r="B519" s="649" t="s">
        <v>1450</v>
      </c>
      <c r="C519" s="611" t="s">
        <v>114</v>
      </c>
      <c r="D519" s="576">
        <f t="shared" si="380"/>
        <v>0</v>
      </c>
      <c r="E519" s="577">
        <f t="shared" si="368"/>
        <v>0</v>
      </c>
      <c r="F519" s="577">
        <f t="shared" si="381"/>
        <v>0</v>
      </c>
      <c r="G519" s="578"/>
      <c r="I519" s="584"/>
      <c r="J519" s="585">
        <f>+ROUND(E519*I519,10)</f>
        <v>0</v>
      </c>
      <c r="K519" s="537"/>
      <c r="L519" s="445">
        <f t="shared" si="382"/>
        <v>0</v>
      </c>
      <c r="M519" s="542"/>
      <c r="N519" s="445">
        <f t="shared" si="383"/>
        <v>0</v>
      </c>
      <c r="O519" s="542"/>
      <c r="P519" s="445">
        <f t="shared" si="384"/>
        <v>0</v>
      </c>
      <c r="Q519" s="542"/>
      <c r="R519" s="445">
        <f t="shared" si="385"/>
        <v>0</v>
      </c>
      <c r="S519" s="542"/>
      <c r="T519" s="445">
        <f t="shared" si="386"/>
        <v>0</v>
      </c>
      <c r="V519" s="581"/>
      <c r="W519" s="582">
        <f t="shared" si="387"/>
        <v>0</v>
      </c>
      <c r="X519" s="581"/>
      <c r="Y519" s="582">
        <f t="shared" si="388"/>
        <v>0</v>
      </c>
      <c r="Z519" s="581"/>
      <c r="AA519" s="582">
        <f t="shared" si="389"/>
        <v>0</v>
      </c>
      <c r="AB519" s="581"/>
      <c r="AC519" s="582">
        <f t="shared" si="390"/>
        <v>0</v>
      </c>
      <c r="AE519" s="769">
        <f t="shared" si="365"/>
        <v>0</v>
      </c>
    </row>
    <row r="520" spans="1:31" ht="15" hidden="1" customHeight="1" x14ac:dyDescent="0.2">
      <c r="A520" s="611" t="s">
        <v>1476</v>
      </c>
      <c r="B520" s="610" t="s">
        <v>1477</v>
      </c>
      <c r="C520" s="611" t="s">
        <v>114</v>
      </c>
      <c r="D520" s="576">
        <f t="shared" si="380"/>
        <v>0</v>
      </c>
      <c r="E520" s="577" t="e">
        <f t="shared" si="368"/>
        <v>#REF!</v>
      </c>
      <c r="F520" s="577" t="e">
        <f t="shared" si="381"/>
        <v>#REF!</v>
      </c>
      <c r="G520" s="578"/>
      <c r="I520" s="584"/>
      <c r="J520" s="585" t="e">
        <f>+ROUND(E520*I520,10)</f>
        <v>#REF!</v>
      </c>
      <c r="K520" s="537"/>
      <c r="L520" s="445" t="e">
        <f t="shared" si="382"/>
        <v>#REF!</v>
      </c>
      <c r="M520" s="542"/>
      <c r="N520" s="445" t="e">
        <f t="shared" si="383"/>
        <v>#REF!</v>
      </c>
      <c r="O520" s="542"/>
      <c r="P520" s="445" t="e">
        <f t="shared" si="384"/>
        <v>#REF!</v>
      </c>
      <c r="Q520" s="542"/>
      <c r="R520" s="445" t="e">
        <f t="shared" si="385"/>
        <v>#REF!</v>
      </c>
      <c r="S520" s="542"/>
      <c r="T520" s="445" t="e">
        <f t="shared" si="386"/>
        <v>#REF!</v>
      </c>
      <c r="V520" s="581" t="e">
        <f>+'10,3,2,3 Media Caña'!I19</f>
        <v>#REF!</v>
      </c>
      <c r="W520" s="582" t="e">
        <f t="shared" si="387"/>
        <v>#REF!</v>
      </c>
      <c r="X520" s="581">
        <f>+'10,3,2,3 Media Caña'!I50</f>
        <v>5487.48</v>
      </c>
      <c r="Y520" s="582">
        <f t="shared" si="388"/>
        <v>0</v>
      </c>
      <c r="Z520" s="581">
        <f>+'10,3,2,3 Media Caña'!I30</f>
        <v>371</v>
      </c>
      <c r="AA520" s="582">
        <f t="shared" si="389"/>
        <v>0</v>
      </c>
      <c r="AB520" s="581"/>
      <c r="AC520" s="582">
        <f t="shared" si="390"/>
        <v>0</v>
      </c>
      <c r="AE520" s="769" t="e">
        <f t="shared" si="365"/>
        <v>#REF!</v>
      </c>
    </row>
    <row r="521" spans="1:31" ht="15.75" hidden="1" customHeight="1" x14ac:dyDescent="0.2">
      <c r="A521" s="611" t="s">
        <v>1478</v>
      </c>
      <c r="B521" s="601" t="s">
        <v>1452</v>
      </c>
      <c r="C521" s="611" t="s">
        <v>114</v>
      </c>
      <c r="D521" s="576">
        <f t="shared" si="380"/>
        <v>0</v>
      </c>
      <c r="E521" s="577">
        <f t="shared" si="368"/>
        <v>0</v>
      </c>
      <c r="F521" s="577">
        <f t="shared" si="381"/>
        <v>0</v>
      </c>
      <c r="G521" s="578"/>
      <c r="I521" s="584"/>
      <c r="J521" s="585">
        <f>+ROUND(E521*I521,10)</f>
        <v>0</v>
      </c>
      <c r="K521" s="537"/>
      <c r="L521" s="445">
        <f t="shared" si="382"/>
        <v>0</v>
      </c>
      <c r="M521" s="542"/>
      <c r="N521" s="445">
        <f t="shared" si="383"/>
        <v>0</v>
      </c>
      <c r="O521" s="542"/>
      <c r="P521" s="445">
        <f t="shared" si="384"/>
        <v>0</v>
      </c>
      <c r="Q521" s="542"/>
      <c r="R521" s="445">
        <f t="shared" si="385"/>
        <v>0</v>
      </c>
      <c r="S521" s="542"/>
      <c r="T521" s="445">
        <f t="shared" si="386"/>
        <v>0</v>
      </c>
      <c r="V521" s="581"/>
      <c r="W521" s="582">
        <f t="shared" si="387"/>
        <v>0</v>
      </c>
      <c r="X521" s="581"/>
      <c r="Y521" s="582">
        <f t="shared" si="388"/>
        <v>0</v>
      </c>
      <c r="Z521" s="581"/>
      <c r="AA521" s="582">
        <f t="shared" si="389"/>
        <v>0</v>
      </c>
      <c r="AB521" s="581"/>
      <c r="AC521" s="582">
        <f t="shared" si="390"/>
        <v>0</v>
      </c>
      <c r="AE521" s="769">
        <f t="shared" si="365"/>
        <v>0</v>
      </c>
    </row>
    <row r="522" spans="1:31" s="595" customFormat="1" ht="18" hidden="1" customHeight="1" x14ac:dyDescent="0.2">
      <c r="A522" s="611" t="s">
        <v>1479</v>
      </c>
      <c r="B522" s="601" t="s">
        <v>1480</v>
      </c>
      <c r="C522" s="611" t="s">
        <v>114</v>
      </c>
      <c r="D522" s="576">
        <f t="shared" si="380"/>
        <v>0</v>
      </c>
      <c r="E522" s="577" t="e">
        <f t="shared" si="368"/>
        <v>#REF!</v>
      </c>
      <c r="F522" s="577" t="e">
        <f t="shared" si="381"/>
        <v>#REF!</v>
      </c>
      <c r="G522" s="578"/>
      <c r="H522" s="552"/>
      <c r="I522" s="597"/>
      <c r="J522" s="598" t="e">
        <f>+ROUND(E522*I522,10)</f>
        <v>#REF!</v>
      </c>
      <c r="K522" s="537"/>
      <c r="L522" s="445" t="e">
        <f t="shared" si="382"/>
        <v>#REF!</v>
      </c>
      <c r="M522" s="542"/>
      <c r="N522" s="445" t="e">
        <f t="shared" si="383"/>
        <v>#REF!</v>
      </c>
      <c r="O522" s="542"/>
      <c r="P522" s="445" t="e">
        <f t="shared" si="384"/>
        <v>#REF!</v>
      </c>
      <c r="Q522" s="542"/>
      <c r="R522" s="445" t="e">
        <f t="shared" si="385"/>
        <v>#REF!</v>
      </c>
      <c r="S522" s="542"/>
      <c r="T522" s="445" t="e">
        <f t="shared" si="386"/>
        <v>#REF!</v>
      </c>
      <c r="U522" s="552"/>
      <c r="V522" s="581" t="e">
        <f>+'10,3,2,4 Gravilla '!I19</f>
        <v>#REF!</v>
      </c>
      <c r="W522" s="582" t="e">
        <f t="shared" si="387"/>
        <v>#REF!</v>
      </c>
      <c r="X522" s="581">
        <f>+'10,3,2,4 Gravilla '!I50</f>
        <v>19367.59</v>
      </c>
      <c r="Y522" s="582">
        <f t="shared" si="388"/>
        <v>0</v>
      </c>
      <c r="Z522" s="581">
        <f>+'10,3,2,4 Gravilla '!I30</f>
        <v>371</v>
      </c>
      <c r="AA522" s="582">
        <f t="shared" si="389"/>
        <v>0</v>
      </c>
      <c r="AB522" s="581"/>
      <c r="AC522" s="582">
        <f t="shared" si="390"/>
        <v>0</v>
      </c>
      <c r="AD522" s="912"/>
      <c r="AE522" s="769" t="e">
        <f t="shared" si="365"/>
        <v>#REF!</v>
      </c>
    </row>
    <row r="523" spans="1:31" s="595" customFormat="1" ht="18" customHeight="1" x14ac:dyDescent="0.2">
      <c r="A523" s="611" t="s">
        <v>1481</v>
      </c>
      <c r="B523" s="601" t="s">
        <v>1482</v>
      </c>
      <c r="C523" s="611" t="s">
        <v>114</v>
      </c>
      <c r="D523" s="576">
        <f t="shared" si="380"/>
        <v>235.95000000000002</v>
      </c>
      <c r="E523" s="577" t="e">
        <f t="shared" si="368"/>
        <v>#REF!</v>
      </c>
      <c r="F523" s="577" t="e">
        <f t="shared" si="381"/>
        <v>#REF!</v>
      </c>
      <c r="G523" s="578"/>
      <c r="H523" s="552"/>
      <c r="I523" s="633"/>
      <c r="J523" s="648"/>
      <c r="K523" s="537"/>
      <c r="L523" s="445" t="e">
        <f t="shared" si="382"/>
        <v>#REF!</v>
      </c>
      <c r="M523" s="542">
        <v>72.150000000000006</v>
      </c>
      <c r="N523" s="445" t="e">
        <f t="shared" si="383"/>
        <v>#REF!</v>
      </c>
      <c r="O523" s="542">
        <v>163.80000000000001</v>
      </c>
      <c r="P523" s="445" t="e">
        <f t="shared" si="384"/>
        <v>#REF!</v>
      </c>
      <c r="Q523" s="542"/>
      <c r="R523" s="445" t="e">
        <f t="shared" si="385"/>
        <v>#REF!</v>
      </c>
      <c r="S523" s="542"/>
      <c r="T523" s="445" t="e">
        <f t="shared" si="386"/>
        <v>#REF!</v>
      </c>
      <c r="U523" s="552"/>
      <c r="V523" s="581" t="e">
        <f>#REF!</f>
        <v>#REF!</v>
      </c>
      <c r="W523" s="582" t="e">
        <f t="shared" si="387"/>
        <v>#REF!</v>
      </c>
      <c r="X523" s="581" t="e">
        <f>+#REF!</f>
        <v>#REF!</v>
      </c>
      <c r="Y523" s="582" t="e">
        <f t="shared" si="388"/>
        <v>#REF!</v>
      </c>
      <c r="Z523" s="581" t="e">
        <f>+#REF!</f>
        <v>#REF!</v>
      </c>
      <c r="AA523" s="582" t="e">
        <f t="shared" si="389"/>
        <v>#REF!</v>
      </c>
      <c r="AB523" s="581" t="e">
        <f>+#REF!</f>
        <v>#REF!</v>
      </c>
      <c r="AC523" s="582" t="e">
        <f t="shared" si="390"/>
        <v>#REF!</v>
      </c>
      <c r="AD523" s="912"/>
      <c r="AE523" s="769" t="e">
        <f t="shared" si="365"/>
        <v>#REF!</v>
      </c>
    </row>
    <row r="524" spans="1:31" ht="15" hidden="1" customHeight="1" x14ac:dyDescent="0.2">
      <c r="A524" s="572" t="s">
        <v>1483</v>
      </c>
      <c r="B524" s="573" t="s">
        <v>1454</v>
      </c>
      <c r="C524" s="846"/>
      <c r="D524" s="576"/>
      <c r="E524" s="577"/>
      <c r="F524" s="626">
        <f>+ROUND(SUM(F525:F526),10)</f>
        <v>0</v>
      </c>
      <c r="G524" s="473"/>
      <c r="H524" s="568"/>
      <c r="I524" s="613"/>
      <c r="J524" s="440">
        <f>ROUND(SUM(J525:J526),10)</f>
        <v>0</v>
      </c>
      <c r="K524" s="537"/>
      <c r="L524" s="180">
        <f>ROUND(SUM(L525:L526),10)</f>
        <v>0</v>
      </c>
      <c r="M524" s="542"/>
      <c r="N524" s="180">
        <f>ROUND(SUM(N525:N526),10)</f>
        <v>0</v>
      </c>
      <c r="O524" s="542"/>
      <c r="P524" s="180">
        <f>ROUND(SUM(P525:P526),10)</f>
        <v>0</v>
      </c>
      <c r="Q524" s="542"/>
      <c r="R524" s="180">
        <f>ROUND(SUM(R525:R526),10)</f>
        <v>0</v>
      </c>
      <c r="S524" s="542"/>
      <c r="T524" s="180">
        <f>ROUND(SUM(T525:T526),10)</f>
        <v>0</v>
      </c>
      <c r="U524" s="568"/>
      <c r="V524" s="575"/>
      <c r="W524" s="570">
        <f>ROUND(SUM(W525:W526),10)</f>
        <v>0</v>
      </c>
      <c r="X524" s="575"/>
      <c r="Y524" s="570">
        <f>ROUND(SUM(Y525:Y526),10)</f>
        <v>0</v>
      </c>
      <c r="Z524" s="575"/>
      <c r="AA524" s="570">
        <f>ROUND(SUM(AA525:AA526),10)</f>
        <v>0</v>
      </c>
      <c r="AB524" s="575"/>
      <c r="AC524" s="570">
        <f>ROUND(SUM(AC525:AC526),10)</f>
        <v>0</v>
      </c>
      <c r="AE524" s="769">
        <f t="shared" si="365"/>
        <v>0</v>
      </c>
    </row>
    <row r="525" spans="1:31" ht="15" hidden="1" customHeight="1" x14ac:dyDescent="0.2">
      <c r="A525" s="611" t="s">
        <v>1484</v>
      </c>
      <c r="B525" s="601" t="s">
        <v>1456</v>
      </c>
      <c r="C525" s="611" t="s">
        <v>114</v>
      </c>
      <c r="D525" s="576">
        <f>+I525+K525+M525+O525+Q525+S525</f>
        <v>0</v>
      </c>
      <c r="E525" s="577">
        <f t="shared" si="368"/>
        <v>0</v>
      </c>
      <c r="F525" s="577">
        <f>ROUND(D525*E525,10)</f>
        <v>0</v>
      </c>
      <c r="G525" s="578"/>
      <c r="I525" s="594"/>
      <c r="J525" s="580">
        <f>+ROUND(E525*I525,10)</f>
        <v>0</v>
      </c>
      <c r="K525" s="537"/>
      <c r="L525" s="445">
        <f>+ROUND(E525*K525,10)</f>
        <v>0</v>
      </c>
      <c r="M525" s="542"/>
      <c r="N525" s="445">
        <f>+ROUND(E525*M525,10)</f>
        <v>0</v>
      </c>
      <c r="O525" s="542"/>
      <c r="P525" s="445">
        <f>+ROUND(E525*O525,10)</f>
        <v>0</v>
      </c>
      <c r="Q525" s="542"/>
      <c r="R525" s="445">
        <f>+ROUND(E525*Q525,10)</f>
        <v>0</v>
      </c>
      <c r="S525" s="542"/>
      <c r="T525" s="445">
        <f>+ROUND(E525*S525,10)</f>
        <v>0</v>
      </c>
      <c r="V525" s="581"/>
      <c r="W525" s="582">
        <f>ROUND(V525*$D525,10)</f>
        <v>0</v>
      </c>
      <c r="X525" s="581"/>
      <c r="Y525" s="582">
        <f>ROUND(X525*$D525,10)</f>
        <v>0</v>
      </c>
      <c r="Z525" s="581"/>
      <c r="AA525" s="582">
        <f>ROUND(Z525*$D525,10)</f>
        <v>0</v>
      </c>
      <c r="AB525" s="581"/>
      <c r="AC525" s="582">
        <f>ROUND(AB525*$D525,10)</f>
        <v>0</v>
      </c>
      <c r="AE525" s="769">
        <f t="shared" si="365"/>
        <v>0</v>
      </c>
    </row>
    <row r="526" spans="1:31" ht="15" hidden="1" customHeight="1" x14ac:dyDescent="0.2">
      <c r="A526" s="611" t="s">
        <v>1485</v>
      </c>
      <c r="B526" s="601" t="s">
        <v>1458</v>
      </c>
      <c r="C526" s="611" t="s">
        <v>114</v>
      </c>
      <c r="D526" s="576">
        <f>+I526+K526+M526+O526+Q526+S526</f>
        <v>0</v>
      </c>
      <c r="E526" s="577">
        <f t="shared" si="368"/>
        <v>0</v>
      </c>
      <c r="F526" s="577">
        <f>ROUND(D526*E526,10)</f>
        <v>0</v>
      </c>
      <c r="G526" s="578"/>
      <c r="I526" s="597"/>
      <c r="J526" s="598">
        <f>+ROUND(E526*I526,10)</f>
        <v>0</v>
      </c>
      <c r="K526" s="537"/>
      <c r="L526" s="445">
        <f>+ROUND(E526*K526,10)</f>
        <v>0</v>
      </c>
      <c r="M526" s="542"/>
      <c r="N526" s="445">
        <f>+ROUND(E526*M526,10)</f>
        <v>0</v>
      </c>
      <c r="O526" s="542"/>
      <c r="P526" s="445">
        <f>+ROUND(E526*O526,10)</f>
        <v>0</v>
      </c>
      <c r="Q526" s="542"/>
      <c r="R526" s="445">
        <f>+ROUND(E526*Q526,10)</f>
        <v>0</v>
      </c>
      <c r="S526" s="542"/>
      <c r="T526" s="445">
        <f>+ROUND(E526*S526,10)</f>
        <v>0</v>
      </c>
      <c r="V526" s="581"/>
      <c r="W526" s="582">
        <f>ROUND(V526*$D526,10)</f>
        <v>0</v>
      </c>
      <c r="X526" s="581"/>
      <c r="Y526" s="582">
        <f>ROUND(X526*$D526,10)</f>
        <v>0</v>
      </c>
      <c r="Z526" s="581"/>
      <c r="AA526" s="582">
        <f>ROUND(Z526*$D526,10)</f>
        <v>0</v>
      </c>
      <c r="AB526" s="581"/>
      <c r="AC526" s="582">
        <f>ROUND(AB526*$D526,10)</f>
        <v>0</v>
      </c>
      <c r="AE526" s="769">
        <f t="shared" si="365"/>
        <v>0</v>
      </c>
    </row>
    <row r="527" spans="1:31" ht="15" hidden="1" customHeight="1" x14ac:dyDescent="0.2">
      <c r="A527" s="572" t="s">
        <v>1486</v>
      </c>
      <c r="B527" s="573" t="s">
        <v>1464</v>
      </c>
      <c r="C527" s="846"/>
      <c r="D527" s="576"/>
      <c r="E527" s="577"/>
      <c r="F527" s="626">
        <f>+ROUND(SUM(F528),10)</f>
        <v>0</v>
      </c>
      <c r="G527" s="473"/>
      <c r="H527" s="568"/>
      <c r="I527" s="613"/>
      <c r="J527" s="440">
        <f>ROUND(SUM(J528),10)</f>
        <v>0</v>
      </c>
      <c r="K527" s="537"/>
      <c r="L527" s="180">
        <f>ROUND(SUM(L528),10)</f>
        <v>0</v>
      </c>
      <c r="M527" s="542"/>
      <c r="N527" s="180">
        <f>ROUND(SUM(N528),10)</f>
        <v>0</v>
      </c>
      <c r="O527" s="542"/>
      <c r="P527" s="180">
        <f>ROUND(SUM(P528),10)</f>
        <v>0</v>
      </c>
      <c r="Q527" s="542"/>
      <c r="R527" s="180">
        <f>ROUND(SUM(R528),10)</f>
        <v>0</v>
      </c>
      <c r="S527" s="542"/>
      <c r="T527" s="180">
        <f>ROUND(SUM(T528),10)</f>
        <v>0</v>
      </c>
      <c r="U527" s="568"/>
      <c r="V527" s="575"/>
      <c r="W527" s="570">
        <f>ROUND(SUM(W528),10)</f>
        <v>0</v>
      </c>
      <c r="X527" s="575"/>
      <c r="Y527" s="570">
        <f>ROUND(SUM(Y528),10)</f>
        <v>0</v>
      </c>
      <c r="Z527" s="575"/>
      <c r="AA527" s="570">
        <f>ROUND(SUM(AA528),10)</f>
        <v>0</v>
      </c>
      <c r="AB527" s="575"/>
      <c r="AC527" s="570">
        <f>ROUND(SUM(AC528),10)</f>
        <v>0</v>
      </c>
      <c r="AE527" s="769">
        <f t="shared" si="365"/>
        <v>0</v>
      </c>
    </row>
    <row r="528" spans="1:31" ht="15" hidden="1" customHeight="1" x14ac:dyDescent="0.2">
      <c r="A528" s="611" t="s">
        <v>1487</v>
      </c>
      <c r="B528" s="601" t="s">
        <v>1488</v>
      </c>
      <c r="C528" s="611" t="s">
        <v>114</v>
      </c>
      <c r="D528" s="576">
        <f>+I528+K528+M528+O528+Q528+S528</f>
        <v>0</v>
      </c>
      <c r="E528" s="577">
        <f t="shared" si="368"/>
        <v>0</v>
      </c>
      <c r="F528" s="577">
        <f>ROUND(D528*E528,10)</f>
        <v>0</v>
      </c>
      <c r="G528" s="578"/>
      <c r="I528" s="673"/>
      <c r="J528" s="674">
        <f>+ROUND(E528*I528,10)</f>
        <v>0</v>
      </c>
      <c r="K528" s="537"/>
      <c r="L528" s="445">
        <f>+ROUND(E528*K528,10)</f>
        <v>0</v>
      </c>
      <c r="M528" s="542"/>
      <c r="N528" s="445">
        <f>+ROUND(E528*M528,10)</f>
        <v>0</v>
      </c>
      <c r="O528" s="542"/>
      <c r="P528" s="445">
        <f>+ROUND(E528*O528,10)</f>
        <v>0</v>
      </c>
      <c r="Q528" s="542"/>
      <c r="R528" s="445">
        <f>+ROUND(E528*Q528,10)</f>
        <v>0</v>
      </c>
      <c r="S528" s="542"/>
      <c r="T528" s="445">
        <f>+ROUND(E528*S528,10)</f>
        <v>0</v>
      </c>
      <c r="V528" s="581"/>
      <c r="W528" s="582">
        <f>ROUND(V528*$D528,10)</f>
        <v>0</v>
      </c>
      <c r="X528" s="581"/>
      <c r="Y528" s="582">
        <f>ROUND(X528*$D528,10)</f>
        <v>0</v>
      </c>
      <c r="Z528" s="581"/>
      <c r="AA528" s="582">
        <f>ROUND(Z528*$D528,10)</f>
        <v>0</v>
      </c>
      <c r="AB528" s="581"/>
      <c r="AC528" s="582">
        <f>ROUND(AB528*$D528,10)</f>
        <v>0</v>
      </c>
      <c r="AE528" s="769">
        <f t="shared" si="365"/>
        <v>0</v>
      </c>
    </row>
    <row r="529" spans="1:31" ht="15" hidden="1" customHeight="1" x14ac:dyDescent="0.2">
      <c r="A529" s="572" t="s">
        <v>1489</v>
      </c>
      <c r="B529" s="573" t="s">
        <v>1395</v>
      </c>
      <c r="C529" s="846"/>
      <c r="D529" s="576"/>
      <c r="E529" s="577"/>
      <c r="F529" s="626">
        <f>+ROUND(SUM(F530),10)</f>
        <v>0</v>
      </c>
      <c r="G529" s="473"/>
      <c r="H529" s="568"/>
      <c r="I529" s="613"/>
      <c r="J529" s="440">
        <f>ROUND(SUM(J530),10)</f>
        <v>0</v>
      </c>
      <c r="K529" s="537"/>
      <c r="L529" s="180">
        <f>ROUND(SUM(L530),10)</f>
        <v>0</v>
      </c>
      <c r="M529" s="542"/>
      <c r="N529" s="180">
        <f>ROUND(SUM(N530),10)</f>
        <v>0</v>
      </c>
      <c r="O529" s="542"/>
      <c r="P529" s="180">
        <f>ROUND(SUM(P530),10)</f>
        <v>0</v>
      </c>
      <c r="Q529" s="542"/>
      <c r="R529" s="180">
        <f>ROUND(SUM(R530),10)</f>
        <v>0</v>
      </c>
      <c r="S529" s="542"/>
      <c r="T529" s="180">
        <f>ROUND(SUM(T530),10)</f>
        <v>0</v>
      </c>
      <c r="U529" s="568"/>
      <c r="V529" s="575"/>
      <c r="W529" s="570">
        <f>ROUND(SUM(W530),10)</f>
        <v>0</v>
      </c>
      <c r="X529" s="575"/>
      <c r="Y529" s="570">
        <f>ROUND(SUM(Y530),10)</f>
        <v>0</v>
      </c>
      <c r="Z529" s="575"/>
      <c r="AA529" s="570">
        <f>ROUND(SUM(AA530),10)</f>
        <v>0</v>
      </c>
      <c r="AB529" s="575"/>
      <c r="AC529" s="570">
        <f>ROUND(SUM(AC530),10)</f>
        <v>0</v>
      </c>
      <c r="AE529" s="769">
        <f t="shared" si="365"/>
        <v>0</v>
      </c>
    </row>
    <row r="530" spans="1:31" ht="15" hidden="1" customHeight="1" x14ac:dyDescent="0.2">
      <c r="A530" s="611" t="s">
        <v>1490</v>
      </c>
      <c r="B530" s="601" t="s">
        <v>1477</v>
      </c>
      <c r="C530" s="611" t="s">
        <v>114</v>
      </c>
      <c r="D530" s="576">
        <f>+I530+K530+M530+O530+Q530+S530</f>
        <v>0</v>
      </c>
      <c r="E530" s="577">
        <f t="shared" si="368"/>
        <v>0</v>
      </c>
      <c r="F530" s="577">
        <f>ROUND(D530*E530,10)</f>
        <v>0</v>
      </c>
      <c r="G530" s="578"/>
      <c r="I530" s="673"/>
      <c r="J530" s="674">
        <f>+ROUND(E530*I530,10)</f>
        <v>0</v>
      </c>
      <c r="K530" s="537"/>
      <c r="L530" s="445">
        <f>+ROUND(E530*K530,10)</f>
        <v>0</v>
      </c>
      <c r="M530" s="542"/>
      <c r="N530" s="445">
        <f>+ROUND(E530*M530,10)</f>
        <v>0</v>
      </c>
      <c r="O530" s="542"/>
      <c r="P530" s="445">
        <f>+ROUND(E530*O530,10)</f>
        <v>0</v>
      </c>
      <c r="Q530" s="542"/>
      <c r="R530" s="445">
        <f>+ROUND(E530*Q530,10)</f>
        <v>0</v>
      </c>
      <c r="S530" s="542"/>
      <c r="T530" s="445">
        <f>+ROUND(E530*S530,10)</f>
        <v>0</v>
      </c>
      <c r="V530" s="581"/>
      <c r="W530" s="582">
        <f>ROUND(V530*$D530,10)</f>
        <v>0</v>
      </c>
      <c r="X530" s="581"/>
      <c r="Y530" s="582">
        <f>ROUND(X530*$D530,10)</f>
        <v>0</v>
      </c>
      <c r="Z530" s="581"/>
      <c r="AA530" s="582">
        <f>ROUND(Z530*$D530,10)</f>
        <v>0</v>
      </c>
      <c r="AB530" s="581"/>
      <c r="AC530" s="582">
        <f>ROUND(AB530*$D530,10)</f>
        <v>0</v>
      </c>
      <c r="AE530" s="769">
        <f t="shared" ref="AE530:AE593" si="391">SUM(AC530,AA530,Y530,W530)-SUM(T530,R530,P530,N530,L530)</f>
        <v>0</v>
      </c>
    </row>
    <row r="531" spans="1:31" ht="15" hidden="1" customHeight="1" x14ac:dyDescent="0.2">
      <c r="A531" s="572" t="s">
        <v>1491</v>
      </c>
      <c r="B531" s="573" t="s">
        <v>1492</v>
      </c>
      <c r="C531" s="611"/>
      <c r="D531" s="576"/>
      <c r="E531" s="577"/>
      <c r="F531" s="626" t="e">
        <f>+ROUND(SUM(F532:F536),10)</f>
        <v>#REF!</v>
      </c>
      <c r="G531" s="578"/>
      <c r="I531" s="613"/>
      <c r="J531" s="440" t="e">
        <f>ROUND(SUM(J532:J536),10)</f>
        <v>#REF!</v>
      </c>
      <c r="K531" s="537"/>
      <c r="L531" s="180" t="e">
        <f>ROUND(SUM(L532:L536),10)</f>
        <v>#REF!</v>
      </c>
      <c r="M531" s="542"/>
      <c r="N531" s="180" t="e">
        <f>ROUND(SUM(N532:N536),10)</f>
        <v>#REF!</v>
      </c>
      <c r="O531" s="542"/>
      <c r="P531" s="180" t="e">
        <f>ROUND(SUM(P532:P536),10)</f>
        <v>#REF!</v>
      </c>
      <c r="Q531" s="542"/>
      <c r="R531" s="180" t="e">
        <f>ROUND(SUM(R532:R536),10)</f>
        <v>#REF!</v>
      </c>
      <c r="S531" s="542"/>
      <c r="T531" s="180" t="e">
        <f>ROUND(SUM(T532:T536),10)</f>
        <v>#REF!</v>
      </c>
      <c r="V531" s="581"/>
      <c r="W531" s="570" t="e">
        <f>ROUND(SUM(W532:W536),10)</f>
        <v>#REF!</v>
      </c>
      <c r="X531" s="581"/>
      <c r="Y531" s="570">
        <f>ROUND(SUM(Y532:Y536),10)</f>
        <v>0</v>
      </c>
      <c r="Z531" s="581"/>
      <c r="AA531" s="570">
        <f>ROUND(SUM(AA532:AA536),10)</f>
        <v>0</v>
      </c>
      <c r="AB531" s="581"/>
      <c r="AC531" s="570">
        <f>ROUND(SUM(AC532:AC536),10)</f>
        <v>0</v>
      </c>
      <c r="AE531" s="769" t="e">
        <f t="shared" si="391"/>
        <v>#REF!</v>
      </c>
    </row>
    <row r="532" spans="1:31" ht="15" hidden="1" customHeight="1" x14ac:dyDescent="0.2">
      <c r="A532" s="611" t="s">
        <v>1493</v>
      </c>
      <c r="B532" s="601" t="s">
        <v>1494</v>
      </c>
      <c r="C532" s="611" t="s">
        <v>114</v>
      </c>
      <c r="D532" s="576">
        <f>+I532+K532+M532+O532+Q532+S532</f>
        <v>0</v>
      </c>
      <c r="E532" s="577">
        <f t="shared" si="368"/>
        <v>0</v>
      </c>
      <c r="F532" s="577">
        <f>ROUND(D532*E532,10)</f>
        <v>0</v>
      </c>
      <c r="G532" s="578"/>
      <c r="I532" s="594"/>
      <c r="J532" s="580">
        <f>+ROUND(E532*I532,10)</f>
        <v>0</v>
      </c>
      <c r="K532" s="537"/>
      <c r="L532" s="445">
        <f>+ROUND(E532*K532,10)</f>
        <v>0</v>
      </c>
      <c r="M532" s="542"/>
      <c r="N532" s="445">
        <f>+ROUND(E532*M532,10)</f>
        <v>0</v>
      </c>
      <c r="O532" s="542"/>
      <c r="P532" s="445">
        <f>+ROUND(E532*O532,10)</f>
        <v>0</v>
      </c>
      <c r="Q532" s="542"/>
      <c r="R532" s="445">
        <f>+ROUND(E532*Q532,10)</f>
        <v>0</v>
      </c>
      <c r="S532" s="542"/>
      <c r="T532" s="445">
        <f>+ROUND(E532*S532,10)</f>
        <v>0</v>
      </c>
      <c r="V532" s="581"/>
      <c r="W532" s="582">
        <f>ROUND(V532*$D532,10)</f>
        <v>0</v>
      </c>
      <c r="X532" s="581"/>
      <c r="Y532" s="582">
        <f>ROUND(X532*$D532,10)</f>
        <v>0</v>
      </c>
      <c r="Z532" s="581"/>
      <c r="AA532" s="582">
        <f>ROUND(Z532*$D532,10)</f>
        <v>0</v>
      </c>
      <c r="AB532" s="581"/>
      <c r="AC532" s="582">
        <f>ROUND(AB532*$D532,10)</f>
        <v>0</v>
      </c>
      <c r="AE532" s="769">
        <f t="shared" si="391"/>
        <v>0</v>
      </c>
    </row>
    <row r="533" spans="1:31" ht="15" hidden="1" customHeight="1" x14ac:dyDescent="0.2">
      <c r="A533" s="611" t="s">
        <v>1495</v>
      </c>
      <c r="B533" s="601" t="s">
        <v>1496</v>
      </c>
      <c r="C533" s="611" t="s">
        <v>114</v>
      </c>
      <c r="D533" s="576">
        <f>+I533+K533+M533+O533+Q533+S533</f>
        <v>0</v>
      </c>
      <c r="E533" s="577" t="e">
        <f t="shared" si="368"/>
        <v>#REF!</v>
      </c>
      <c r="F533" s="577" t="e">
        <f>ROUND(D533*E533,10)</f>
        <v>#REF!</v>
      </c>
      <c r="G533" s="578"/>
      <c r="I533" s="584"/>
      <c r="J533" s="585" t="e">
        <f>+ROUND(E533*I533,10)</f>
        <v>#REF!</v>
      </c>
      <c r="K533" s="537"/>
      <c r="L533" s="445" t="e">
        <f>+ROUND(E533*K533,10)</f>
        <v>#REF!</v>
      </c>
      <c r="M533" s="542"/>
      <c r="N533" s="445" t="e">
        <f>+ROUND(E533*M533,10)</f>
        <v>#REF!</v>
      </c>
      <c r="O533" s="542"/>
      <c r="P533" s="445" t="e">
        <f>+ROUND(E533*O533,10)</f>
        <v>#REF!</v>
      </c>
      <c r="Q533" s="542"/>
      <c r="R533" s="445" t="e">
        <f>+ROUND(E533*Q533,10)</f>
        <v>#REF!</v>
      </c>
      <c r="S533" s="542"/>
      <c r="T533" s="445" t="e">
        <f>+ROUND(E533*S533,10)</f>
        <v>#REF!</v>
      </c>
      <c r="V533" s="581" t="e">
        <f>+'10,4,2 Escalera en Granito'!I19</f>
        <v>#REF!</v>
      </c>
      <c r="W533" s="582" t="e">
        <f>ROUND(V533*$D533,10)</f>
        <v>#REF!</v>
      </c>
      <c r="X533" s="581">
        <f>+'10,4,2 Escalera en Granito'!I50</f>
        <v>20578.060000000001</v>
      </c>
      <c r="Y533" s="582">
        <f>ROUND(X533*$D533,10)</f>
        <v>0</v>
      </c>
      <c r="Z533" s="581">
        <f>+'10,4,2 Escalera en Granito'!I30</f>
        <v>371</v>
      </c>
      <c r="AA533" s="582">
        <f>ROUND(Z533*$D533,10)</f>
        <v>0</v>
      </c>
      <c r="AB533" s="581"/>
      <c r="AC533" s="582">
        <f>ROUND(AB533*$D533,10)</f>
        <v>0</v>
      </c>
      <c r="AE533" s="769" t="e">
        <f t="shared" si="391"/>
        <v>#REF!</v>
      </c>
    </row>
    <row r="534" spans="1:31" ht="15" hidden="1" customHeight="1" x14ac:dyDescent="0.2">
      <c r="A534" s="611" t="s">
        <v>1497</v>
      </c>
      <c r="B534" s="601" t="s">
        <v>1498</v>
      </c>
      <c r="C534" s="611" t="s">
        <v>114</v>
      </c>
      <c r="D534" s="576">
        <f>+I534+K534+M534+O534+Q534+S534</f>
        <v>0</v>
      </c>
      <c r="E534" s="577">
        <f t="shared" si="368"/>
        <v>0</v>
      </c>
      <c r="F534" s="577">
        <f>ROUND(D534*E534,10)</f>
        <v>0</v>
      </c>
      <c r="G534" s="578"/>
      <c r="I534" s="584"/>
      <c r="J534" s="585">
        <f>+ROUND(E534*I534,10)</f>
        <v>0</v>
      </c>
      <c r="K534" s="537"/>
      <c r="L534" s="445">
        <f>+ROUND(E534*K534,10)</f>
        <v>0</v>
      </c>
      <c r="M534" s="542"/>
      <c r="N534" s="445">
        <f>+ROUND(E534*M534,10)</f>
        <v>0</v>
      </c>
      <c r="O534" s="542"/>
      <c r="P534" s="445">
        <f>+ROUND(E534*O534,10)</f>
        <v>0</v>
      </c>
      <c r="Q534" s="542"/>
      <c r="R534" s="445">
        <f>+ROUND(E534*Q534,10)</f>
        <v>0</v>
      </c>
      <c r="S534" s="542"/>
      <c r="T534" s="445">
        <f>+ROUND(E534*S534,10)</f>
        <v>0</v>
      </c>
      <c r="V534" s="581"/>
      <c r="W534" s="582">
        <f>ROUND(V534*$D534,10)</f>
        <v>0</v>
      </c>
      <c r="X534" s="581"/>
      <c r="Y534" s="582">
        <f>ROUND(X534*$D534,10)</f>
        <v>0</v>
      </c>
      <c r="Z534" s="581"/>
      <c r="AA534" s="582">
        <f>ROUND(Z534*$D534,10)</f>
        <v>0</v>
      </c>
      <c r="AB534" s="581"/>
      <c r="AC534" s="582">
        <f>ROUND(AB534*$D534,10)</f>
        <v>0</v>
      </c>
      <c r="AE534" s="769">
        <f t="shared" si="391"/>
        <v>0</v>
      </c>
    </row>
    <row r="535" spans="1:31" ht="15.75" hidden="1" customHeight="1" x14ac:dyDescent="0.2">
      <c r="A535" s="611" t="s">
        <v>1499</v>
      </c>
      <c r="B535" s="601" t="s">
        <v>1500</v>
      </c>
      <c r="C535" s="611" t="s">
        <v>114</v>
      </c>
      <c r="D535" s="576">
        <f>+I535+K535+M535+O535+Q535+S535</f>
        <v>0</v>
      </c>
      <c r="E535" s="577">
        <f t="shared" si="368"/>
        <v>0</v>
      </c>
      <c r="F535" s="577">
        <f>ROUND(D535*E535,10)</f>
        <v>0</v>
      </c>
      <c r="G535" s="578"/>
      <c r="I535" s="584"/>
      <c r="J535" s="585">
        <f>+ROUND(E535*I535,10)</f>
        <v>0</v>
      </c>
      <c r="K535" s="537"/>
      <c r="L535" s="445">
        <f>+ROUND(E535*K535,10)</f>
        <v>0</v>
      </c>
      <c r="M535" s="542"/>
      <c r="N535" s="445">
        <f>+ROUND(E535*M535,10)</f>
        <v>0</v>
      </c>
      <c r="O535" s="542"/>
      <c r="P535" s="445">
        <f>+ROUND(E535*O535,10)</f>
        <v>0</v>
      </c>
      <c r="Q535" s="542"/>
      <c r="R535" s="445">
        <f>+ROUND(E535*Q535,10)</f>
        <v>0</v>
      </c>
      <c r="S535" s="542"/>
      <c r="T535" s="445">
        <f>+ROUND(E535*S535,10)</f>
        <v>0</v>
      </c>
      <c r="V535" s="581"/>
      <c r="W535" s="582">
        <f>ROUND(V535*$D535,10)</f>
        <v>0</v>
      </c>
      <c r="X535" s="581"/>
      <c r="Y535" s="582">
        <f>ROUND(X535*$D535,10)</f>
        <v>0</v>
      </c>
      <c r="Z535" s="581"/>
      <c r="AA535" s="582">
        <f>ROUND(Z535*$D535,10)</f>
        <v>0</v>
      </c>
      <c r="AB535" s="581"/>
      <c r="AC535" s="582">
        <f>ROUND(AB535*$D535,10)</f>
        <v>0</v>
      </c>
      <c r="AE535" s="769">
        <f t="shared" si="391"/>
        <v>0</v>
      </c>
    </row>
    <row r="536" spans="1:31" s="595" customFormat="1" ht="18" hidden="1" customHeight="1" x14ac:dyDescent="0.2">
      <c r="A536" s="611" t="s">
        <v>1501</v>
      </c>
      <c r="B536" s="601" t="s">
        <v>1502</v>
      </c>
      <c r="C536" s="611" t="s">
        <v>114</v>
      </c>
      <c r="D536" s="576">
        <f>+I536+K536+M536+O536+Q536+S536</f>
        <v>0</v>
      </c>
      <c r="E536" s="577">
        <f t="shared" si="368"/>
        <v>0</v>
      </c>
      <c r="F536" s="577">
        <f>ROUND(D536*E536,10)</f>
        <v>0</v>
      </c>
      <c r="G536" s="578"/>
      <c r="H536" s="552"/>
      <c r="I536" s="597"/>
      <c r="J536" s="598">
        <f>+ROUND(E536*I536,10)</f>
        <v>0</v>
      </c>
      <c r="K536" s="537"/>
      <c r="L536" s="445">
        <f>+ROUND(E536*K536,10)</f>
        <v>0</v>
      </c>
      <c r="M536" s="542"/>
      <c r="N536" s="445">
        <f>+ROUND(E536*M536,10)</f>
        <v>0</v>
      </c>
      <c r="O536" s="542"/>
      <c r="P536" s="445">
        <f>+ROUND(E536*O536,10)</f>
        <v>0</v>
      </c>
      <c r="Q536" s="542"/>
      <c r="R536" s="445">
        <f>+ROUND(E536*Q536,10)</f>
        <v>0</v>
      </c>
      <c r="S536" s="542"/>
      <c r="T536" s="445">
        <f>+ROUND(E536*S536,10)</f>
        <v>0</v>
      </c>
      <c r="U536" s="552"/>
      <c r="V536" s="581"/>
      <c r="W536" s="582">
        <f>ROUND(V536*$D536,10)</f>
        <v>0</v>
      </c>
      <c r="X536" s="581"/>
      <c r="Y536" s="582">
        <f>ROUND(X536*$D536,10)</f>
        <v>0</v>
      </c>
      <c r="Z536" s="581"/>
      <c r="AA536" s="582">
        <f>ROUND(Z536*$D536,10)</f>
        <v>0</v>
      </c>
      <c r="AB536" s="581"/>
      <c r="AC536" s="582">
        <f>ROUND(AB536*$D536,10)</f>
        <v>0</v>
      </c>
      <c r="AD536" s="912"/>
      <c r="AE536" s="769">
        <f t="shared" si="391"/>
        <v>0</v>
      </c>
    </row>
    <row r="537" spans="1:31" ht="15" customHeight="1" x14ac:dyDescent="0.2">
      <c r="A537" s="572" t="s">
        <v>1503</v>
      </c>
      <c r="B537" s="573" t="s">
        <v>1504</v>
      </c>
      <c r="C537" s="611"/>
      <c r="D537" s="576"/>
      <c r="E537" s="577"/>
      <c r="F537" s="626" t="e">
        <f>+ROUND(SUM(F538:F542),10)</f>
        <v>#REF!</v>
      </c>
      <c r="G537" s="578"/>
      <c r="I537" s="613"/>
      <c r="J537" s="440" t="e">
        <f>ROUND(SUM(J538:J542),10)</f>
        <v>#REF!</v>
      </c>
      <c r="K537" s="537"/>
      <c r="L537" s="180" t="e">
        <f>ROUND(SUM(L538:L542),10)</f>
        <v>#REF!</v>
      </c>
      <c r="M537" s="542"/>
      <c r="N537" s="180" t="e">
        <f>ROUND(SUM(N538:N542),10)</f>
        <v>#REF!</v>
      </c>
      <c r="O537" s="542"/>
      <c r="P537" s="180" t="e">
        <f>ROUND(SUM(P538:P542),10)</f>
        <v>#REF!</v>
      </c>
      <c r="Q537" s="542"/>
      <c r="R537" s="180" t="e">
        <f>ROUND(SUM(R538:R542),10)</f>
        <v>#REF!</v>
      </c>
      <c r="S537" s="542"/>
      <c r="T537" s="180" t="e">
        <f>ROUND(SUM(T538:T542),10)</f>
        <v>#REF!</v>
      </c>
      <c r="V537" s="581"/>
      <c r="W537" s="570" t="e">
        <f>ROUND(SUM(W538:W542),10)</f>
        <v>#REF!</v>
      </c>
      <c r="X537" s="581"/>
      <c r="Y537" s="570" t="e">
        <f>ROUND(SUM(Y538:Y542),10)</f>
        <v>#REF!</v>
      </c>
      <c r="Z537" s="581"/>
      <c r="AA537" s="570" t="e">
        <f>ROUND(SUM(AA538:AA542),10)</f>
        <v>#REF!</v>
      </c>
      <c r="AB537" s="581"/>
      <c r="AC537" s="570" t="e">
        <f>ROUND(SUM(AC538:AC542),10)</f>
        <v>#REF!</v>
      </c>
      <c r="AE537" s="769" t="e">
        <f t="shared" si="391"/>
        <v>#REF!</v>
      </c>
    </row>
    <row r="538" spans="1:31" ht="15" hidden="1" customHeight="1" x14ac:dyDescent="0.2">
      <c r="A538" s="611" t="s">
        <v>1505</v>
      </c>
      <c r="B538" s="601" t="s">
        <v>1506</v>
      </c>
      <c r="C538" s="611" t="s">
        <v>114</v>
      </c>
      <c r="D538" s="576">
        <f>+I538+K538+M538+O538+Q538+S538</f>
        <v>0</v>
      </c>
      <c r="E538" s="577">
        <f t="shared" si="368"/>
        <v>0</v>
      </c>
      <c r="F538" s="577">
        <f>ROUND(D538*E538,10)</f>
        <v>0</v>
      </c>
      <c r="G538" s="578"/>
      <c r="I538" s="594"/>
      <c r="J538" s="580">
        <f>+ROUND(E538*I538,10)</f>
        <v>0</v>
      </c>
      <c r="K538" s="537"/>
      <c r="L538" s="445">
        <f>+ROUND(E538*K538,10)</f>
        <v>0</v>
      </c>
      <c r="M538" s="542"/>
      <c r="N538" s="445">
        <f>+ROUND(E538*M538,10)</f>
        <v>0</v>
      </c>
      <c r="O538" s="542"/>
      <c r="P538" s="445">
        <f>+ROUND(E538*O538,10)</f>
        <v>0</v>
      </c>
      <c r="Q538" s="542"/>
      <c r="R538" s="445">
        <f>+ROUND(E538*Q538,10)</f>
        <v>0</v>
      </c>
      <c r="S538" s="542"/>
      <c r="T538" s="445">
        <f>+ROUND(E538*S538,10)</f>
        <v>0</v>
      </c>
      <c r="V538" s="581"/>
      <c r="W538" s="582">
        <f>ROUND(V538*$D538,10)</f>
        <v>0</v>
      </c>
      <c r="X538" s="581"/>
      <c r="Y538" s="582">
        <f>ROUND(X538*$D538,10)</f>
        <v>0</v>
      </c>
      <c r="Z538" s="581"/>
      <c r="AA538" s="582">
        <f>ROUND(Z538*$D538,10)</f>
        <v>0</v>
      </c>
      <c r="AB538" s="581"/>
      <c r="AC538" s="582">
        <f>ROUND(AB538*$D538,10)</f>
        <v>0</v>
      </c>
      <c r="AE538" s="769">
        <f t="shared" si="391"/>
        <v>0</v>
      </c>
    </row>
    <row r="539" spans="1:31" ht="15" hidden="1" customHeight="1" x14ac:dyDescent="0.2">
      <c r="A539" s="611" t="s">
        <v>1507</v>
      </c>
      <c r="B539" s="601" t="s">
        <v>1508</v>
      </c>
      <c r="C539" s="611" t="s">
        <v>114</v>
      </c>
      <c r="D539" s="576">
        <f>+I539+K539+M539+O539+Q539+S539</f>
        <v>0</v>
      </c>
      <c r="E539" s="577">
        <f t="shared" si="368"/>
        <v>0</v>
      </c>
      <c r="F539" s="577">
        <f>ROUND(D539*E539,10)</f>
        <v>0</v>
      </c>
      <c r="G539" s="578"/>
      <c r="I539" s="584"/>
      <c r="J539" s="585">
        <f>+ROUND(E539*I539,10)</f>
        <v>0</v>
      </c>
      <c r="K539" s="537"/>
      <c r="L539" s="445">
        <f>+ROUND(E539*K539,10)</f>
        <v>0</v>
      </c>
      <c r="M539" s="542"/>
      <c r="N539" s="445">
        <f>+ROUND(E539*M539,10)</f>
        <v>0</v>
      </c>
      <c r="O539" s="542"/>
      <c r="P539" s="445">
        <f>+ROUND(E539*O539,10)</f>
        <v>0</v>
      </c>
      <c r="Q539" s="542"/>
      <c r="R539" s="445">
        <f>+ROUND(E539*Q539,10)</f>
        <v>0</v>
      </c>
      <c r="S539" s="542"/>
      <c r="T539" s="445">
        <f>+ROUND(E539*S539,10)</f>
        <v>0</v>
      </c>
      <c r="V539" s="581"/>
      <c r="W539" s="582">
        <f>ROUND(V539*$D539,10)</f>
        <v>0</v>
      </c>
      <c r="X539" s="581"/>
      <c r="Y539" s="582">
        <f>ROUND(X539*$D539,10)</f>
        <v>0</v>
      </c>
      <c r="Z539" s="581"/>
      <c r="AA539" s="582">
        <f>ROUND(Z539*$D539,10)</f>
        <v>0</v>
      </c>
      <c r="AB539" s="581"/>
      <c r="AC539" s="582">
        <f>ROUND(AB539*$D539,10)</f>
        <v>0</v>
      </c>
      <c r="AE539" s="769">
        <f t="shared" si="391"/>
        <v>0</v>
      </c>
    </row>
    <row r="540" spans="1:31" ht="15" customHeight="1" x14ac:dyDescent="0.2">
      <c r="A540" s="611" t="s">
        <v>1509</v>
      </c>
      <c r="B540" s="601" t="s">
        <v>1510</v>
      </c>
      <c r="C540" s="611" t="s">
        <v>114</v>
      </c>
      <c r="D540" s="576">
        <f>+I540+K540+M540+O540+Q540+S540</f>
        <v>26</v>
      </c>
      <c r="E540" s="577" t="e">
        <f t="shared" si="368"/>
        <v>#REF!</v>
      </c>
      <c r="F540" s="577" t="e">
        <f>ROUND(D540*E540,10)</f>
        <v>#REF!</v>
      </c>
      <c r="G540" s="578"/>
      <c r="I540" s="584"/>
      <c r="J540" s="585" t="e">
        <f>+ROUND(E540*I540,10)</f>
        <v>#REF!</v>
      </c>
      <c r="K540" s="537">
        <v>18</v>
      </c>
      <c r="L540" s="445" t="e">
        <f>+ROUND(E540*K540,10)</f>
        <v>#REF!</v>
      </c>
      <c r="M540" s="542">
        <v>2</v>
      </c>
      <c r="N540" s="445" t="e">
        <f>+ROUND(E540*M540,10)</f>
        <v>#REF!</v>
      </c>
      <c r="O540" s="542">
        <v>6</v>
      </c>
      <c r="P540" s="445" t="e">
        <f>+ROUND(E540*O540,10)</f>
        <v>#REF!</v>
      </c>
      <c r="Q540" s="542"/>
      <c r="R540" s="445" t="e">
        <f>+ROUND(E540*Q540,10)</f>
        <v>#REF!</v>
      </c>
      <c r="S540" s="542"/>
      <c r="T540" s="445" t="e">
        <f>+ROUND(E540*S540,10)</f>
        <v>#REF!</v>
      </c>
      <c r="V540" s="581" t="e">
        <f>+#REF!</f>
        <v>#REF!</v>
      </c>
      <c r="W540" s="582" t="e">
        <f>ROUND(V540*$D540,10)</f>
        <v>#REF!</v>
      </c>
      <c r="X540" s="581" t="e">
        <f>+#REF!</f>
        <v>#REF!</v>
      </c>
      <c r="Y540" s="582" t="e">
        <f>ROUND(X540*$D540,10)</f>
        <v>#REF!</v>
      </c>
      <c r="Z540" s="581" t="e">
        <f>+#REF!</f>
        <v>#REF!</v>
      </c>
      <c r="AA540" s="582" t="e">
        <f>ROUND(Z540*$D540,10)</f>
        <v>#REF!</v>
      </c>
      <c r="AB540" s="581" t="e">
        <f>+#REF!</f>
        <v>#REF!</v>
      </c>
      <c r="AC540" s="582" t="e">
        <f>ROUND(AB540*$D540,10)</f>
        <v>#REF!</v>
      </c>
      <c r="AE540" s="769" t="e">
        <f t="shared" si="391"/>
        <v>#REF!</v>
      </c>
    </row>
    <row r="541" spans="1:31" ht="15.75" hidden="1" customHeight="1" x14ac:dyDescent="0.2">
      <c r="A541" s="611" t="s">
        <v>1511</v>
      </c>
      <c r="B541" s="601" t="s">
        <v>1512</v>
      </c>
      <c r="C541" s="611" t="s">
        <v>114</v>
      </c>
      <c r="D541" s="576">
        <f>+I541+K541+M541+O541+Q541+S541</f>
        <v>0</v>
      </c>
      <c r="E541" s="577">
        <f t="shared" si="368"/>
        <v>0</v>
      </c>
      <c r="F541" s="577">
        <f>ROUND(D541*E541,10)</f>
        <v>0</v>
      </c>
      <c r="G541" s="578"/>
      <c r="I541" s="584"/>
      <c r="J541" s="585">
        <f>+ROUND(E541*I541,10)</f>
        <v>0</v>
      </c>
      <c r="K541" s="537"/>
      <c r="L541" s="445">
        <f>+ROUND(E541*K541,10)</f>
        <v>0</v>
      </c>
      <c r="M541" s="542"/>
      <c r="N541" s="445">
        <f>+ROUND(E541*M541,10)</f>
        <v>0</v>
      </c>
      <c r="O541" s="542"/>
      <c r="P541" s="445">
        <f>+ROUND(E541*O541,10)</f>
        <v>0</v>
      </c>
      <c r="Q541" s="542"/>
      <c r="R541" s="445">
        <f>+ROUND(E541*Q541,10)</f>
        <v>0</v>
      </c>
      <c r="S541" s="542"/>
      <c r="T541" s="445">
        <f>+ROUND(E541*S541,10)</f>
        <v>0</v>
      </c>
      <c r="V541" s="581"/>
      <c r="W541" s="582">
        <f>ROUND(V541*$D541,10)</f>
        <v>0</v>
      </c>
      <c r="X541" s="581"/>
      <c r="Y541" s="582">
        <f>ROUND(X541*$D541,10)</f>
        <v>0</v>
      </c>
      <c r="Z541" s="581"/>
      <c r="AA541" s="582">
        <f>ROUND(Z541*$D541,10)</f>
        <v>0</v>
      </c>
      <c r="AB541" s="581"/>
      <c r="AC541" s="582">
        <f>ROUND(AB541*$D541,10)</f>
        <v>0</v>
      </c>
      <c r="AE541" s="769">
        <f t="shared" si="391"/>
        <v>0</v>
      </c>
    </row>
    <row r="542" spans="1:31" s="595" customFormat="1" ht="18" hidden="1" customHeight="1" thickBot="1" x14ac:dyDescent="0.25">
      <c r="A542" s="611" t="s">
        <v>1513</v>
      </c>
      <c r="B542" s="601" t="s">
        <v>1514</v>
      </c>
      <c r="C542" s="611" t="s">
        <v>114</v>
      </c>
      <c r="D542" s="576">
        <f>+I542+K542+M542+O542+Q542+S542</f>
        <v>0</v>
      </c>
      <c r="E542" s="577">
        <f t="shared" si="368"/>
        <v>0</v>
      </c>
      <c r="F542" s="577">
        <f>ROUND(D542*E542,10)</f>
        <v>0</v>
      </c>
      <c r="G542" s="578"/>
      <c r="H542" s="552"/>
      <c r="I542" s="602"/>
      <c r="J542" s="603">
        <f>+ROUND(E542*I542,10)</f>
        <v>0</v>
      </c>
      <c r="K542" s="537"/>
      <c r="L542" s="445">
        <f>+ROUND(E542*K542,10)</f>
        <v>0</v>
      </c>
      <c r="M542" s="542"/>
      <c r="N542" s="445">
        <f>+ROUND(E542*M542,10)</f>
        <v>0</v>
      </c>
      <c r="O542" s="542"/>
      <c r="P542" s="445">
        <f>+ROUND(E542*O542,10)</f>
        <v>0</v>
      </c>
      <c r="Q542" s="542"/>
      <c r="R542" s="445">
        <f>+ROUND(E542*Q542,10)</f>
        <v>0</v>
      </c>
      <c r="S542" s="542"/>
      <c r="T542" s="445">
        <f>+ROUND(E542*S542,10)</f>
        <v>0</v>
      </c>
      <c r="U542" s="552"/>
      <c r="V542" s="581"/>
      <c r="W542" s="582">
        <f>ROUND(V542*$D542,10)</f>
        <v>0</v>
      </c>
      <c r="X542" s="581"/>
      <c r="Y542" s="582">
        <f>ROUND(X542*$D542,10)</f>
        <v>0</v>
      </c>
      <c r="Z542" s="581"/>
      <c r="AA542" s="582">
        <f>ROUND(Z542*$D542,10)</f>
        <v>0</v>
      </c>
      <c r="AB542" s="581"/>
      <c r="AC542" s="582">
        <f>ROUND(AB542*$D542,10)</f>
        <v>0</v>
      </c>
      <c r="AD542" s="912"/>
      <c r="AE542" s="769">
        <f t="shared" si="391"/>
        <v>0</v>
      </c>
    </row>
    <row r="543" spans="1:31" s="595" customFormat="1" ht="18" hidden="1" customHeight="1" thickTop="1" x14ac:dyDescent="0.2">
      <c r="A543" s="611"/>
      <c r="B543" s="601"/>
      <c r="C543" s="611"/>
      <c r="D543" s="576"/>
      <c r="E543" s="577"/>
      <c r="F543" s="577"/>
      <c r="G543" s="578"/>
      <c r="H543" s="552"/>
      <c r="I543" s="604"/>
      <c r="J543" s="635"/>
      <c r="K543" s="537"/>
      <c r="L543" s="445"/>
      <c r="M543" s="542"/>
      <c r="N543" s="445"/>
      <c r="O543" s="542"/>
      <c r="P543" s="445"/>
      <c r="Q543" s="542"/>
      <c r="R543" s="445"/>
      <c r="S543" s="542"/>
      <c r="T543" s="445"/>
      <c r="U543" s="552"/>
      <c r="V543" s="581"/>
      <c r="W543" s="582"/>
      <c r="X543" s="581"/>
      <c r="Y543" s="582"/>
      <c r="Z543" s="581"/>
      <c r="AA543" s="582"/>
      <c r="AB543" s="581"/>
      <c r="AC543" s="582"/>
      <c r="AD543" s="912"/>
      <c r="AE543" s="769">
        <f t="shared" si="391"/>
        <v>0</v>
      </c>
    </row>
    <row r="544" spans="1:31" s="666" customFormat="1" ht="6.75" customHeight="1" thickBot="1" x14ac:dyDescent="0.25">
      <c r="A544" s="919"/>
      <c r="B544" s="920"/>
      <c r="C544" s="919"/>
      <c r="D544" s="655"/>
      <c r="E544" s="656"/>
      <c r="F544" s="656"/>
      <c r="G544" s="656"/>
      <c r="H544" s="657"/>
      <c r="I544" s="658"/>
      <c r="J544" s="658"/>
      <c r="K544" s="659"/>
      <c r="L544" s="658"/>
      <c r="M544" s="174"/>
      <c r="N544" s="658"/>
      <c r="O544" s="174"/>
      <c r="P544" s="658"/>
      <c r="Q544" s="721"/>
      <c r="R544" s="658"/>
      <c r="S544" s="174"/>
      <c r="T544" s="658"/>
      <c r="U544" s="657"/>
      <c r="V544" s="667"/>
      <c r="W544" s="667"/>
      <c r="X544" s="667"/>
      <c r="Y544" s="667"/>
      <c r="Z544" s="667"/>
      <c r="AA544" s="667"/>
      <c r="AB544" s="667"/>
      <c r="AC544" s="667"/>
      <c r="AD544" s="921"/>
      <c r="AE544" s="769"/>
    </row>
    <row r="545" spans="1:31" ht="30" customHeight="1" thickTop="1" thickBot="1" x14ac:dyDescent="0.25">
      <c r="A545" s="564">
        <v>11</v>
      </c>
      <c r="B545" s="1045" t="s">
        <v>1515</v>
      </c>
      <c r="C545" s="1045"/>
      <c r="D545" s="1045"/>
      <c r="E545" s="1045"/>
      <c r="F545" s="1045"/>
      <c r="G545" s="180" t="e">
        <f>ROUND(F546+F554+F559+F566+F570+F572,10)</f>
        <v>#REF!</v>
      </c>
      <c r="H545" s="568"/>
      <c r="I545" s="616"/>
      <c r="J545" s="439" t="e">
        <f>+ROUND(J546++J554+J559+J566+J570+J572,10)</f>
        <v>#REF!</v>
      </c>
      <c r="K545" s="617"/>
      <c r="L545" s="180" t="e">
        <f>+ROUND(L546++L554+L559+L566+L570+L572,10)</f>
        <v>#REF!</v>
      </c>
      <c r="M545" s="180"/>
      <c r="N545" s="180" t="e">
        <f>+ROUND(N546++N554+N559+N566+N570+N572,10)</f>
        <v>#REF!</v>
      </c>
      <c r="O545" s="180"/>
      <c r="P545" s="180" t="e">
        <f>+ROUND(P546++P554+P559+P566+P570+P572,10)</f>
        <v>#REF!</v>
      </c>
      <c r="Q545" s="180"/>
      <c r="R545" s="180" t="e">
        <f>+ROUND(R546++R554+R559+R566+R570+R572,10)</f>
        <v>#REF!</v>
      </c>
      <c r="S545" s="180"/>
      <c r="T545" s="180" t="e">
        <f>+ROUND(T546++T554+T559+T566+T570+T572,10)</f>
        <v>#REF!</v>
      </c>
      <c r="U545" s="568"/>
      <c r="V545" s="569" t="e">
        <f>W545/$G$545</f>
        <v>#REF!</v>
      </c>
      <c r="W545" s="570" t="e">
        <f>ROUND(W546+W553+W559+W566+W570+W572,10)</f>
        <v>#REF!</v>
      </c>
      <c r="X545" s="569" t="e">
        <f>Y545/$G$545</f>
        <v>#REF!</v>
      </c>
      <c r="Y545" s="570" t="e">
        <f>ROUND(Y546+Y553+Y559+Y566+Y570+Y572,10)</f>
        <v>#REF!</v>
      </c>
      <c r="Z545" s="569" t="e">
        <f>AA545/$G$545</f>
        <v>#REF!</v>
      </c>
      <c r="AA545" s="570" t="e">
        <f>ROUND(AA546+AA553+AA559+AA566+AA570+AA572,10)</f>
        <v>#REF!</v>
      </c>
      <c r="AB545" s="569" t="e">
        <f>AC545/$G$545</f>
        <v>#REF!</v>
      </c>
      <c r="AC545" s="570" t="e">
        <f>ROUND(AC546+AC553+AC559+AC566+AC570+AC572,10)</f>
        <v>#REF!</v>
      </c>
      <c r="AE545" s="769" t="e">
        <f t="shared" si="391"/>
        <v>#REF!</v>
      </c>
    </row>
    <row r="546" spans="1:31" ht="30" customHeight="1" thickTop="1" x14ac:dyDescent="0.2">
      <c r="A546" s="572" t="s">
        <v>1516</v>
      </c>
      <c r="B546" s="573" t="s">
        <v>1517</v>
      </c>
      <c r="C546" s="846"/>
      <c r="D546" s="576"/>
      <c r="E546" s="180"/>
      <c r="F546" s="180" t="e">
        <f>+ROUND(SUM(F547:F552),10)</f>
        <v>#REF!</v>
      </c>
      <c r="G546" s="473"/>
      <c r="H546" s="568"/>
      <c r="I546" s="618"/>
      <c r="J546" s="439" t="e">
        <f>ROUND(SUM(J547:J552),10)</f>
        <v>#REF!</v>
      </c>
      <c r="K546" s="539"/>
      <c r="L546" s="180" t="e">
        <f>ROUND(SUM(L547:L552),10)</f>
        <v>#REF!</v>
      </c>
      <c r="M546" s="473"/>
      <c r="N546" s="180" t="e">
        <f>ROUND(SUM(N547:N552),10)</f>
        <v>#REF!</v>
      </c>
      <c r="O546" s="473"/>
      <c r="P546" s="180" t="e">
        <f>ROUND(SUM(P547:P552),10)</f>
        <v>#REF!</v>
      </c>
      <c r="Q546" s="473"/>
      <c r="R546" s="180" t="e">
        <f>ROUND(SUM(R547:R552),10)</f>
        <v>#REF!</v>
      </c>
      <c r="S546" s="473"/>
      <c r="T546" s="180" t="e">
        <f>ROUND(SUM(T547:T552),10)</f>
        <v>#REF!</v>
      </c>
      <c r="U546" s="568"/>
      <c r="V546" s="575"/>
      <c r="W546" s="570" t="e">
        <f>ROUND(SUM(W547:W552),10)</f>
        <v>#REF!</v>
      </c>
      <c r="X546" s="575"/>
      <c r="Y546" s="570" t="e">
        <f>ROUND(SUM(Y547:Y552),10)</f>
        <v>#REF!</v>
      </c>
      <c r="Z546" s="575"/>
      <c r="AA546" s="570" t="e">
        <f>ROUND(SUM(AA547:AA552),10)</f>
        <v>#REF!</v>
      </c>
      <c r="AB546" s="575"/>
      <c r="AC546" s="570" t="e">
        <f>ROUND(SUM(AC547:AC552),10)</f>
        <v>#REF!</v>
      </c>
      <c r="AE546" s="769" t="e">
        <f t="shared" si="391"/>
        <v>#REF!</v>
      </c>
    </row>
    <row r="547" spans="1:31" ht="15" customHeight="1" x14ac:dyDescent="0.2">
      <c r="A547" s="611" t="s">
        <v>1518</v>
      </c>
      <c r="B547" s="601" t="s">
        <v>1519</v>
      </c>
      <c r="C547" s="611" t="s">
        <v>130</v>
      </c>
      <c r="D547" s="576">
        <f t="shared" ref="D547:D552" si="392">+I547+K547+M547+O547+Q547+S547</f>
        <v>33.44</v>
      </c>
      <c r="E547" s="577" t="e">
        <f t="shared" ref="E547:E577" si="393">V547+X547+Z547+AB547</f>
        <v>#REF!</v>
      </c>
      <c r="F547" s="577" t="e">
        <f t="shared" ref="F547:F552" si="394">ROUND(D547*E547,10)</f>
        <v>#REF!</v>
      </c>
      <c r="G547" s="578"/>
      <c r="I547" s="594"/>
      <c r="J547" s="580" t="e">
        <f t="shared" ref="J547:J552" si="395">+ROUND(E547*I547,10)</f>
        <v>#REF!</v>
      </c>
      <c r="K547" s="538"/>
      <c r="L547" s="445" t="e">
        <f t="shared" ref="L547:L552" si="396">+ROUND(E547*K547,10)</f>
        <v>#REF!</v>
      </c>
      <c r="M547" s="542"/>
      <c r="N547" s="445" t="e">
        <f t="shared" ref="N547:N552" si="397">+ROUND(E547*M547,10)</f>
        <v>#REF!</v>
      </c>
      <c r="O547" s="542">
        <v>33.44</v>
      </c>
      <c r="P547" s="445" t="e">
        <f t="shared" ref="P547:P552" si="398">+ROUND(E547*O547,10)</f>
        <v>#REF!</v>
      </c>
      <c r="Q547" s="542"/>
      <c r="R547" s="445" t="e">
        <f t="shared" ref="R547:R552" si="399">+ROUND(E547*Q547,10)</f>
        <v>#REF!</v>
      </c>
      <c r="S547" s="542"/>
      <c r="T547" s="445" t="e">
        <f t="shared" ref="T547:T552" si="400">+ROUND(E547*S547,10)</f>
        <v>#REF!</v>
      </c>
      <c r="V547" s="581" t="e">
        <f>+#REF!</f>
        <v>#REF!</v>
      </c>
      <c r="W547" s="582" t="e">
        <f t="shared" ref="W547:W552" si="401">ROUND(V547*$D547,10)</f>
        <v>#REF!</v>
      </c>
      <c r="X547" s="581" t="e">
        <f>+#REF!</f>
        <v>#REF!</v>
      </c>
      <c r="Y547" s="582" t="e">
        <f t="shared" ref="Y547:Y552" si="402">ROUND(X547*$D547,10)</f>
        <v>#REF!</v>
      </c>
      <c r="Z547" s="581" t="e">
        <f>+#REF!</f>
        <v>#REF!</v>
      </c>
      <c r="AA547" s="582" t="e">
        <f t="shared" ref="AA547:AA552" si="403">ROUND(Z547*$D547,10)</f>
        <v>#REF!</v>
      </c>
      <c r="AB547" s="581" t="e">
        <f>+#REF!</f>
        <v>#REF!</v>
      </c>
      <c r="AC547" s="582" t="e">
        <f t="shared" ref="AC547:AC552" si="404">ROUND(AB547*$D547,10)</f>
        <v>#REF!</v>
      </c>
      <c r="AE547" s="769" t="e">
        <f t="shared" si="391"/>
        <v>#REF!</v>
      </c>
    </row>
    <row r="548" spans="1:31" ht="15" customHeight="1" x14ac:dyDescent="0.2">
      <c r="A548" s="611" t="s">
        <v>1520</v>
      </c>
      <c r="B548" s="601" t="s">
        <v>1521</v>
      </c>
      <c r="C548" s="611" t="s">
        <v>114</v>
      </c>
      <c r="D548" s="576">
        <f t="shared" si="392"/>
        <v>24.4</v>
      </c>
      <c r="E548" s="577" t="e">
        <f t="shared" si="393"/>
        <v>#REF!</v>
      </c>
      <c r="F548" s="577" t="e">
        <f t="shared" si="394"/>
        <v>#REF!</v>
      </c>
      <c r="G548" s="578"/>
      <c r="I548" s="584"/>
      <c r="J548" s="585" t="e">
        <f t="shared" si="395"/>
        <v>#REF!</v>
      </c>
      <c r="K548" s="537"/>
      <c r="L548" s="445" t="e">
        <f t="shared" si="396"/>
        <v>#REF!</v>
      </c>
      <c r="M548" s="542"/>
      <c r="N548" s="445" t="e">
        <f t="shared" si="397"/>
        <v>#REF!</v>
      </c>
      <c r="O548" s="542">
        <v>24.4</v>
      </c>
      <c r="P548" s="445" t="e">
        <f t="shared" si="398"/>
        <v>#REF!</v>
      </c>
      <c r="Q548" s="542"/>
      <c r="R548" s="445" t="e">
        <f t="shared" si="399"/>
        <v>#REF!</v>
      </c>
      <c r="S548" s="542"/>
      <c r="T548" s="445" t="e">
        <f t="shared" si="400"/>
        <v>#REF!</v>
      </c>
      <c r="V548" s="581" t="e">
        <f>+#REF!</f>
        <v>#REF!</v>
      </c>
      <c r="W548" s="582" t="e">
        <f t="shared" si="401"/>
        <v>#REF!</v>
      </c>
      <c r="X548" s="581" t="e">
        <f>+#REF!</f>
        <v>#REF!</v>
      </c>
      <c r="Y548" s="582" t="e">
        <f t="shared" si="402"/>
        <v>#REF!</v>
      </c>
      <c r="Z548" s="581" t="e">
        <f>+#REF!</f>
        <v>#REF!</v>
      </c>
      <c r="AA548" s="582" t="e">
        <f t="shared" si="403"/>
        <v>#REF!</v>
      </c>
      <c r="AB548" s="581" t="e">
        <f>+#REF!</f>
        <v>#REF!</v>
      </c>
      <c r="AC548" s="582" t="e">
        <f t="shared" si="404"/>
        <v>#REF!</v>
      </c>
      <c r="AE548" s="769" t="e">
        <f t="shared" si="391"/>
        <v>#REF!</v>
      </c>
    </row>
    <row r="549" spans="1:31" ht="25.5" x14ac:dyDescent="0.2">
      <c r="A549" s="611" t="s">
        <v>1522</v>
      </c>
      <c r="B549" s="649" t="s">
        <v>1523</v>
      </c>
      <c r="C549" s="611" t="s">
        <v>130</v>
      </c>
      <c r="D549" s="576">
        <f t="shared" si="392"/>
        <v>73.489999999999995</v>
      </c>
      <c r="E549" s="577" t="e">
        <f t="shared" si="393"/>
        <v>#REF!</v>
      </c>
      <c r="F549" s="577" t="e">
        <f t="shared" si="394"/>
        <v>#REF!</v>
      </c>
      <c r="G549" s="578"/>
      <c r="H549" s="675"/>
      <c r="I549" s="584"/>
      <c r="J549" s="585" t="e">
        <f t="shared" si="395"/>
        <v>#REF!</v>
      </c>
      <c r="K549" s="537">
        <v>48.8</v>
      </c>
      <c r="L549" s="445" t="e">
        <f t="shared" si="396"/>
        <v>#REF!</v>
      </c>
      <c r="M549" s="542">
        <v>12.64</v>
      </c>
      <c r="N549" s="445" t="e">
        <f t="shared" si="397"/>
        <v>#REF!</v>
      </c>
      <c r="O549" s="542">
        <v>12.05</v>
      </c>
      <c r="P549" s="445" t="e">
        <f t="shared" si="398"/>
        <v>#REF!</v>
      </c>
      <c r="Q549" s="542"/>
      <c r="R549" s="445" t="e">
        <f t="shared" si="399"/>
        <v>#REF!</v>
      </c>
      <c r="S549" s="542"/>
      <c r="T549" s="445" t="e">
        <f t="shared" si="400"/>
        <v>#REF!</v>
      </c>
      <c r="V549" s="581" t="e">
        <f>+#REF!</f>
        <v>#REF!</v>
      </c>
      <c r="W549" s="582" t="e">
        <f t="shared" si="401"/>
        <v>#REF!</v>
      </c>
      <c r="X549" s="581" t="e">
        <f>+#REF!</f>
        <v>#REF!</v>
      </c>
      <c r="Y549" s="582" t="e">
        <f t="shared" si="402"/>
        <v>#REF!</v>
      </c>
      <c r="Z549" s="581" t="e">
        <f>+#REF!</f>
        <v>#REF!</v>
      </c>
      <c r="AA549" s="582" t="e">
        <f t="shared" si="403"/>
        <v>#REF!</v>
      </c>
      <c r="AB549" s="581" t="e">
        <f>+#REF!</f>
        <v>#REF!</v>
      </c>
      <c r="AC549" s="582" t="e">
        <f t="shared" si="404"/>
        <v>#REF!</v>
      </c>
      <c r="AE549" s="769" t="e">
        <f t="shared" si="391"/>
        <v>#REF!</v>
      </c>
    </row>
    <row r="550" spans="1:31" ht="15" customHeight="1" x14ac:dyDescent="0.2">
      <c r="A550" s="611" t="s">
        <v>1524</v>
      </c>
      <c r="B550" s="601" t="s">
        <v>1525</v>
      </c>
      <c r="C550" s="611" t="s">
        <v>130</v>
      </c>
      <c r="D550" s="576">
        <f t="shared" si="392"/>
        <v>106.92999999999999</v>
      </c>
      <c r="E550" s="577" t="e">
        <f t="shared" si="393"/>
        <v>#REF!</v>
      </c>
      <c r="F550" s="577" t="e">
        <f t="shared" si="394"/>
        <v>#REF!</v>
      </c>
      <c r="G550" s="578"/>
      <c r="I550" s="584"/>
      <c r="J550" s="585" t="e">
        <f t="shared" si="395"/>
        <v>#REF!</v>
      </c>
      <c r="K550" s="537">
        <v>48.8</v>
      </c>
      <c r="L550" s="445" t="e">
        <f t="shared" si="396"/>
        <v>#REF!</v>
      </c>
      <c r="M550" s="542">
        <v>12.64</v>
      </c>
      <c r="N550" s="445" t="e">
        <f t="shared" si="397"/>
        <v>#REF!</v>
      </c>
      <c r="O550" s="542">
        <f>33.44+12.05</f>
        <v>45.489999999999995</v>
      </c>
      <c r="P550" s="445" t="e">
        <f t="shared" si="398"/>
        <v>#REF!</v>
      </c>
      <c r="Q550" s="542"/>
      <c r="R550" s="445" t="e">
        <f t="shared" si="399"/>
        <v>#REF!</v>
      </c>
      <c r="S550" s="542"/>
      <c r="T550" s="445" t="e">
        <f t="shared" si="400"/>
        <v>#REF!</v>
      </c>
      <c r="V550" s="581" t="e">
        <f>+#REF!</f>
        <v>#REF!</v>
      </c>
      <c r="W550" s="582" t="e">
        <f t="shared" si="401"/>
        <v>#REF!</v>
      </c>
      <c r="X550" s="581" t="e">
        <f>+#REF!</f>
        <v>#REF!</v>
      </c>
      <c r="Y550" s="582" t="e">
        <f t="shared" si="402"/>
        <v>#REF!</v>
      </c>
      <c r="Z550" s="581" t="e">
        <f>+#REF!</f>
        <v>#REF!</v>
      </c>
      <c r="AA550" s="582" t="e">
        <f t="shared" si="403"/>
        <v>#REF!</v>
      </c>
      <c r="AB550" s="581"/>
      <c r="AC550" s="582">
        <f t="shared" si="404"/>
        <v>0</v>
      </c>
      <c r="AE550" s="769" t="e">
        <f t="shared" si="391"/>
        <v>#REF!</v>
      </c>
    </row>
    <row r="551" spans="1:31" ht="15" hidden="1" customHeight="1" x14ac:dyDescent="0.2">
      <c r="A551" s="611" t="s">
        <v>1526</v>
      </c>
      <c r="B551" s="601" t="s">
        <v>1527</v>
      </c>
      <c r="C551" s="611" t="s">
        <v>130</v>
      </c>
      <c r="D551" s="576">
        <f t="shared" si="392"/>
        <v>0</v>
      </c>
      <c r="E551" s="577">
        <f t="shared" si="393"/>
        <v>0</v>
      </c>
      <c r="F551" s="577">
        <f t="shared" si="394"/>
        <v>0</v>
      </c>
      <c r="G551" s="578"/>
      <c r="I551" s="584"/>
      <c r="J551" s="585">
        <f t="shared" si="395"/>
        <v>0</v>
      </c>
      <c r="K551" s="537"/>
      <c r="L551" s="445">
        <f t="shared" si="396"/>
        <v>0</v>
      </c>
      <c r="M551" s="542"/>
      <c r="N551" s="445">
        <f t="shared" si="397"/>
        <v>0</v>
      </c>
      <c r="O551" s="542"/>
      <c r="P551" s="445">
        <f t="shared" si="398"/>
        <v>0</v>
      </c>
      <c r="Q551" s="542"/>
      <c r="R551" s="445">
        <f t="shared" si="399"/>
        <v>0</v>
      </c>
      <c r="S551" s="542"/>
      <c r="T551" s="445">
        <f t="shared" si="400"/>
        <v>0</v>
      </c>
      <c r="V551" s="581"/>
      <c r="W551" s="582">
        <f t="shared" si="401"/>
        <v>0</v>
      </c>
      <c r="X551" s="581"/>
      <c r="Y551" s="582">
        <f t="shared" si="402"/>
        <v>0</v>
      </c>
      <c r="Z551" s="581"/>
      <c r="AA551" s="582">
        <f t="shared" si="403"/>
        <v>0</v>
      </c>
      <c r="AB551" s="581"/>
      <c r="AC551" s="582">
        <f t="shared" si="404"/>
        <v>0</v>
      </c>
      <c r="AE551" s="769">
        <f t="shared" si="391"/>
        <v>0</v>
      </c>
    </row>
    <row r="552" spans="1:31" ht="15" hidden="1" customHeight="1" x14ac:dyDescent="0.2">
      <c r="A552" s="611" t="s">
        <v>1528</v>
      </c>
      <c r="B552" s="601" t="s">
        <v>1529</v>
      </c>
      <c r="C552" s="611" t="s">
        <v>130</v>
      </c>
      <c r="D552" s="576">
        <f t="shared" si="392"/>
        <v>0</v>
      </c>
      <c r="E552" s="577">
        <f t="shared" si="393"/>
        <v>0</v>
      </c>
      <c r="F552" s="577">
        <f t="shared" si="394"/>
        <v>0</v>
      </c>
      <c r="G552" s="578"/>
      <c r="I552" s="597"/>
      <c r="J552" s="598">
        <f t="shared" si="395"/>
        <v>0</v>
      </c>
      <c r="K552" s="537"/>
      <c r="L552" s="445">
        <f t="shared" si="396"/>
        <v>0</v>
      </c>
      <c r="M552" s="542"/>
      <c r="N552" s="445">
        <f t="shared" si="397"/>
        <v>0</v>
      </c>
      <c r="O552" s="542"/>
      <c r="P552" s="445">
        <f t="shared" si="398"/>
        <v>0</v>
      </c>
      <c r="Q552" s="542"/>
      <c r="R552" s="445">
        <f t="shared" si="399"/>
        <v>0</v>
      </c>
      <c r="S552" s="542"/>
      <c r="T552" s="445">
        <f t="shared" si="400"/>
        <v>0</v>
      </c>
      <c r="V552" s="581"/>
      <c r="W552" s="582">
        <f t="shared" si="401"/>
        <v>0</v>
      </c>
      <c r="X552" s="581"/>
      <c r="Y552" s="582">
        <f t="shared" si="402"/>
        <v>0</v>
      </c>
      <c r="Z552" s="581"/>
      <c r="AA552" s="582">
        <f t="shared" si="403"/>
        <v>0</v>
      </c>
      <c r="AB552" s="581"/>
      <c r="AC552" s="582">
        <f t="shared" si="404"/>
        <v>0</v>
      </c>
      <c r="AE552" s="769">
        <f t="shared" si="391"/>
        <v>0</v>
      </c>
    </row>
    <row r="553" spans="1:31" ht="15.75" x14ac:dyDescent="0.2">
      <c r="A553" s="572" t="s">
        <v>1530</v>
      </c>
      <c r="B553" s="573" t="s">
        <v>1531</v>
      </c>
      <c r="C553" s="846"/>
      <c r="D553" s="576"/>
      <c r="E553" s="577"/>
      <c r="F553" s="180"/>
      <c r="G553" s="473"/>
      <c r="H553" s="568"/>
      <c r="I553" s="613"/>
      <c r="J553" s="652"/>
      <c r="K553" s="537"/>
      <c r="L553" s="445"/>
      <c r="M553" s="542"/>
      <c r="N553" s="445"/>
      <c r="O553" s="542"/>
      <c r="P553" s="445"/>
      <c r="Q553" s="542"/>
      <c r="R553" s="445"/>
      <c r="S553" s="542"/>
      <c r="T553" s="445"/>
      <c r="U553" s="568"/>
      <c r="V553" s="575"/>
      <c r="W553" s="570">
        <f>ROUND(SUM(W554:W558),10)</f>
        <v>0</v>
      </c>
      <c r="X553" s="575"/>
      <c r="Y553" s="570">
        <f>ROUND(SUM(Y554:Y558),10)</f>
        <v>0</v>
      </c>
      <c r="Z553" s="575"/>
      <c r="AA553" s="570">
        <f>ROUND(SUM(AA554:AA558),10)</f>
        <v>0</v>
      </c>
      <c r="AB553" s="575"/>
      <c r="AC553" s="570">
        <f>ROUND(SUM(AC554:AC558),10)</f>
        <v>0</v>
      </c>
      <c r="AE553" s="769">
        <f t="shared" si="391"/>
        <v>0</v>
      </c>
    </row>
    <row r="554" spans="1:31" s="595" customFormat="1" ht="18" hidden="1" customHeight="1" x14ac:dyDescent="0.2">
      <c r="A554" s="572" t="s">
        <v>1532</v>
      </c>
      <c r="B554" s="573" t="s">
        <v>1533</v>
      </c>
      <c r="C554" s="846"/>
      <c r="D554" s="576"/>
      <c r="E554" s="577"/>
      <c r="F554" s="180">
        <f>+ROUND(SUM(F555:F558),10)</f>
        <v>0</v>
      </c>
      <c r="G554" s="473"/>
      <c r="H554" s="568"/>
      <c r="I554" s="633"/>
      <c r="J554" s="441">
        <f>ROUND(SUM(J555:J558),10)</f>
        <v>0</v>
      </c>
      <c r="K554" s="537"/>
      <c r="L554" s="180">
        <f>ROUND(SUM(L555:L558),10)</f>
        <v>0</v>
      </c>
      <c r="M554" s="542"/>
      <c r="N554" s="180">
        <f>ROUND(SUM(N555:N558),10)</f>
        <v>0</v>
      </c>
      <c r="O554" s="542"/>
      <c r="P554" s="180">
        <f>ROUND(SUM(P555:P558),10)</f>
        <v>0</v>
      </c>
      <c r="Q554" s="542"/>
      <c r="R554" s="180">
        <f>ROUND(SUM(R555:R558),10)</f>
        <v>0</v>
      </c>
      <c r="S554" s="542"/>
      <c r="T554" s="180">
        <f>ROUND(SUM(T555:T558),10)</f>
        <v>0</v>
      </c>
      <c r="U554" s="568"/>
      <c r="V554" s="575"/>
      <c r="W554" s="582">
        <f>ROUND(V554*$D554,10)</f>
        <v>0</v>
      </c>
      <c r="X554" s="575"/>
      <c r="Y554" s="582">
        <f>ROUND(X554*$D554,10)</f>
        <v>0</v>
      </c>
      <c r="Z554" s="575"/>
      <c r="AA554" s="582">
        <f>ROUND(Z554*$D554,10)</f>
        <v>0</v>
      </c>
      <c r="AB554" s="575"/>
      <c r="AC554" s="582">
        <f>ROUND(AB554*$D554,10)</f>
        <v>0</v>
      </c>
      <c r="AD554" s="912"/>
      <c r="AE554" s="769">
        <f t="shared" si="391"/>
        <v>0</v>
      </c>
    </row>
    <row r="555" spans="1:31" s="595" customFormat="1" ht="15" hidden="1" customHeight="1" x14ac:dyDescent="0.2">
      <c r="A555" s="611" t="s">
        <v>1534</v>
      </c>
      <c r="B555" s="601" t="s">
        <v>1535</v>
      </c>
      <c r="C555" s="611" t="s">
        <v>130</v>
      </c>
      <c r="D555" s="576">
        <f>+I555+K555+M555+O555+Q555+S555</f>
        <v>0</v>
      </c>
      <c r="E555" s="577">
        <f t="shared" si="393"/>
        <v>0</v>
      </c>
      <c r="F555" s="577">
        <f>ROUND(D555*E555,10)</f>
        <v>0</v>
      </c>
      <c r="G555" s="578"/>
      <c r="H555" s="552"/>
      <c r="I555" s="594"/>
      <c r="J555" s="580">
        <f>+ROUND(E555*I555,10)</f>
        <v>0</v>
      </c>
      <c r="K555" s="537"/>
      <c r="L555" s="445">
        <f>+ROUND(E555*K555,10)</f>
        <v>0</v>
      </c>
      <c r="M555" s="542"/>
      <c r="N555" s="445">
        <f>+ROUND(E555*M555,10)</f>
        <v>0</v>
      </c>
      <c r="O555" s="542"/>
      <c r="P555" s="445">
        <f>+ROUND(E555*O555,10)</f>
        <v>0</v>
      </c>
      <c r="Q555" s="542"/>
      <c r="R555" s="445">
        <f>+ROUND(E555*Q555,10)</f>
        <v>0</v>
      </c>
      <c r="S555" s="542"/>
      <c r="T555" s="445">
        <f>+ROUND(E555*S555,10)</f>
        <v>0</v>
      </c>
      <c r="U555" s="552"/>
      <c r="V555" s="581"/>
      <c r="W555" s="582">
        <f>ROUND(V555*$D555,10)</f>
        <v>0</v>
      </c>
      <c r="X555" s="581"/>
      <c r="Y555" s="582">
        <f>ROUND(X555*$D555,10)</f>
        <v>0</v>
      </c>
      <c r="Z555" s="581"/>
      <c r="AA555" s="582">
        <f>ROUND(Z555*$D555,10)</f>
        <v>0</v>
      </c>
      <c r="AB555" s="581"/>
      <c r="AC555" s="582">
        <f>ROUND(AB555*$D555,10)</f>
        <v>0</v>
      </c>
      <c r="AD555" s="912"/>
      <c r="AE555" s="769">
        <f t="shared" si="391"/>
        <v>0</v>
      </c>
    </row>
    <row r="556" spans="1:31" s="595" customFormat="1" ht="15" hidden="1" customHeight="1" x14ac:dyDescent="0.2">
      <c r="A556" s="611" t="s">
        <v>1536</v>
      </c>
      <c r="B556" s="601" t="s">
        <v>1537</v>
      </c>
      <c r="C556" s="611" t="s">
        <v>130</v>
      </c>
      <c r="D556" s="576">
        <f>+I556+K556+M556+O556+Q556+S556</f>
        <v>0</v>
      </c>
      <c r="E556" s="577">
        <f t="shared" si="393"/>
        <v>0</v>
      </c>
      <c r="F556" s="577">
        <f>ROUND(D556*E556,10)</f>
        <v>0</v>
      </c>
      <c r="G556" s="578"/>
      <c r="H556" s="552"/>
      <c r="I556" s="584"/>
      <c r="J556" s="585">
        <f>+ROUND(E556*I556,10)</f>
        <v>0</v>
      </c>
      <c r="K556" s="537"/>
      <c r="L556" s="445">
        <f>+ROUND(E556*K556,10)</f>
        <v>0</v>
      </c>
      <c r="M556" s="542"/>
      <c r="N556" s="445">
        <f>+ROUND(E556*M556,10)</f>
        <v>0</v>
      </c>
      <c r="O556" s="542"/>
      <c r="P556" s="445">
        <f>+ROUND(E556*O556,10)</f>
        <v>0</v>
      </c>
      <c r="Q556" s="542"/>
      <c r="R556" s="445">
        <f>+ROUND(E556*Q556,10)</f>
        <v>0</v>
      </c>
      <c r="S556" s="542"/>
      <c r="T556" s="445">
        <f>+ROUND(E556*S556,10)</f>
        <v>0</v>
      </c>
      <c r="U556" s="552"/>
      <c r="V556" s="581"/>
      <c r="W556" s="582">
        <f>ROUND(V556*$D556,10)</f>
        <v>0</v>
      </c>
      <c r="X556" s="581"/>
      <c r="Y556" s="582">
        <f>ROUND(X556*$D556,10)</f>
        <v>0</v>
      </c>
      <c r="Z556" s="581"/>
      <c r="AA556" s="582">
        <f>ROUND(Z556*$D556,10)</f>
        <v>0</v>
      </c>
      <c r="AB556" s="581"/>
      <c r="AC556" s="582">
        <f>ROUND(AB556*$D556,10)</f>
        <v>0</v>
      </c>
      <c r="AD556" s="912"/>
      <c r="AE556" s="769">
        <f t="shared" si="391"/>
        <v>0</v>
      </c>
    </row>
    <row r="557" spans="1:31" s="595" customFormat="1" ht="15" hidden="1" customHeight="1" x14ac:dyDescent="0.2">
      <c r="A557" s="611" t="s">
        <v>1538</v>
      </c>
      <c r="B557" s="601" t="s">
        <v>1539</v>
      </c>
      <c r="C557" s="611" t="s">
        <v>130</v>
      </c>
      <c r="D557" s="576">
        <f>+I557+K557+M557+O557+Q557+S557</f>
        <v>0</v>
      </c>
      <c r="E557" s="577">
        <f t="shared" si="393"/>
        <v>0</v>
      </c>
      <c r="F557" s="577">
        <f>ROUND(D557*E557,10)</f>
        <v>0</v>
      </c>
      <c r="G557" s="578"/>
      <c r="H557" s="552"/>
      <c r="I557" s="584"/>
      <c r="J557" s="585">
        <f>+ROUND(E557*I557,10)</f>
        <v>0</v>
      </c>
      <c r="K557" s="537"/>
      <c r="L557" s="445">
        <f>+ROUND(E557*K557,10)</f>
        <v>0</v>
      </c>
      <c r="M557" s="542"/>
      <c r="N557" s="445">
        <f>+ROUND(E557*M557,10)</f>
        <v>0</v>
      </c>
      <c r="O557" s="542"/>
      <c r="P557" s="445">
        <f>+ROUND(E557*O557,10)</f>
        <v>0</v>
      </c>
      <c r="Q557" s="542"/>
      <c r="R557" s="445">
        <f>+ROUND(E557*Q557,10)</f>
        <v>0</v>
      </c>
      <c r="S557" s="542"/>
      <c r="T557" s="445">
        <f>+ROUND(E557*S557,10)</f>
        <v>0</v>
      </c>
      <c r="U557" s="552"/>
      <c r="V557" s="581"/>
      <c r="W557" s="582">
        <f>ROUND(V557*$D557,10)</f>
        <v>0</v>
      </c>
      <c r="X557" s="581"/>
      <c r="Y557" s="582">
        <f>ROUND(X557*$D557,10)</f>
        <v>0</v>
      </c>
      <c r="Z557" s="581"/>
      <c r="AA557" s="582">
        <f>ROUND(Z557*$D557,10)</f>
        <v>0</v>
      </c>
      <c r="AB557" s="581"/>
      <c r="AC557" s="582">
        <f>ROUND(AB557*$D557,10)</f>
        <v>0</v>
      </c>
      <c r="AD557" s="912"/>
      <c r="AE557" s="769">
        <f t="shared" si="391"/>
        <v>0</v>
      </c>
    </row>
    <row r="558" spans="1:31" s="595" customFormat="1" ht="15" hidden="1" customHeight="1" x14ac:dyDescent="0.2">
      <c r="A558" s="611" t="s">
        <v>1540</v>
      </c>
      <c r="B558" s="601" t="s">
        <v>1541</v>
      </c>
      <c r="C558" s="611"/>
      <c r="D558" s="576">
        <f>+I558+K558+M558+O558+Q558+S558</f>
        <v>0</v>
      </c>
      <c r="E558" s="577">
        <f t="shared" si="393"/>
        <v>0</v>
      </c>
      <c r="F558" s="577">
        <f>ROUND(D558*E558,10)</f>
        <v>0</v>
      </c>
      <c r="G558" s="578"/>
      <c r="H558" s="552"/>
      <c r="I558" s="597"/>
      <c r="J558" s="598">
        <f>+ROUND(E558*I558,10)</f>
        <v>0</v>
      </c>
      <c r="K558" s="537"/>
      <c r="L558" s="445">
        <f>+ROUND(E558*K558,10)</f>
        <v>0</v>
      </c>
      <c r="M558" s="542"/>
      <c r="N558" s="445">
        <f>+ROUND(E558*M558,10)</f>
        <v>0</v>
      </c>
      <c r="O558" s="542"/>
      <c r="P558" s="445">
        <f>+ROUND(E558*O558,10)</f>
        <v>0</v>
      </c>
      <c r="Q558" s="542"/>
      <c r="R558" s="445">
        <f>+ROUND(E558*Q558,10)</f>
        <v>0</v>
      </c>
      <c r="S558" s="542"/>
      <c r="T558" s="445">
        <f>+ROUND(E558*S558,10)</f>
        <v>0</v>
      </c>
      <c r="U558" s="552"/>
      <c r="V558" s="581"/>
      <c r="W558" s="582">
        <f>ROUND(V558*$D558,10)</f>
        <v>0</v>
      </c>
      <c r="X558" s="581"/>
      <c r="Y558" s="582">
        <f>ROUND(X558*$D558,10)</f>
        <v>0</v>
      </c>
      <c r="Z558" s="581"/>
      <c r="AA558" s="582">
        <f>ROUND(Z558*$D558,10)</f>
        <v>0</v>
      </c>
      <c r="AB558" s="581"/>
      <c r="AC558" s="582">
        <f>ROUND(AB558*$D558,10)</f>
        <v>0</v>
      </c>
      <c r="AD558" s="912"/>
      <c r="AE558" s="769">
        <f t="shared" si="391"/>
        <v>0</v>
      </c>
    </row>
    <row r="559" spans="1:31" s="596" customFormat="1" ht="15" customHeight="1" x14ac:dyDescent="0.2">
      <c r="A559" s="572" t="s">
        <v>1542</v>
      </c>
      <c r="B559" s="573" t="s">
        <v>1543</v>
      </c>
      <c r="C559" s="792"/>
      <c r="D559" s="576"/>
      <c r="E559" s="577"/>
      <c r="F559" s="180" t="e">
        <f>+ROUND(SUM(F560:F565),10)</f>
        <v>#REF!</v>
      </c>
      <c r="G559" s="474"/>
      <c r="H559" s="912"/>
      <c r="I559" s="613"/>
      <c r="J559" s="440" t="e">
        <f>ROUND(SUM(J560:J565),10)</f>
        <v>#REF!</v>
      </c>
      <c r="K559" s="537"/>
      <c r="L559" s="180" t="e">
        <f>ROUND(SUM(L560:L565),10)</f>
        <v>#REF!</v>
      </c>
      <c r="M559" s="542"/>
      <c r="N559" s="180" t="e">
        <f>ROUND(SUM(N560:N565),10)</f>
        <v>#REF!</v>
      </c>
      <c r="O559" s="542"/>
      <c r="P559" s="180" t="e">
        <f>ROUND(SUM(P560:P565),10)</f>
        <v>#REF!</v>
      </c>
      <c r="Q559" s="542"/>
      <c r="R559" s="180" t="e">
        <f>ROUND(SUM(R560:R565),10)</f>
        <v>#REF!</v>
      </c>
      <c r="S559" s="542"/>
      <c r="T559" s="180" t="e">
        <f>ROUND(SUM(T560:T565),10)</f>
        <v>#REF!</v>
      </c>
      <c r="U559" s="912"/>
      <c r="V559" s="581"/>
      <c r="W559" s="570" t="e">
        <f>ROUND(SUM(W560:W565),10)</f>
        <v>#REF!</v>
      </c>
      <c r="X559" s="581"/>
      <c r="Y559" s="570" t="e">
        <f>ROUND(SUM(Y560:Y565),10)</f>
        <v>#REF!</v>
      </c>
      <c r="Z559" s="581"/>
      <c r="AA559" s="570" t="e">
        <f>ROUND(SUM(AA560:AA565),10)</f>
        <v>#REF!</v>
      </c>
      <c r="AB559" s="581"/>
      <c r="AC559" s="570">
        <f>ROUND(SUM(AC560:AC565),10)</f>
        <v>0</v>
      </c>
      <c r="AD559" s="913"/>
      <c r="AE559" s="769" t="e">
        <f t="shared" si="391"/>
        <v>#REF!</v>
      </c>
    </row>
    <row r="560" spans="1:31" ht="25.5" hidden="1" customHeight="1" x14ac:dyDescent="0.2">
      <c r="A560" s="611" t="s">
        <v>1544</v>
      </c>
      <c r="B560" s="601" t="s">
        <v>1545</v>
      </c>
      <c r="C560" s="611" t="s">
        <v>114</v>
      </c>
      <c r="D560" s="576">
        <f t="shared" ref="D560:D565" si="405">+I560+K560+M560+O560+Q560+S560</f>
        <v>0</v>
      </c>
      <c r="E560" s="577" t="e">
        <f t="shared" si="393"/>
        <v>#REF!</v>
      </c>
      <c r="F560" s="577" t="e">
        <f t="shared" ref="F560:F565" si="406">ROUND(D560*E560,10)</f>
        <v>#REF!</v>
      </c>
      <c r="G560" s="578"/>
      <c r="I560" s="594"/>
      <c r="J560" s="580" t="e">
        <f t="shared" ref="J560:J565" si="407">+ROUND(E560*I560,10)</f>
        <v>#REF!</v>
      </c>
      <c r="K560" s="537"/>
      <c r="L560" s="445" t="e">
        <f t="shared" ref="L560:L565" si="408">+ROUND(E560*K560,10)</f>
        <v>#REF!</v>
      </c>
      <c r="M560" s="542"/>
      <c r="N560" s="445" t="e">
        <f t="shared" ref="N560:N565" si="409">+ROUND(E560*M560,10)</f>
        <v>#REF!</v>
      </c>
      <c r="O560" s="542"/>
      <c r="P560" s="445" t="e">
        <f t="shared" ref="P560:P565" si="410">+ROUND(E560*O560,10)</f>
        <v>#REF!</v>
      </c>
      <c r="Q560" s="542"/>
      <c r="R560" s="445" t="e">
        <f t="shared" ref="R560:R565" si="411">+ROUND(E560*Q560,10)</f>
        <v>#REF!</v>
      </c>
      <c r="S560" s="542"/>
      <c r="T560" s="445" t="e">
        <f t="shared" ref="T560:T565" si="412">+ROUND(E560*S560,10)</f>
        <v>#REF!</v>
      </c>
      <c r="V560" s="581" t="e">
        <f>+#REF!</f>
        <v>#REF!</v>
      </c>
      <c r="W560" s="582" t="e">
        <f t="shared" ref="W560:W565" si="413">ROUND(V560*$D560,10)</f>
        <v>#REF!</v>
      </c>
      <c r="X560" s="581" t="e">
        <f>+#REF!</f>
        <v>#REF!</v>
      </c>
      <c r="Y560" s="582" t="e">
        <f t="shared" ref="Y560:Y565" si="414">ROUND(X560*$D560,10)</f>
        <v>#REF!</v>
      </c>
      <c r="Z560" s="581" t="e">
        <f>+#REF!</f>
        <v>#REF!</v>
      </c>
      <c r="AA560" s="582" t="e">
        <f t="shared" ref="AA560:AA565" si="415">ROUND(Z560*$D560,10)</f>
        <v>#REF!</v>
      </c>
      <c r="AB560" s="581"/>
      <c r="AC560" s="582">
        <f t="shared" ref="AC560:AC565" si="416">ROUND(AB560*$D560,10)</f>
        <v>0</v>
      </c>
      <c r="AE560" s="769" t="e">
        <f t="shared" si="391"/>
        <v>#REF!</v>
      </c>
    </row>
    <row r="561" spans="1:31" ht="25.5" x14ac:dyDescent="0.2">
      <c r="A561" s="611" t="s">
        <v>1546</v>
      </c>
      <c r="B561" s="601" t="s">
        <v>1547</v>
      </c>
      <c r="C561" s="611" t="s">
        <v>114</v>
      </c>
      <c r="D561" s="576">
        <f t="shared" si="405"/>
        <v>42.85</v>
      </c>
      <c r="E561" s="577" t="e">
        <f t="shared" si="393"/>
        <v>#REF!</v>
      </c>
      <c r="F561" s="577" t="e">
        <f t="shared" si="406"/>
        <v>#REF!</v>
      </c>
      <c r="G561" s="578"/>
      <c r="I561" s="584"/>
      <c r="J561" s="585" t="e">
        <f t="shared" si="407"/>
        <v>#REF!</v>
      </c>
      <c r="K561" s="537">
        <v>18.5</v>
      </c>
      <c r="L561" s="445" t="e">
        <f t="shared" si="408"/>
        <v>#REF!</v>
      </c>
      <c r="M561" s="542">
        <v>5.7</v>
      </c>
      <c r="N561" s="445" t="e">
        <f t="shared" si="409"/>
        <v>#REF!</v>
      </c>
      <c r="O561" s="542">
        <v>9.25</v>
      </c>
      <c r="P561" s="445" t="e">
        <f t="shared" si="410"/>
        <v>#REF!</v>
      </c>
      <c r="Q561" s="542">
        <v>9.4</v>
      </c>
      <c r="R561" s="445" t="e">
        <f t="shared" si="411"/>
        <v>#REF!</v>
      </c>
      <c r="S561" s="542"/>
      <c r="T561" s="445" t="e">
        <f t="shared" si="412"/>
        <v>#REF!</v>
      </c>
      <c r="V561" s="581" t="e">
        <f>+#REF!</f>
        <v>#REF!</v>
      </c>
      <c r="W561" s="582" t="e">
        <f t="shared" si="413"/>
        <v>#REF!</v>
      </c>
      <c r="X561" s="581" t="e">
        <f>+#REF!</f>
        <v>#REF!</v>
      </c>
      <c r="Y561" s="582" t="e">
        <f t="shared" si="414"/>
        <v>#REF!</v>
      </c>
      <c r="Z561" s="581" t="e">
        <f>+#REF!</f>
        <v>#REF!</v>
      </c>
      <c r="AA561" s="582" t="e">
        <f t="shared" si="415"/>
        <v>#REF!</v>
      </c>
      <c r="AB561" s="581"/>
      <c r="AC561" s="582">
        <f t="shared" si="416"/>
        <v>0</v>
      </c>
      <c r="AE561" s="769" t="e">
        <f t="shared" si="391"/>
        <v>#REF!</v>
      </c>
    </row>
    <row r="562" spans="1:31" ht="15" hidden="1" customHeight="1" x14ac:dyDescent="0.2">
      <c r="A562" s="611" t="s">
        <v>1548</v>
      </c>
      <c r="B562" s="601" t="s">
        <v>1549</v>
      </c>
      <c r="C562" s="611" t="s">
        <v>114</v>
      </c>
      <c r="D562" s="576">
        <f t="shared" si="405"/>
        <v>0</v>
      </c>
      <c r="E562" s="577">
        <f t="shared" si="393"/>
        <v>0</v>
      </c>
      <c r="F562" s="577">
        <f t="shared" si="406"/>
        <v>0</v>
      </c>
      <c r="G562" s="578"/>
      <c r="I562" s="584"/>
      <c r="J562" s="585">
        <f t="shared" si="407"/>
        <v>0</v>
      </c>
      <c r="K562" s="537"/>
      <c r="L562" s="445">
        <f t="shared" si="408"/>
        <v>0</v>
      </c>
      <c r="M562" s="542"/>
      <c r="N562" s="445">
        <f t="shared" si="409"/>
        <v>0</v>
      </c>
      <c r="O562" s="542"/>
      <c r="P562" s="445">
        <f t="shared" si="410"/>
        <v>0</v>
      </c>
      <c r="Q562" s="542"/>
      <c r="R562" s="445">
        <f t="shared" si="411"/>
        <v>0</v>
      </c>
      <c r="S562" s="542"/>
      <c r="T562" s="445">
        <f t="shared" si="412"/>
        <v>0</v>
      </c>
      <c r="V562" s="581"/>
      <c r="W562" s="582">
        <f t="shared" si="413"/>
        <v>0</v>
      </c>
      <c r="X562" s="581"/>
      <c r="Y562" s="582">
        <f t="shared" si="414"/>
        <v>0</v>
      </c>
      <c r="Z562" s="581"/>
      <c r="AA562" s="582">
        <f t="shared" si="415"/>
        <v>0</v>
      </c>
      <c r="AB562" s="581"/>
      <c r="AC562" s="582">
        <f t="shared" si="416"/>
        <v>0</v>
      </c>
      <c r="AE562" s="769">
        <f t="shared" si="391"/>
        <v>0</v>
      </c>
    </row>
    <row r="563" spans="1:31" ht="15" hidden="1" customHeight="1" x14ac:dyDescent="0.2">
      <c r="A563" s="611" t="s">
        <v>1550</v>
      </c>
      <c r="B563" s="601" t="s">
        <v>1551</v>
      </c>
      <c r="C563" s="611" t="s">
        <v>114</v>
      </c>
      <c r="D563" s="576">
        <f t="shared" si="405"/>
        <v>0</v>
      </c>
      <c r="E563" s="577">
        <f t="shared" si="393"/>
        <v>0</v>
      </c>
      <c r="F563" s="577">
        <f t="shared" si="406"/>
        <v>0</v>
      </c>
      <c r="G563" s="578"/>
      <c r="I563" s="584"/>
      <c r="J563" s="585">
        <f t="shared" si="407"/>
        <v>0</v>
      </c>
      <c r="K563" s="537"/>
      <c r="L563" s="445">
        <f t="shared" si="408"/>
        <v>0</v>
      </c>
      <c r="M563" s="542"/>
      <c r="N563" s="445">
        <f t="shared" si="409"/>
        <v>0</v>
      </c>
      <c r="O563" s="542"/>
      <c r="P563" s="445">
        <f t="shared" si="410"/>
        <v>0</v>
      </c>
      <c r="Q563" s="542"/>
      <c r="R563" s="445">
        <f t="shared" si="411"/>
        <v>0</v>
      </c>
      <c r="S563" s="542"/>
      <c r="T563" s="445">
        <f t="shared" si="412"/>
        <v>0</v>
      </c>
      <c r="V563" s="581"/>
      <c r="W563" s="582">
        <f t="shared" si="413"/>
        <v>0</v>
      </c>
      <c r="X563" s="581"/>
      <c r="Y563" s="582">
        <f t="shared" si="414"/>
        <v>0</v>
      </c>
      <c r="Z563" s="581"/>
      <c r="AA563" s="582">
        <f t="shared" si="415"/>
        <v>0</v>
      </c>
      <c r="AB563" s="581"/>
      <c r="AC563" s="582">
        <f t="shared" si="416"/>
        <v>0</v>
      </c>
      <c r="AE563" s="769">
        <f t="shared" si="391"/>
        <v>0</v>
      </c>
    </row>
    <row r="564" spans="1:31" ht="15" hidden="1" customHeight="1" x14ac:dyDescent="0.2">
      <c r="A564" s="611" t="s">
        <v>1552</v>
      </c>
      <c r="B564" s="601" t="s">
        <v>1553</v>
      </c>
      <c r="C564" s="611" t="s">
        <v>114</v>
      </c>
      <c r="D564" s="576">
        <f t="shared" si="405"/>
        <v>0</v>
      </c>
      <c r="E564" s="577">
        <f t="shared" si="393"/>
        <v>0</v>
      </c>
      <c r="F564" s="577">
        <f t="shared" si="406"/>
        <v>0</v>
      </c>
      <c r="G564" s="578"/>
      <c r="I564" s="584"/>
      <c r="J564" s="585">
        <f t="shared" si="407"/>
        <v>0</v>
      </c>
      <c r="K564" s="537"/>
      <c r="L564" s="445">
        <f t="shared" si="408"/>
        <v>0</v>
      </c>
      <c r="M564" s="542"/>
      <c r="N564" s="445">
        <f t="shared" si="409"/>
        <v>0</v>
      </c>
      <c r="O564" s="542"/>
      <c r="P564" s="445">
        <f t="shared" si="410"/>
        <v>0</v>
      </c>
      <c r="Q564" s="542"/>
      <c r="R564" s="445">
        <f t="shared" si="411"/>
        <v>0</v>
      </c>
      <c r="S564" s="542"/>
      <c r="T564" s="445">
        <f t="shared" si="412"/>
        <v>0</v>
      </c>
      <c r="V564" s="581"/>
      <c r="W564" s="582">
        <f t="shared" si="413"/>
        <v>0</v>
      </c>
      <c r="X564" s="581"/>
      <c r="Y564" s="582">
        <f t="shared" si="414"/>
        <v>0</v>
      </c>
      <c r="Z564" s="581"/>
      <c r="AA564" s="582">
        <f t="shared" si="415"/>
        <v>0</v>
      </c>
      <c r="AB564" s="581"/>
      <c r="AC564" s="582">
        <f t="shared" si="416"/>
        <v>0</v>
      </c>
      <c r="AE564" s="769">
        <f t="shared" si="391"/>
        <v>0</v>
      </c>
    </row>
    <row r="565" spans="1:31" ht="15" hidden="1" customHeight="1" x14ac:dyDescent="0.2">
      <c r="A565" s="611" t="s">
        <v>1554</v>
      </c>
      <c r="B565" s="601" t="s">
        <v>1555</v>
      </c>
      <c r="C565" s="611"/>
      <c r="D565" s="576">
        <f t="shared" si="405"/>
        <v>0</v>
      </c>
      <c r="E565" s="577">
        <f t="shared" si="393"/>
        <v>0</v>
      </c>
      <c r="F565" s="577">
        <f t="shared" si="406"/>
        <v>0</v>
      </c>
      <c r="G565" s="578"/>
      <c r="I565" s="597"/>
      <c r="J565" s="598">
        <f t="shared" si="407"/>
        <v>0</v>
      </c>
      <c r="K565" s="537"/>
      <c r="L565" s="445">
        <f t="shared" si="408"/>
        <v>0</v>
      </c>
      <c r="M565" s="542"/>
      <c r="N565" s="445">
        <f t="shared" si="409"/>
        <v>0</v>
      </c>
      <c r="O565" s="542"/>
      <c r="P565" s="445">
        <f t="shared" si="410"/>
        <v>0</v>
      </c>
      <c r="Q565" s="542"/>
      <c r="R565" s="445">
        <f t="shared" si="411"/>
        <v>0</v>
      </c>
      <c r="S565" s="542"/>
      <c r="T565" s="445">
        <f t="shared" si="412"/>
        <v>0</v>
      </c>
      <c r="V565" s="581"/>
      <c r="W565" s="582">
        <f t="shared" si="413"/>
        <v>0</v>
      </c>
      <c r="X565" s="581"/>
      <c r="Y565" s="582">
        <f t="shared" si="414"/>
        <v>0</v>
      </c>
      <c r="Z565" s="581"/>
      <c r="AA565" s="582">
        <f t="shared" si="415"/>
        <v>0</v>
      </c>
      <c r="AB565" s="581"/>
      <c r="AC565" s="582">
        <f t="shared" si="416"/>
        <v>0</v>
      </c>
      <c r="AE565" s="769">
        <f t="shared" si="391"/>
        <v>0</v>
      </c>
    </row>
    <row r="566" spans="1:31" ht="15.75" hidden="1" customHeight="1" x14ac:dyDescent="0.2">
      <c r="A566" s="572" t="s">
        <v>1556</v>
      </c>
      <c r="B566" s="767" t="s">
        <v>1557</v>
      </c>
      <c r="C566" s="846"/>
      <c r="D566" s="576"/>
      <c r="E566" s="577"/>
      <c r="F566" s="626" t="e">
        <f>+ROUND(SUM(F567:F569),10)</f>
        <v>#REF!</v>
      </c>
      <c r="G566" s="473"/>
      <c r="H566" s="568"/>
      <c r="I566" s="613"/>
      <c r="J566" s="440" t="e">
        <f>ROUND(SUM(J567:J569),10)</f>
        <v>#REF!</v>
      </c>
      <c r="K566" s="537"/>
      <c r="L566" s="180" t="e">
        <f>ROUND(SUM(L567:L569),10)</f>
        <v>#REF!</v>
      </c>
      <c r="M566" s="542"/>
      <c r="N566" s="180" t="e">
        <f>ROUND(SUM(N567:N569),10)</f>
        <v>#REF!</v>
      </c>
      <c r="O566" s="542"/>
      <c r="P566" s="180" t="e">
        <f>ROUND(SUM(P567:P569),10)</f>
        <v>#REF!</v>
      </c>
      <c r="Q566" s="542"/>
      <c r="R566" s="180" t="e">
        <f>ROUND(SUM(R567:R569),10)</f>
        <v>#REF!</v>
      </c>
      <c r="S566" s="542"/>
      <c r="T566" s="180" t="e">
        <f>ROUND(SUM(T567:T569),10)</f>
        <v>#REF!</v>
      </c>
      <c r="U566" s="568"/>
      <c r="V566" s="575"/>
      <c r="W566" s="570" t="e">
        <f>ROUND(SUM(W567:W569),10)</f>
        <v>#REF!</v>
      </c>
      <c r="X566" s="575"/>
      <c r="Y566" s="570" t="e">
        <f>ROUND(SUM(Y567:Y569),10)</f>
        <v>#REF!</v>
      </c>
      <c r="Z566" s="575"/>
      <c r="AA566" s="570" t="e">
        <f>ROUND(SUM(AA567:AA569),10)</f>
        <v>#REF!</v>
      </c>
      <c r="AB566" s="575"/>
      <c r="AC566" s="570" t="e">
        <f>ROUND(SUM(AC567:AC569),10)</f>
        <v>#REF!</v>
      </c>
      <c r="AE566" s="769" t="e">
        <f t="shared" si="391"/>
        <v>#REF!</v>
      </c>
    </row>
    <row r="567" spans="1:31" ht="14.25" hidden="1" customHeight="1" x14ac:dyDescent="0.2">
      <c r="A567" s="611" t="s">
        <v>1558</v>
      </c>
      <c r="B567" s="601" t="s">
        <v>1559</v>
      </c>
      <c r="C567" s="611" t="s">
        <v>111</v>
      </c>
      <c r="D567" s="576">
        <f>+I567+K567+M567+O567+Q567+S567</f>
        <v>0</v>
      </c>
      <c r="E567" s="577" t="e">
        <f t="shared" si="393"/>
        <v>#REF!</v>
      </c>
      <c r="F567" s="577" t="e">
        <f>ROUND(D567*E567,10)</f>
        <v>#REF!</v>
      </c>
      <c r="G567" s="578"/>
      <c r="I567" s="594"/>
      <c r="J567" s="580" t="e">
        <f>+ROUND(E567*I567,10)</f>
        <v>#REF!</v>
      </c>
      <c r="K567" s="537"/>
      <c r="L567" s="445" t="e">
        <f>+ROUND(E567*K567,10)</f>
        <v>#REF!</v>
      </c>
      <c r="M567" s="542"/>
      <c r="N567" s="445" t="e">
        <f>+ROUND(E567*M567,10)</f>
        <v>#REF!</v>
      </c>
      <c r="O567" s="542"/>
      <c r="P567" s="445" t="e">
        <f>+ROUND(E567*O567,10)</f>
        <v>#REF!</v>
      </c>
      <c r="Q567" s="542"/>
      <c r="R567" s="445" t="e">
        <f>+ROUND(E567*Q567,10)</f>
        <v>#REF!</v>
      </c>
      <c r="S567" s="542"/>
      <c r="T567" s="445" t="e">
        <f>+ROUND(E567*S567,10)</f>
        <v>#REF!</v>
      </c>
      <c r="V567" s="581" t="e">
        <f>+'11,2,3,1 Domo acrílico'!I19</f>
        <v>#REF!</v>
      </c>
      <c r="W567" s="582" t="e">
        <f>ROUND(V567*$D567,10)</f>
        <v>#REF!</v>
      </c>
      <c r="X567" s="581">
        <f>+'11,2,3,1 Domo acrílico'!I50</f>
        <v>23263.32</v>
      </c>
      <c r="Y567" s="582">
        <f>ROUND(X567*$D567,10)</f>
        <v>0</v>
      </c>
      <c r="Z567" s="581">
        <f>+'11,2,3,1 Domo acrílico'!I30</f>
        <v>583</v>
      </c>
      <c r="AA567" s="582">
        <f>ROUND(Z567*$D567,10)</f>
        <v>0</v>
      </c>
      <c r="AB567" s="581">
        <f>+'11,2,3,1 Domo acrílico'!I41</f>
        <v>0</v>
      </c>
      <c r="AC567" s="582">
        <f>ROUND(AB567*$D567,10)</f>
        <v>0</v>
      </c>
      <c r="AE567" s="769" t="e">
        <f t="shared" si="391"/>
        <v>#REF!</v>
      </c>
    </row>
    <row r="568" spans="1:31" ht="15" hidden="1" customHeight="1" x14ac:dyDescent="0.2">
      <c r="A568" s="611" t="s">
        <v>1560</v>
      </c>
      <c r="B568" s="601" t="s">
        <v>1561</v>
      </c>
      <c r="C568" s="611" t="s">
        <v>130</v>
      </c>
      <c r="D568" s="576">
        <f>+I568+K568+M568+O568+Q568+S568</f>
        <v>0</v>
      </c>
      <c r="E568" s="577" t="e">
        <f t="shared" si="393"/>
        <v>#REF!</v>
      </c>
      <c r="F568" s="577" t="e">
        <f>ROUND(D568*E568,10)</f>
        <v>#REF!</v>
      </c>
      <c r="G568" s="578"/>
      <c r="I568" s="584"/>
      <c r="J568" s="585" t="e">
        <f>+ROUND(E568*I568,10)</f>
        <v>#REF!</v>
      </c>
      <c r="K568" s="537"/>
      <c r="L568" s="445" t="e">
        <f>+ROUND(E568*K568,10)</f>
        <v>#REF!</v>
      </c>
      <c r="M568" s="542"/>
      <c r="N568" s="445" t="e">
        <f>+ROUND(E568*M568,10)</f>
        <v>#REF!</v>
      </c>
      <c r="O568" s="542"/>
      <c r="P568" s="445" t="e">
        <f>+ROUND(E568*O568,10)</f>
        <v>#REF!</v>
      </c>
      <c r="Q568" s="542"/>
      <c r="R568" s="445" t="e">
        <f>+ROUND(E568*Q568,10)</f>
        <v>#REF!</v>
      </c>
      <c r="S568" s="542"/>
      <c r="T568" s="445" t="e">
        <f>+ROUND(E568*S568,10)</f>
        <v>#REF!</v>
      </c>
      <c r="V568" s="581" t="e">
        <f>+'11,2,3,2 Acrilico transparente'!I19</f>
        <v>#REF!</v>
      </c>
      <c r="W568" s="582" t="e">
        <f>ROUND(V568*$D568,10)</f>
        <v>#REF!</v>
      </c>
      <c r="X568" s="581">
        <f>+'11,2,3,2 Acrilico transparente'!I50</f>
        <v>9738.1299999999992</v>
      </c>
      <c r="Y568" s="582">
        <f>ROUND(X568*$D568,10)</f>
        <v>0</v>
      </c>
      <c r="Z568" s="581">
        <f>+'11,2,3,2 Acrilico transparente'!I30</f>
        <v>169.6</v>
      </c>
      <c r="AA568" s="582">
        <f>ROUND(Z568*$D568,10)</f>
        <v>0</v>
      </c>
      <c r="AB568" s="581">
        <f>+'11,2,3,2 Acrilico transparente'!I41</f>
        <v>0</v>
      </c>
      <c r="AC568" s="582">
        <f>ROUND(AB568*$D568,10)</f>
        <v>0</v>
      </c>
      <c r="AE568" s="769" t="e">
        <f t="shared" si="391"/>
        <v>#REF!</v>
      </c>
    </row>
    <row r="569" spans="1:31" ht="15" hidden="1" customHeight="1" x14ac:dyDescent="0.2">
      <c r="A569" s="611" t="s">
        <v>1562</v>
      </c>
      <c r="B569" s="601" t="s">
        <v>1563</v>
      </c>
      <c r="C569" s="611" t="s">
        <v>130</v>
      </c>
      <c r="D569" s="576">
        <f>+I569+K569+M569+O569+Q569+S569</f>
        <v>0</v>
      </c>
      <c r="E569" s="577" t="e">
        <f t="shared" si="393"/>
        <v>#REF!</v>
      </c>
      <c r="F569" s="577" t="e">
        <f>ROUND(D569*E569,10)</f>
        <v>#REF!</v>
      </c>
      <c r="G569" s="578"/>
      <c r="I569" s="597"/>
      <c r="J569" s="598" t="e">
        <f>+ROUND(E569*I569,10)</f>
        <v>#REF!</v>
      </c>
      <c r="K569" s="537"/>
      <c r="L569" s="445" t="e">
        <f>+ROUND(E569*K569,10)</f>
        <v>#REF!</v>
      </c>
      <c r="M569" s="542"/>
      <c r="N569" s="445" t="e">
        <f>+ROUND(E569*M569,10)</f>
        <v>#REF!</v>
      </c>
      <c r="O569" s="542"/>
      <c r="P569" s="445" t="e">
        <f>+ROUND(E569*O569,10)</f>
        <v>#REF!</v>
      </c>
      <c r="Q569" s="542"/>
      <c r="R569" s="445" t="e">
        <f>+ROUND(E569*Q569,10)</f>
        <v>#REF!</v>
      </c>
      <c r="S569" s="542"/>
      <c r="T569" s="445" t="e">
        <f>+ROUND(E569*S569,10)</f>
        <v>#REF!</v>
      </c>
      <c r="V569" s="581" t="e">
        <f>+#REF!</f>
        <v>#REF!</v>
      </c>
      <c r="W569" s="582" t="e">
        <f>ROUND(V569*$D569,10)</f>
        <v>#REF!</v>
      </c>
      <c r="X569" s="581" t="e">
        <f>+#REF!</f>
        <v>#REF!</v>
      </c>
      <c r="Y569" s="582" t="e">
        <f>ROUND(X569*$D569,10)</f>
        <v>#REF!</v>
      </c>
      <c r="Z569" s="581" t="e">
        <f>+#REF!</f>
        <v>#REF!</v>
      </c>
      <c r="AA569" s="582" t="e">
        <f>ROUND(Z569*$D569,10)</f>
        <v>#REF!</v>
      </c>
      <c r="AB569" s="581" t="e">
        <f>+#REF!</f>
        <v>#REF!</v>
      </c>
      <c r="AC569" s="582" t="e">
        <f>ROUND(AB569*$D569,10)</f>
        <v>#REF!</v>
      </c>
      <c r="AE569" s="769" t="e">
        <f t="shared" si="391"/>
        <v>#REF!</v>
      </c>
    </row>
    <row r="570" spans="1:31" ht="15" customHeight="1" x14ac:dyDescent="0.2">
      <c r="A570" s="572" t="s">
        <v>1564</v>
      </c>
      <c r="B570" s="573" t="s">
        <v>1565</v>
      </c>
      <c r="C570" s="846"/>
      <c r="D570" s="576"/>
      <c r="E570" s="577"/>
      <c r="F570" s="626" t="e">
        <f>+ROUND(SUM(F571),10)</f>
        <v>#REF!</v>
      </c>
      <c r="G570" s="473"/>
      <c r="H570" s="568"/>
      <c r="I570" s="613"/>
      <c r="J570" s="440" t="e">
        <f>ROUND(SUM(J571),10)</f>
        <v>#REF!</v>
      </c>
      <c r="K570" s="537"/>
      <c r="L570" s="180" t="e">
        <f>ROUND(SUM(L571),10)</f>
        <v>#REF!</v>
      </c>
      <c r="M570" s="542"/>
      <c r="N570" s="180" t="e">
        <f>ROUND(SUM(N571),10)</f>
        <v>#REF!</v>
      </c>
      <c r="O570" s="542"/>
      <c r="P570" s="180" t="e">
        <f>ROUND(SUM(P571),10)</f>
        <v>#REF!</v>
      </c>
      <c r="Q570" s="542"/>
      <c r="R570" s="180" t="e">
        <f>ROUND(SUM(R571),10)</f>
        <v>#REF!</v>
      </c>
      <c r="S570" s="542"/>
      <c r="T570" s="180" t="e">
        <f>ROUND(SUM(T571),10)</f>
        <v>#REF!</v>
      </c>
      <c r="U570" s="568"/>
      <c r="V570" s="575"/>
      <c r="W570" s="570" t="e">
        <f>ROUND(SUM(W571),10)</f>
        <v>#REF!</v>
      </c>
      <c r="X570" s="575"/>
      <c r="Y570" s="570" t="e">
        <f>ROUND(SUM(Y571),10)</f>
        <v>#REF!</v>
      </c>
      <c r="Z570" s="575"/>
      <c r="AA570" s="570" t="e">
        <f>ROUND(SUM(AA571),10)</f>
        <v>#REF!</v>
      </c>
      <c r="AB570" s="575"/>
      <c r="AC570" s="570">
        <f>ROUND(SUM(AC571),10)</f>
        <v>0</v>
      </c>
      <c r="AE570" s="769" t="e">
        <f t="shared" si="391"/>
        <v>#REF!</v>
      </c>
    </row>
    <row r="571" spans="1:31" ht="15" customHeight="1" x14ac:dyDescent="0.2">
      <c r="A571" s="611" t="s">
        <v>1566</v>
      </c>
      <c r="B571" s="676" t="s">
        <v>1567</v>
      </c>
      <c r="C571" s="677" t="s">
        <v>130</v>
      </c>
      <c r="D571" s="576">
        <f>+I571+K571+M571+O571+Q571+S571</f>
        <v>521.76</v>
      </c>
      <c r="E571" s="577" t="e">
        <f t="shared" si="393"/>
        <v>#REF!</v>
      </c>
      <c r="F571" s="577" t="e">
        <f>ROUND(D571*E571,10)</f>
        <v>#REF!</v>
      </c>
      <c r="G571" s="578"/>
      <c r="I571" s="673"/>
      <c r="J571" s="674" t="e">
        <f>+ROUND(E571*I571,10)</f>
        <v>#REF!</v>
      </c>
      <c r="K571" s="537">
        <v>291.38</v>
      </c>
      <c r="L571" s="445" t="e">
        <f>+ROUND(E571*K571,10)</f>
        <v>#REF!</v>
      </c>
      <c r="M571" s="542">
        <v>43.94</v>
      </c>
      <c r="N571" s="445" t="e">
        <f>+ROUND(E571*M571,10)</f>
        <v>#REF!</v>
      </c>
      <c r="O571" s="542">
        <v>73.94</v>
      </c>
      <c r="P571" s="445" t="e">
        <f>+ROUND(E571*O571,10)</f>
        <v>#REF!</v>
      </c>
      <c r="Q571" s="542">
        <v>112.5</v>
      </c>
      <c r="R571" s="445" t="e">
        <f>+ROUND(E571*Q571,10)</f>
        <v>#REF!</v>
      </c>
      <c r="S571" s="542"/>
      <c r="T571" s="445" t="e">
        <f>+ROUND(E571*S571,10)</f>
        <v>#REF!</v>
      </c>
      <c r="V571" s="581" t="e">
        <f>+#REF!</f>
        <v>#REF!</v>
      </c>
      <c r="W571" s="582" t="e">
        <f>ROUND(V571*$D571,10)</f>
        <v>#REF!</v>
      </c>
      <c r="X571" s="581" t="e">
        <f>+#REF!</f>
        <v>#REF!</v>
      </c>
      <c r="Y571" s="582" t="e">
        <f>ROUND(X571*$D571,10)</f>
        <v>#REF!</v>
      </c>
      <c r="Z571" s="581" t="e">
        <f>+#REF!</f>
        <v>#REF!</v>
      </c>
      <c r="AA571" s="582" t="e">
        <f>ROUND(Z571*$D571,10)</f>
        <v>#REF!</v>
      </c>
      <c r="AB571" s="581"/>
      <c r="AC571" s="582">
        <f>ROUND(AB571*$D571,10)</f>
        <v>0</v>
      </c>
      <c r="AE571" s="769" t="e">
        <f t="shared" si="391"/>
        <v>#REF!</v>
      </c>
    </row>
    <row r="572" spans="1:31" s="595" customFormat="1" ht="15.75" x14ac:dyDescent="0.2">
      <c r="A572" s="572" t="s">
        <v>1568</v>
      </c>
      <c r="B572" s="573" t="s">
        <v>1569</v>
      </c>
      <c r="C572" s="846"/>
      <c r="D572" s="576"/>
      <c r="E572" s="577"/>
      <c r="F572" s="180" t="e">
        <f>+ROUND(SUM(F573:F577),10)</f>
        <v>#REF!</v>
      </c>
      <c r="G572" s="473"/>
      <c r="H572" s="568"/>
      <c r="I572" s="613"/>
      <c r="J572" s="440" t="e">
        <f>ROUND(SUM(J573:J577),10)</f>
        <v>#REF!</v>
      </c>
      <c r="K572" s="537"/>
      <c r="L572" s="180" t="e">
        <f>ROUND(SUM(L573:L577),10)</f>
        <v>#REF!</v>
      </c>
      <c r="M572" s="542"/>
      <c r="N572" s="180" t="e">
        <f>ROUND(SUM(N573:N577),10)</f>
        <v>#REF!</v>
      </c>
      <c r="O572" s="542"/>
      <c r="P572" s="180" t="e">
        <f>ROUND(SUM(P573:P577),10)</f>
        <v>#REF!</v>
      </c>
      <c r="Q572" s="542"/>
      <c r="R572" s="180" t="e">
        <f>ROUND(SUM(R573:R577),10)</f>
        <v>#REF!</v>
      </c>
      <c r="S572" s="542"/>
      <c r="T572" s="180" t="e">
        <f>ROUND(SUM(T573:T577),10)</f>
        <v>#REF!</v>
      </c>
      <c r="U572" s="568"/>
      <c r="V572" s="575"/>
      <c r="W572" s="570" t="e">
        <f>ROUND(SUM(W573:W577),10)</f>
        <v>#REF!</v>
      </c>
      <c r="X572" s="575"/>
      <c r="Y572" s="570" t="e">
        <f>ROUND(SUM(Y573:Y577),10)</f>
        <v>#REF!</v>
      </c>
      <c r="Z572" s="575"/>
      <c r="AA572" s="570" t="e">
        <f>ROUND(SUM(AA573:AA577),10)</f>
        <v>#REF!</v>
      </c>
      <c r="AB572" s="575"/>
      <c r="AC572" s="570" t="e">
        <f>ROUND(SUM(AC573:AC577),10)</f>
        <v>#REF!</v>
      </c>
      <c r="AD572" s="912"/>
      <c r="AE572" s="769" t="e">
        <f t="shared" si="391"/>
        <v>#REF!</v>
      </c>
    </row>
    <row r="573" spans="1:31" s="595" customFormat="1" ht="15" hidden="1" customHeight="1" x14ac:dyDescent="0.2">
      <c r="A573" s="611" t="s">
        <v>1570</v>
      </c>
      <c r="B573" s="601" t="s">
        <v>1571</v>
      </c>
      <c r="C573" s="611" t="s">
        <v>114</v>
      </c>
      <c r="D573" s="576">
        <f>+I573+K573+M573+O573+Q573+S573</f>
        <v>0</v>
      </c>
      <c r="E573" s="577" t="e">
        <f t="shared" si="393"/>
        <v>#REF!</v>
      </c>
      <c r="F573" s="577" t="e">
        <f>ROUND(D573*E573,10)</f>
        <v>#REF!</v>
      </c>
      <c r="G573" s="578"/>
      <c r="H573" s="552"/>
      <c r="I573" s="594"/>
      <c r="J573" s="580" t="e">
        <f>+ROUND(E573*I573,10)</f>
        <v>#REF!</v>
      </c>
      <c r="K573" s="537"/>
      <c r="L573" s="445" t="e">
        <f>+ROUND(E573*K573,10)</f>
        <v>#REF!</v>
      </c>
      <c r="M573" s="542"/>
      <c r="N573" s="445" t="e">
        <f>+ROUND(E573*M573,10)</f>
        <v>#REF!</v>
      </c>
      <c r="O573" s="542"/>
      <c r="P573" s="445" t="e">
        <f>+ROUND(E573*O573,10)</f>
        <v>#REF!</v>
      </c>
      <c r="Q573" s="537"/>
      <c r="R573" s="445" t="e">
        <f>+ROUND(E573*Q573,10)</f>
        <v>#REF!</v>
      </c>
      <c r="S573" s="542"/>
      <c r="T573" s="445" t="e">
        <f>+ROUND(E573*S573,10)</f>
        <v>#REF!</v>
      </c>
      <c r="U573" s="552"/>
      <c r="V573" s="581" t="e">
        <f>+'11,3,1 Canal Lámina'!I19</f>
        <v>#REF!</v>
      </c>
      <c r="W573" s="582" t="e">
        <f>ROUND(V573*$D573,10)</f>
        <v>#REF!</v>
      </c>
      <c r="X573" s="581">
        <f>+'11,3,1 Canal Lámina'!I50</f>
        <v>11758.89</v>
      </c>
      <c r="Y573" s="582">
        <f>ROUND(X573*$D573,10)</f>
        <v>0</v>
      </c>
      <c r="Z573" s="581">
        <f>+'11,3,1 Canal Lámina'!I30</f>
        <v>556.5</v>
      </c>
      <c r="AA573" s="582">
        <f>ROUND(Z573*$D573,10)</f>
        <v>0</v>
      </c>
      <c r="AB573" s="581">
        <f>+'11,3,1 Canal Lámina'!I41</f>
        <v>0</v>
      </c>
      <c r="AC573" s="582">
        <f>ROUND(AB573*$D573,10)</f>
        <v>0</v>
      </c>
      <c r="AD573" s="912"/>
      <c r="AE573" s="769" t="e">
        <f t="shared" si="391"/>
        <v>#REF!</v>
      </c>
    </row>
    <row r="574" spans="1:31" s="595" customFormat="1" x14ac:dyDescent="0.2">
      <c r="A574" s="611" t="s">
        <v>1572</v>
      </c>
      <c r="B574" s="601" t="s">
        <v>1573</v>
      </c>
      <c r="C574" s="611" t="s">
        <v>114</v>
      </c>
      <c r="D574" s="576">
        <f>+I574+K574+M574+O574+Q574+S574</f>
        <v>104.11</v>
      </c>
      <c r="E574" s="577" t="e">
        <f t="shared" si="393"/>
        <v>#REF!</v>
      </c>
      <c r="F574" s="577" t="e">
        <f>ROUND(D574*E574,10)</f>
        <v>#REF!</v>
      </c>
      <c r="G574" s="578"/>
      <c r="H574" s="552"/>
      <c r="I574" s="584"/>
      <c r="J574" s="585" t="e">
        <f>+ROUND(E574*I574,10)</f>
        <v>#REF!</v>
      </c>
      <c r="K574" s="537">
        <v>33.299999999999997</v>
      </c>
      <c r="L574" s="445" t="e">
        <f>+ROUND(E574*K574,10)</f>
        <v>#REF!</v>
      </c>
      <c r="M574" s="542">
        <v>12.36</v>
      </c>
      <c r="N574" s="445" t="e">
        <f>+ROUND(E574*M574,10)</f>
        <v>#REF!</v>
      </c>
      <c r="O574" s="542">
        <v>8.4499999999999993</v>
      </c>
      <c r="P574" s="445" t="e">
        <f>+ROUND(E574*O574,10)</f>
        <v>#REF!</v>
      </c>
      <c r="Q574" s="537">
        <v>50</v>
      </c>
      <c r="R574" s="445" t="e">
        <f>+ROUND(E574*Q574,10)</f>
        <v>#REF!</v>
      </c>
      <c r="S574" s="542"/>
      <c r="T574" s="445" t="e">
        <f>+ROUND(E574*S574,10)</f>
        <v>#REF!</v>
      </c>
      <c r="U574" s="552"/>
      <c r="V574" s="581" t="e">
        <f>+#REF!</f>
        <v>#REF!</v>
      </c>
      <c r="W574" s="582" t="e">
        <f>ROUND(V574*$D574,10)</f>
        <v>#REF!</v>
      </c>
      <c r="X574" s="581" t="e">
        <f>+#REF!</f>
        <v>#REF!</v>
      </c>
      <c r="Y574" s="582" t="e">
        <f>ROUND(X574*$D574,10)</f>
        <v>#REF!</v>
      </c>
      <c r="Z574" s="581" t="e">
        <f>+#REF!</f>
        <v>#REF!</v>
      </c>
      <c r="AA574" s="582" t="e">
        <f>ROUND(Z574*$D574,10)</f>
        <v>#REF!</v>
      </c>
      <c r="AB574" s="581" t="e">
        <f>+#REF!</f>
        <v>#REF!</v>
      </c>
      <c r="AC574" s="582" t="e">
        <f>ROUND(AB574*$D574,10)</f>
        <v>#REF!</v>
      </c>
      <c r="AD574" s="912"/>
      <c r="AE574" s="769" t="e">
        <f t="shared" si="391"/>
        <v>#REF!</v>
      </c>
    </row>
    <row r="575" spans="1:31" s="595" customFormat="1" ht="15" hidden="1" customHeight="1" x14ac:dyDescent="0.2">
      <c r="A575" s="611" t="s">
        <v>1574</v>
      </c>
      <c r="B575" s="601" t="s">
        <v>1575</v>
      </c>
      <c r="C575" s="611" t="s">
        <v>111</v>
      </c>
      <c r="D575" s="576">
        <f>+I575+K575+M575+O575+Q575+S575</f>
        <v>0</v>
      </c>
      <c r="E575" s="577" t="e">
        <f t="shared" si="393"/>
        <v>#REF!</v>
      </c>
      <c r="F575" s="577" t="e">
        <f>ROUND(D575*E575,10)</f>
        <v>#REF!</v>
      </c>
      <c r="G575" s="578"/>
      <c r="H575" s="552"/>
      <c r="I575" s="584"/>
      <c r="J575" s="585" t="e">
        <f>+ROUND(E575*I575,10)</f>
        <v>#REF!</v>
      </c>
      <c r="K575" s="537"/>
      <c r="L575" s="445" t="e">
        <f>+ROUND(E575*K575,10)</f>
        <v>#REF!</v>
      </c>
      <c r="M575" s="542"/>
      <c r="N575" s="445" t="e">
        <f>+ROUND(E575*M575,10)</f>
        <v>#REF!</v>
      </c>
      <c r="O575" s="542"/>
      <c r="P575" s="445" t="e">
        <f>+ROUND(E575*O575,10)</f>
        <v>#REF!</v>
      </c>
      <c r="Q575" s="537"/>
      <c r="R575" s="445" t="e">
        <f>+ROUND(E575*Q575,10)</f>
        <v>#REF!</v>
      </c>
      <c r="S575" s="542"/>
      <c r="T575" s="445" t="e">
        <f>+ROUND(E575*S575,10)</f>
        <v>#REF!</v>
      </c>
      <c r="U575" s="552"/>
      <c r="V575" s="581" t="e">
        <f>+'11,3,3 Tragante 5x3'!I19</f>
        <v>#REF!</v>
      </c>
      <c r="W575" s="582" t="e">
        <f>ROUND(V575*$D575,10)</f>
        <v>#REF!</v>
      </c>
      <c r="X575" s="581">
        <f>+'11,3,3 Tragante 5x3'!I50</f>
        <v>6584.98</v>
      </c>
      <c r="Y575" s="582">
        <f>ROUND(X575*$D575,10)</f>
        <v>0</v>
      </c>
      <c r="Z575" s="581">
        <f>+'11,3,3 Tragante 5x3'!I30</f>
        <v>74.2</v>
      </c>
      <c r="AA575" s="582">
        <f>ROUND(Z575*$D575,10)</f>
        <v>0</v>
      </c>
      <c r="AB575" s="581">
        <f>+'11,3,3 Tragante 5x3'!I41</f>
        <v>0</v>
      </c>
      <c r="AC575" s="582">
        <f>ROUND(AB575*$D575,10)</f>
        <v>0</v>
      </c>
      <c r="AD575" s="912"/>
      <c r="AE575" s="769" t="e">
        <f t="shared" si="391"/>
        <v>#REF!</v>
      </c>
    </row>
    <row r="576" spans="1:31" s="595" customFormat="1" x14ac:dyDescent="0.2">
      <c r="A576" s="611" t="s">
        <v>1576</v>
      </c>
      <c r="B576" s="601" t="s">
        <v>1577</v>
      </c>
      <c r="C576" s="611" t="s">
        <v>111</v>
      </c>
      <c r="D576" s="576">
        <f>+I576+K576+M576+O576+Q576+S576</f>
        <v>6</v>
      </c>
      <c r="E576" s="577" t="e">
        <f>V576+X576+Z576+AB576</f>
        <v>#REF!</v>
      </c>
      <c r="F576" s="577" t="e">
        <f>ROUND(D576*E576,10)</f>
        <v>#REF!</v>
      </c>
      <c r="G576" s="578"/>
      <c r="H576" s="552"/>
      <c r="I576" s="584"/>
      <c r="J576" s="585" t="e">
        <f>+ROUND(E576*I576,10)</f>
        <v>#REF!</v>
      </c>
      <c r="K576" s="537">
        <v>6</v>
      </c>
      <c r="L576" s="445" t="e">
        <f>+ROUND(E576*K576,10)</f>
        <v>#REF!</v>
      </c>
      <c r="M576" s="542"/>
      <c r="N576" s="445" t="e">
        <f>+ROUND(E576*M576,10)</f>
        <v>#REF!</v>
      </c>
      <c r="O576" s="542"/>
      <c r="P576" s="445" t="e">
        <f>+ROUND(E576*O576,10)</f>
        <v>#REF!</v>
      </c>
      <c r="Q576" s="537"/>
      <c r="R576" s="445" t="e">
        <f>+ROUND(E576*Q576,10)</f>
        <v>#REF!</v>
      </c>
      <c r="S576" s="542"/>
      <c r="T576" s="445" t="e">
        <f>+ROUND(E576*S576,10)</f>
        <v>#REF!</v>
      </c>
      <c r="U576" s="552"/>
      <c r="V576" s="581" t="e">
        <f>#REF!</f>
        <v>#REF!</v>
      </c>
      <c r="W576" s="582" t="e">
        <f>ROUND(V576*$D576,10)</f>
        <v>#REF!</v>
      </c>
      <c r="X576" s="581" t="e">
        <f>#REF!</f>
        <v>#REF!</v>
      </c>
      <c r="Y576" s="582" t="e">
        <f>ROUND(X576*$D576,10)</f>
        <v>#REF!</v>
      </c>
      <c r="Z576" s="581" t="e">
        <f>#REF!</f>
        <v>#REF!</v>
      </c>
      <c r="AA576" s="582" t="e">
        <f>ROUND(Z576*$D576,10)</f>
        <v>#REF!</v>
      </c>
      <c r="AB576" s="581" t="e">
        <f>#REF!</f>
        <v>#REF!</v>
      </c>
      <c r="AC576" s="582" t="e">
        <f>ROUND(AB576*$D576,10)</f>
        <v>#REF!</v>
      </c>
      <c r="AD576" s="912"/>
      <c r="AE576" s="769" t="e">
        <f t="shared" si="391"/>
        <v>#REF!</v>
      </c>
    </row>
    <row r="577" spans="1:31" s="595" customFormat="1" ht="15.75" thickBot="1" x14ac:dyDescent="0.25">
      <c r="A577" s="611" t="s">
        <v>1578</v>
      </c>
      <c r="B577" s="610" t="s">
        <v>1579</v>
      </c>
      <c r="C577" s="611" t="s">
        <v>114</v>
      </c>
      <c r="D577" s="576">
        <f>+I577+K577+M577+O577+Q577+S577</f>
        <v>4</v>
      </c>
      <c r="E577" s="577" t="e">
        <f t="shared" si="393"/>
        <v>#REF!</v>
      </c>
      <c r="F577" s="577" t="e">
        <f>ROUND(D577*E577,10)</f>
        <v>#REF!</v>
      </c>
      <c r="G577" s="578"/>
      <c r="H577" s="552"/>
      <c r="I577" s="602"/>
      <c r="J577" s="603" t="e">
        <f>+ROUND(E577*I577,10)</f>
        <v>#REF!</v>
      </c>
      <c r="K577" s="537">
        <v>4</v>
      </c>
      <c r="L577" s="445" t="e">
        <f>+ROUND(E577*K577,10)</f>
        <v>#REF!</v>
      </c>
      <c r="M577" s="542"/>
      <c r="N577" s="445" t="e">
        <f>+ROUND(E577*M577,10)</f>
        <v>#REF!</v>
      </c>
      <c r="O577" s="542"/>
      <c r="P577" s="445" t="e">
        <f>+ROUND(E577*O577,10)</f>
        <v>#REF!</v>
      </c>
      <c r="Q577" s="542"/>
      <c r="R577" s="445" t="e">
        <f>+ROUND(E577*Q577,10)</f>
        <v>#REF!</v>
      </c>
      <c r="S577" s="542"/>
      <c r="T577" s="445" t="e">
        <f>+ROUND(E577*S577,10)</f>
        <v>#REF!</v>
      </c>
      <c r="U577" s="552"/>
      <c r="V577" s="581" t="e">
        <f>+'11,3,5 Canal PVC'!I19</f>
        <v>#REF!</v>
      </c>
      <c r="W577" s="582" t="e">
        <f>ROUND(V577*$D577,10)</f>
        <v>#REF!</v>
      </c>
      <c r="X577" s="581">
        <f>+'11,3,5 Canal PVC'!I50</f>
        <v>6584.98</v>
      </c>
      <c r="Y577" s="582">
        <f>ROUND(X577*$D577,10)</f>
        <v>26339.919999999998</v>
      </c>
      <c r="Z577" s="581">
        <f>+'11,3,5 Canal PVC'!I30</f>
        <v>742</v>
      </c>
      <c r="AA577" s="582">
        <f>ROUND(Z577*$D577,10)</f>
        <v>2968</v>
      </c>
      <c r="AB577" s="581"/>
      <c r="AC577" s="582">
        <f>ROUND(AB577*$D577,10)</f>
        <v>0</v>
      </c>
      <c r="AD577" s="912"/>
      <c r="AE577" s="769" t="e">
        <f t="shared" si="391"/>
        <v>#REF!</v>
      </c>
    </row>
    <row r="578" spans="1:31" s="595" customFormat="1" ht="15.75" hidden="1" customHeight="1" thickTop="1" x14ac:dyDescent="0.2">
      <c r="A578" s="611"/>
      <c r="B578" s="601"/>
      <c r="C578" s="611"/>
      <c r="D578" s="576"/>
      <c r="E578" s="577"/>
      <c r="F578" s="577"/>
      <c r="G578" s="578"/>
      <c r="H578" s="552"/>
      <c r="I578" s="604"/>
      <c r="J578" s="635"/>
      <c r="K578" s="537"/>
      <c r="L578" s="445"/>
      <c r="M578" s="542"/>
      <c r="N578" s="445"/>
      <c r="O578" s="542"/>
      <c r="P578" s="445"/>
      <c r="Q578" s="542"/>
      <c r="R578" s="445"/>
      <c r="S578" s="542"/>
      <c r="T578" s="445"/>
      <c r="U578" s="552"/>
      <c r="V578" s="581"/>
      <c r="W578" s="582"/>
      <c r="X578" s="581"/>
      <c r="Y578" s="582"/>
      <c r="Z578" s="581"/>
      <c r="AA578" s="582"/>
      <c r="AB578" s="581"/>
      <c r="AC578" s="582"/>
      <c r="AD578" s="912"/>
      <c r="AE578" s="769">
        <f t="shared" si="391"/>
        <v>0</v>
      </c>
    </row>
    <row r="579" spans="1:31" s="666" customFormat="1" ht="6.75" customHeight="1" thickTop="1" thickBot="1" x14ac:dyDescent="0.25">
      <c r="A579" s="919"/>
      <c r="B579" s="920"/>
      <c r="C579" s="919"/>
      <c r="D579" s="655"/>
      <c r="E579" s="656"/>
      <c r="F579" s="656"/>
      <c r="G579" s="656"/>
      <c r="H579" s="657"/>
      <c r="I579" s="658"/>
      <c r="J579" s="658"/>
      <c r="K579" s="659"/>
      <c r="L579" s="658"/>
      <c r="M579" s="174"/>
      <c r="N579" s="658"/>
      <c r="O579" s="174"/>
      <c r="P579" s="658"/>
      <c r="Q579" s="174"/>
      <c r="R579" s="658"/>
      <c r="S579" s="174"/>
      <c r="T579" s="658"/>
      <c r="U579" s="657"/>
      <c r="V579" s="667"/>
      <c r="W579" s="667"/>
      <c r="X579" s="667"/>
      <c r="Y579" s="667"/>
      <c r="Z579" s="667"/>
      <c r="AA579" s="667"/>
      <c r="AB579" s="667"/>
      <c r="AC579" s="667"/>
      <c r="AD579" s="921"/>
      <c r="AE579" s="769"/>
    </row>
    <row r="580" spans="1:31" ht="30" customHeight="1" thickTop="1" thickBot="1" x14ac:dyDescent="0.25">
      <c r="A580" s="564">
        <v>12</v>
      </c>
      <c r="B580" s="1045" t="s">
        <v>1580</v>
      </c>
      <c r="C580" s="1045"/>
      <c r="D580" s="1045"/>
      <c r="E580" s="1045"/>
      <c r="F580" s="1045"/>
      <c r="G580" s="180" t="e">
        <f>ROUND(F581+F592+F602+F607+F614,10)</f>
        <v>#REF!</v>
      </c>
      <c r="H580" s="568"/>
      <c r="I580" s="616"/>
      <c r="J580" s="439" t="e">
        <f>+ROUND(J581+J592+J602+J607+J614,10)</f>
        <v>#REF!</v>
      </c>
      <c r="K580" s="617"/>
      <c r="L580" s="180" t="e">
        <f>+ROUND(L581+L592+L602+L607+L614,10)</f>
        <v>#REF!</v>
      </c>
      <c r="M580" s="180"/>
      <c r="N580" s="180" t="e">
        <f>+ROUND(N581+N592+N602+N607+N614,10)</f>
        <v>#REF!</v>
      </c>
      <c r="O580" s="180"/>
      <c r="P580" s="180" t="e">
        <f>+ROUND(P581+P592+P602+P607+P614,10)</f>
        <v>#REF!</v>
      </c>
      <c r="Q580" s="180"/>
      <c r="R580" s="180" t="e">
        <f>+ROUND(R581+R592+R602+R607+R614,10)</f>
        <v>#REF!</v>
      </c>
      <c r="S580" s="180"/>
      <c r="T580" s="180" t="e">
        <f>+ROUND(T581+T592+T602+T607+T614,10)</f>
        <v>#REF!</v>
      </c>
      <c r="U580" s="568"/>
      <c r="V580" s="569" t="e">
        <f>W580/$G$580</f>
        <v>#REF!</v>
      </c>
      <c r="W580" s="570" t="e">
        <f>ROUND(W581+W592+W602+W607+W614,10)</f>
        <v>#REF!</v>
      </c>
      <c r="X580" s="569" t="e">
        <f>Y580/$G$580</f>
        <v>#REF!</v>
      </c>
      <c r="Y580" s="570" t="e">
        <f>ROUND(Y581+Y592+Y602+Y607+Y614,10)</f>
        <v>#REF!</v>
      </c>
      <c r="Z580" s="569" t="e">
        <f>AA580/$G$580</f>
        <v>#REF!</v>
      </c>
      <c r="AA580" s="570" t="e">
        <f>ROUND(AA581+AA592+AA602+AA607+AA614,10)</f>
        <v>#REF!</v>
      </c>
      <c r="AB580" s="569" t="e">
        <f>AC580/$G$580</f>
        <v>#REF!</v>
      </c>
      <c r="AC580" s="570" t="e">
        <f>ROUND(AC581+AC592+AC602+AC607+AC614,10)</f>
        <v>#REF!</v>
      </c>
      <c r="AE580" s="769" t="e">
        <f t="shared" si="391"/>
        <v>#REF!</v>
      </c>
    </row>
    <row r="581" spans="1:31" ht="15" customHeight="1" thickTop="1" x14ac:dyDescent="0.2">
      <c r="A581" s="572" t="s">
        <v>1581</v>
      </c>
      <c r="B581" s="573" t="s">
        <v>1582</v>
      </c>
      <c r="C581" s="846"/>
      <c r="D581" s="576"/>
      <c r="E581" s="180"/>
      <c r="F581" s="626" t="e">
        <f>+ROUND(SUM(F582:F590),10)</f>
        <v>#REF!</v>
      </c>
      <c r="G581" s="473"/>
      <c r="H581" s="568"/>
      <c r="I581" s="618"/>
      <c r="J581" s="439" t="e">
        <f>ROUND(SUM(J582:J587),10)</f>
        <v>#REF!</v>
      </c>
      <c r="K581" s="619"/>
      <c r="L581" s="180" t="e">
        <f>ROUND(SUM(L582:L590),10)</f>
        <v>#REF!</v>
      </c>
      <c r="M581" s="473"/>
      <c r="N581" s="180" t="e">
        <f>ROUND(SUM(N582:N590),10)</f>
        <v>#REF!</v>
      </c>
      <c r="O581" s="473"/>
      <c r="P581" s="180" t="e">
        <f>ROUND(SUM(P582:P590),10)</f>
        <v>#REF!</v>
      </c>
      <c r="Q581" s="473"/>
      <c r="R581" s="180" t="e">
        <f>ROUND(SUM(R582:R590),10)</f>
        <v>#REF!</v>
      </c>
      <c r="S581" s="473"/>
      <c r="T581" s="180" t="e">
        <f>ROUND(SUM(T582:T590),10)</f>
        <v>#REF!</v>
      </c>
      <c r="U581" s="568"/>
      <c r="V581" s="575"/>
      <c r="W581" s="570" t="e">
        <f>ROUND(SUM(W582:W590),10)</f>
        <v>#REF!</v>
      </c>
      <c r="X581" s="575"/>
      <c r="Y581" s="570" t="e">
        <f>ROUND(SUM(Y582:Y590),10)</f>
        <v>#REF!</v>
      </c>
      <c r="Z581" s="575"/>
      <c r="AA581" s="570" t="e">
        <f>ROUND(SUM(AA582:AA590),10)</f>
        <v>#REF!</v>
      </c>
      <c r="AB581" s="575"/>
      <c r="AC581" s="570" t="e">
        <f>ROUND(SUM(AC582:AC590),10)</f>
        <v>#REF!</v>
      </c>
      <c r="AE581" s="769" t="e">
        <f t="shared" si="391"/>
        <v>#REF!</v>
      </c>
    </row>
    <row r="582" spans="1:31" ht="15" customHeight="1" x14ac:dyDescent="0.2">
      <c r="A582" s="611" t="s">
        <v>1583</v>
      </c>
      <c r="B582" s="610" t="s">
        <v>1584</v>
      </c>
      <c r="C582" s="611" t="s">
        <v>130</v>
      </c>
      <c r="D582" s="576">
        <f t="shared" ref="D582:D590" si="417">+I582+K582+M582+O582+Q582+S582</f>
        <v>176.66</v>
      </c>
      <c r="E582" s="577" t="e">
        <f t="shared" ref="E582:E624" si="418">V582+X582+Z582+AB582</f>
        <v>#REF!</v>
      </c>
      <c r="F582" s="577" t="e">
        <f t="shared" ref="F582:F590" si="419">ROUND(D582*E582,10)</f>
        <v>#REF!</v>
      </c>
      <c r="G582" s="578"/>
      <c r="I582" s="594"/>
      <c r="J582" s="580" t="e">
        <f t="shared" ref="J582:J587" si="420">+ROUND(E582*I582,10)</f>
        <v>#REF!</v>
      </c>
      <c r="K582" s="538">
        <f>61.6+40.32+30.64+23.22</f>
        <v>155.78</v>
      </c>
      <c r="L582" s="445" t="e">
        <f t="shared" ref="L582:L590" si="421">+ROUND(E582*K582,10)</f>
        <v>#REF!</v>
      </c>
      <c r="M582" s="542">
        <f>10.08+1.2</f>
        <v>11.28</v>
      </c>
      <c r="N582" s="445" t="e">
        <f t="shared" ref="N582:N590" si="422">+ROUND(E582*M582,10)</f>
        <v>#REF!</v>
      </c>
      <c r="O582" s="542">
        <f>8.96+0.64</f>
        <v>9.6000000000000014</v>
      </c>
      <c r="P582" s="445" t="e">
        <f t="shared" ref="P582:P590" si="423">+ROUND(E582*O582,10)</f>
        <v>#REF!</v>
      </c>
      <c r="Q582" s="542"/>
      <c r="R582" s="445" t="e">
        <f t="shared" ref="R582:R590" si="424">+ROUND(E582*Q582,10)</f>
        <v>#REF!</v>
      </c>
      <c r="S582" s="542"/>
      <c r="T582" s="445" t="e">
        <f t="shared" ref="T582:T590" si="425">+ROUND(E582*S582,10)</f>
        <v>#REF!</v>
      </c>
      <c r="V582" s="581" t="e">
        <f>+#REF!</f>
        <v>#REF!</v>
      </c>
      <c r="W582" s="582" t="e">
        <f t="shared" ref="W582:W590" si="426">ROUND(V582*$D582,10)</f>
        <v>#REF!</v>
      </c>
      <c r="X582" s="581" t="e">
        <f>+#REF!</f>
        <v>#REF!</v>
      </c>
      <c r="Y582" s="582" t="e">
        <f t="shared" ref="Y582:Y590" si="427">ROUND(X582*$D582,10)</f>
        <v>#REF!</v>
      </c>
      <c r="Z582" s="581" t="e">
        <f>+#REF!</f>
        <v>#REF!</v>
      </c>
      <c r="AA582" s="582" t="e">
        <f t="shared" ref="AA582:AA590" si="428">ROUND(Z582*$D582,10)</f>
        <v>#REF!</v>
      </c>
      <c r="AB582" s="581" t="e">
        <f>+#REF!</f>
        <v>#REF!</v>
      </c>
      <c r="AC582" s="582" t="e">
        <f t="shared" ref="AC582:AC590" si="429">ROUND(AB582*$D582,10)</f>
        <v>#REF!</v>
      </c>
      <c r="AE582" s="769" t="e">
        <f t="shared" si="391"/>
        <v>#REF!</v>
      </c>
    </row>
    <row r="583" spans="1:31" ht="15" hidden="1" customHeight="1" x14ac:dyDescent="0.2">
      <c r="A583" s="611" t="s">
        <v>1585</v>
      </c>
      <c r="B583" s="601" t="s">
        <v>1586</v>
      </c>
      <c r="C583" s="611" t="s">
        <v>130</v>
      </c>
      <c r="D583" s="576">
        <f t="shared" si="417"/>
        <v>0</v>
      </c>
      <c r="E583" s="577" t="e">
        <f t="shared" si="418"/>
        <v>#REF!</v>
      </c>
      <c r="F583" s="577" t="e">
        <f t="shared" si="419"/>
        <v>#REF!</v>
      </c>
      <c r="G583" s="578"/>
      <c r="I583" s="584"/>
      <c r="J583" s="585" t="e">
        <f t="shared" si="420"/>
        <v>#REF!</v>
      </c>
      <c r="K583" s="537"/>
      <c r="L583" s="445" t="e">
        <f t="shared" si="421"/>
        <v>#REF!</v>
      </c>
      <c r="M583" s="542"/>
      <c r="N583" s="445" t="e">
        <f t="shared" si="422"/>
        <v>#REF!</v>
      </c>
      <c r="O583" s="542"/>
      <c r="P583" s="445" t="e">
        <f t="shared" si="423"/>
        <v>#REF!</v>
      </c>
      <c r="Q583" s="542"/>
      <c r="R583" s="445" t="e">
        <f t="shared" si="424"/>
        <v>#REF!</v>
      </c>
      <c r="S583" s="542"/>
      <c r="T583" s="445" t="e">
        <f t="shared" si="425"/>
        <v>#REF!</v>
      </c>
      <c r="V583" s="581" t="e">
        <f>+'12,1,2 Ventanas aluminio reja'!I19</f>
        <v>#REF!</v>
      </c>
      <c r="W583" s="582" t="e">
        <f t="shared" si="426"/>
        <v>#REF!</v>
      </c>
      <c r="X583" s="581">
        <f>+'12,1,2 Ventanas aluminio reja'!I50</f>
        <v>50756.32</v>
      </c>
      <c r="Y583" s="582">
        <f t="shared" si="427"/>
        <v>0</v>
      </c>
      <c r="Z583" s="581">
        <f>+'12,1,2 Ventanas aluminio reja'!I30</f>
        <v>6976.85</v>
      </c>
      <c r="AA583" s="582">
        <f t="shared" si="428"/>
        <v>0</v>
      </c>
      <c r="AB583" s="581">
        <f>+'12,1,2 Ventanas aluminio reja'!I41</f>
        <v>0</v>
      </c>
      <c r="AC583" s="582">
        <f t="shared" si="429"/>
        <v>0</v>
      </c>
      <c r="AE583" s="769" t="e">
        <f t="shared" si="391"/>
        <v>#REF!</v>
      </c>
    </row>
    <row r="584" spans="1:31" ht="15" customHeight="1" x14ac:dyDescent="0.2">
      <c r="A584" s="611" t="s">
        <v>1587</v>
      </c>
      <c r="B584" s="601" t="s">
        <v>1588</v>
      </c>
      <c r="C584" s="611" t="s">
        <v>130</v>
      </c>
      <c r="D584" s="576">
        <f t="shared" si="417"/>
        <v>20.700000000000003</v>
      </c>
      <c r="E584" s="577" t="e">
        <f t="shared" si="418"/>
        <v>#REF!</v>
      </c>
      <c r="F584" s="577" t="e">
        <f t="shared" si="419"/>
        <v>#REF!</v>
      </c>
      <c r="G584" s="578"/>
      <c r="I584" s="584"/>
      <c r="J584" s="585" t="e">
        <f t="shared" si="420"/>
        <v>#REF!</v>
      </c>
      <c r="K584" s="537"/>
      <c r="L584" s="445" t="e">
        <f t="shared" si="421"/>
        <v>#REF!</v>
      </c>
      <c r="M584" s="542">
        <f>2.6+1.82</f>
        <v>4.42</v>
      </c>
      <c r="N584" s="445" t="e">
        <f t="shared" si="422"/>
        <v>#REF!</v>
      </c>
      <c r="O584" s="542">
        <f>9+5.2+2.08</f>
        <v>16.28</v>
      </c>
      <c r="P584" s="445" t="e">
        <f t="shared" si="423"/>
        <v>#REF!</v>
      </c>
      <c r="Q584" s="542"/>
      <c r="R584" s="445" t="e">
        <f t="shared" si="424"/>
        <v>#REF!</v>
      </c>
      <c r="S584" s="542"/>
      <c r="T584" s="445" t="e">
        <f t="shared" si="425"/>
        <v>#REF!</v>
      </c>
      <c r="V584" s="581" t="e">
        <f>+#REF!</f>
        <v>#REF!</v>
      </c>
      <c r="W584" s="582" t="e">
        <f t="shared" si="426"/>
        <v>#REF!</v>
      </c>
      <c r="X584" s="581" t="e">
        <f>+#REF!</f>
        <v>#REF!</v>
      </c>
      <c r="Y584" s="582" t="e">
        <f t="shared" si="427"/>
        <v>#REF!</v>
      </c>
      <c r="Z584" s="581" t="e">
        <f>+#REF!</f>
        <v>#REF!</v>
      </c>
      <c r="AA584" s="582" t="e">
        <f t="shared" si="428"/>
        <v>#REF!</v>
      </c>
      <c r="AB584" s="581" t="e">
        <f>+#REF!</f>
        <v>#REF!</v>
      </c>
      <c r="AC584" s="582" t="e">
        <f t="shared" si="429"/>
        <v>#REF!</v>
      </c>
      <c r="AE584" s="769" t="e">
        <f t="shared" si="391"/>
        <v>#REF!</v>
      </c>
    </row>
    <row r="585" spans="1:31" ht="15" hidden="1" customHeight="1" x14ac:dyDescent="0.2">
      <c r="A585" s="611" t="s">
        <v>1589</v>
      </c>
      <c r="B585" s="601" t="s">
        <v>1590</v>
      </c>
      <c r="C585" s="611" t="s">
        <v>130</v>
      </c>
      <c r="D585" s="576">
        <f t="shared" si="417"/>
        <v>0</v>
      </c>
      <c r="E585" s="577" t="e">
        <f t="shared" si="418"/>
        <v>#REF!</v>
      </c>
      <c r="F585" s="577" t="e">
        <f t="shared" si="419"/>
        <v>#REF!</v>
      </c>
      <c r="G585" s="578"/>
      <c r="I585" s="584"/>
      <c r="J585" s="585" t="e">
        <f t="shared" si="420"/>
        <v>#REF!</v>
      </c>
      <c r="K585" s="537"/>
      <c r="L585" s="445" t="e">
        <f t="shared" si="421"/>
        <v>#REF!</v>
      </c>
      <c r="M585" s="542"/>
      <c r="N585" s="445" t="e">
        <f t="shared" si="422"/>
        <v>#REF!</v>
      </c>
      <c r="O585" s="542"/>
      <c r="P585" s="445" t="e">
        <f t="shared" si="423"/>
        <v>#REF!</v>
      </c>
      <c r="Q585" s="542"/>
      <c r="R585" s="445" t="e">
        <f t="shared" si="424"/>
        <v>#REF!</v>
      </c>
      <c r="S585" s="542"/>
      <c r="T585" s="445" t="e">
        <f t="shared" si="425"/>
        <v>#REF!</v>
      </c>
      <c r="V585" s="581" t="e">
        <f>+'12,1,4 Puert Alum dob reja'!I19</f>
        <v>#REF!</v>
      </c>
      <c r="W585" s="582" t="e">
        <f t="shared" si="426"/>
        <v>#REF!</v>
      </c>
      <c r="X585" s="581">
        <f>+'12,1,4 Puert Alum dob reja'!I50</f>
        <v>28550.43</v>
      </c>
      <c r="Y585" s="582">
        <f t="shared" si="427"/>
        <v>0</v>
      </c>
      <c r="Z585" s="581">
        <f>+'12,1,4 Puert Alum dob reja'!I30</f>
        <v>6501.19</v>
      </c>
      <c r="AA585" s="582">
        <f t="shared" si="428"/>
        <v>0</v>
      </c>
      <c r="AB585" s="581">
        <f>+'12,1,4 Puert Alum dob reja'!I41</f>
        <v>0</v>
      </c>
      <c r="AC585" s="582">
        <f t="shared" si="429"/>
        <v>0</v>
      </c>
      <c r="AE585" s="769" t="e">
        <f t="shared" si="391"/>
        <v>#REF!</v>
      </c>
    </row>
    <row r="586" spans="1:31" ht="15" customHeight="1" x14ac:dyDescent="0.2">
      <c r="A586" s="611" t="s">
        <v>1591</v>
      </c>
      <c r="B586" s="601" t="s">
        <v>1592</v>
      </c>
      <c r="C586" s="611" t="s">
        <v>130</v>
      </c>
      <c r="D586" s="576">
        <f t="shared" si="417"/>
        <v>56</v>
      </c>
      <c r="E586" s="577" t="e">
        <f t="shared" si="418"/>
        <v>#REF!</v>
      </c>
      <c r="F586" s="577" t="e">
        <f t="shared" si="419"/>
        <v>#REF!</v>
      </c>
      <c r="G586" s="578"/>
      <c r="I586" s="584"/>
      <c r="J586" s="585" t="e">
        <f t="shared" si="420"/>
        <v>#REF!</v>
      </c>
      <c r="K586" s="537">
        <f>30+20.8</f>
        <v>50.8</v>
      </c>
      <c r="L586" s="445" t="e">
        <f t="shared" si="421"/>
        <v>#REF!</v>
      </c>
      <c r="M586" s="542">
        <v>5.2</v>
      </c>
      <c r="N586" s="445" t="e">
        <f t="shared" si="422"/>
        <v>#REF!</v>
      </c>
      <c r="O586" s="542"/>
      <c r="P586" s="445" t="e">
        <f t="shared" si="423"/>
        <v>#REF!</v>
      </c>
      <c r="Q586" s="542"/>
      <c r="R586" s="445" t="e">
        <f t="shared" si="424"/>
        <v>#REF!</v>
      </c>
      <c r="S586" s="542"/>
      <c r="T586" s="445" t="e">
        <f t="shared" si="425"/>
        <v>#REF!</v>
      </c>
      <c r="V586" s="581" t="e">
        <f>+#REF!</f>
        <v>#REF!</v>
      </c>
      <c r="W586" s="582" t="e">
        <f t="shared" si="426"/>
        <v>#REF!</v>
      </c>
      <c r="X586" s="581" t="e">
        <f>+#REF!</f>
        <v>#REF!</v>
      </c>
      <c r="Y586" s="582" t="e">
        <f t="shared" si="427"/>
        <v>#REF!</v>
      </c>
      <c r="Z586" s="581" t="e">
        <f>+#REF!</f>
        <v>#REF!</v>
      </c>
      <c r="AA586" s="582" t="e">
        <f t="shared" si="428"/>
        <v>#REF!</v>
      </c>
      <c r="AB586" s="581" t="e">
        <f>+#REF!</f>
        <v>#REF!</v>
      </c>
      <c r="AC586" s="582" t="e">
        <f t="shared" si="429"/>
        <v>#REF!</v>
      </c>
      <c r="AE586" s="769" t="e">
        <f t="shared" si="391"/>
        <v>#REF!</v>
      </c>
    </row>
    <row r="587" spans="1:31" ht="15" customHeight="1" x14ac:dyDescent="0.2">
      <c r="A587" s="611" t="s">
        <v>1593</v>
      </c>
      <c r="B587" s="601" t="s">
        <v>1594</v>
      </c>
      <c r="C587" s="611" t="s">
        <v>111</v>
      </c>
      <c r="D587" s="576">
        <f t="shared" si="417"/>
        <v>17</v>
      </c>
      <c r="E587" s="577" t="e">
        <f t="shared" si="418"/>
        <v>#REF!</v>
      </c>
      <c r="F587" s="577" t="e">
        <f t="shared" si="419"/>
        <v>#REF!</v>
      </c>
      <c r="G587" s="578"/>
      <c r="I587" s="597"/>
      <c r="J587" s="598" t="e">
        <f t="shared" si="420"/>
        <v>#REF!</v>
      </c>
      <c r="K587" s="537"/>
      <c r="L587" s="445" t="e">
        <f t="shared" si="421"/>
        <v>#REF!</v>
      </c>
      <c r="M587" s="542">
        <v>1</v>
      </c>
      <c r="N587" s="445" t="e">
        <f t="shared" si="422"/>
        <v>#REF!</v>
      </c>
      <c r="O587" s="542">
        <v>16</v>
      </c>
      <c r="P587" s="445" t="e">
        <f t="shared" si="423"/>
        <v>#REF!</v>
      </c>
      <c r="Q587" s="542"/>
      <c r="R587" s="445" t="e">
        <f t="shared" si="424"/>
        <v>#REF!</v>
      </c>
      <c r="S587" s="542"/>
      <c r="T587" s="445" t="e">
        <f t="shared" si="425"/>
        <v>#REF!</v>
      </c>
      <c r="V587" s="581" t="e">
        <f>+#REF!</f>
        <v>#REF!</v>
      </c>
      <c r="W587" s="582" t="e">
        <f t="shared" si="426"/>
        <v>#REF!</v>
      </c>
      <c r="X587" s="581" t="e">
        <f>+#REF!</f>
        <v>#REF!</v>
      </c>
      <c r="Y587" s="582" t="e">
        <f t="shared" si="427"/>
        <v>#REF!</v>
      </c>
      <c r="Z587" s="581" t="e">
        <f>+#REF!</f>
        <v>#REF!</v>
      </c>
      <c r="AA587" s="582" t="e">
        <f t="shared" si="428"/>
        <v>#REF!</v>
      </c>
      <c r="AB587" s="581" t="e">
        <f>+#REF!</f>
        <v>#REF!</v>
      </c>
      <c r="AC587" s="582" t="e">
        <f t="shared" si="429"/>
        <v>#REF!</v>
      </c>
      <c r="AE587" s="769" t="e">
        <f t="shared" si="391"/>
        <v>#REF!</v>
      </c>
    </row>
    <row r="588" spans="1:31" ht="15" hidden="1" customHeight="1" x14ac:dyDescent="0.2">
      <c r="A588" s="611" t="s">
        <v>1595</v>
      </c>
      <c r="B588" s="601" t="s">
        <v>1596</v>
      </c>
      <c r="C588" s="611" t="s">
        <v>114</v>
      </c>
      <c r="D588" s="576">
        <f t="shared" si="417"/>
        <v>0</v>
      </c>
      <c r="E588" s="577" t="e">
        <f t="shared" si="418"/>
        <v>#REF!</v>
      </c>
      <c r="F588" s="577" t="e">
        <f t="shared" si="419"/>
        <v>#REF!</v>
      </c>
      <c r="G588" s="578"/>
      <c r="I588" s="633"/>
      <c r="J588" s="648"/>
      <c r="K588" s="537"/>
      <c r="L588" s="445" t="e">
        <f t="shared" si="421"/>
        <v>#REF!</v>
      </c>
      <c r="M588" s="542"/>
      <c r="N588" s="445" t="e">
        <f t="shared" si="422"/>
        <v>#REF!</v>
      </c>
      <c r="O588" s="542"/>
      <c r="P588" s="445" t="e">
        <f t="shared" si="423"/>
        <v>#REF!</v>
      </c>
      <c r="Q588" s="542"/>
      <c r="R588" s="445" t="e">
        <f t="shared" si="424"/>
        <v>#REF!</v>
      </c>
      <c r="S588" s="542"/>
      <c r="T588" s="445" t="e">
        <f t="shared" si="425"/>
        <v>#REF!</v>
      </c>
      <c r="V588" s="581" t="e">
        <f>+'12,1,7 PERGOLAS ALUM'!I19</f>
        <v>#REF!</v>
      </c>
      <c r="W588" s="582" t="e">
        <f t="shared" si="426"/>
        <v>#REF!</v>
      </c>
      <c r="X588" s="581">
        <f>+'12,1,7 PERGOLAS ALUM'!I50</f>
        <v>13051.63</v>
      </c>
      <c r="Y588" s="582">
        <f t="shared" si="427"/>
        <v>0</v>
      </c>
      <c r="Z588" s="581">
        <f>+'12,1,7 PERGOLAS ALUM'!I30</f>
        <v>327.49</v>
      </c>
      <c r="AA588" s="582">
        <f t="shared" si="428"/>
        <v>0</v>
      </c>
      <c r="AB588" s="581"/>
      <c r="AC588" s="582">
        <f t="shared" si="429"/>
        <v>0</v>
      </c>
      <c r="AE588" s="769" t="e">
        <f t="shared" si="391"/>
        <v>#REF!</v>
      </c>
    </row>
    <row r="589" spans="1:31" ht="15" customHeight="1" x14ac:dyDescent="0.2">
      <c r="A589" s="611" t="s">
        <v>1597</v>
      </c>
      <c r="B589" s="649" t="s">
        <v>1598</v>
      </c>
      <c r="C589" s="611" t="s">
        <v>130</v>
      </c>
      <c r="D589" s="576">
        <f t="shared" si="417"/>
        <v>3</v>
      </c>
      <c r="E589" s="577" t="e">
        <f t="shared" si="418"/>
        <v>#REF!</v>
      </c>
      <c r="F589" s="577" t="e">
        <f t="shared" si="419"/>
        <v>#REF!</v>
      </c>
      <c r="G589" s="578"/>
      <c r="I589" s="633"/>
      <c r="J589" s="648"/>
      <c r="K589" s="537"/>
      <c r="L589" s="445" t="e">
        <f t="shared" si="421"/>
        <v>#REF!</v>
      </c>
      <c r="M589" s="542"/>
      <c r="N589" s="445" t="e">
        <f t="shared" si="422"/>
        <v>#REF!</v>
      </c>
      <c r="O589" s="542">
        <v>3</v>
      </c>
      <c r="P589" s="445" t="e">
        <f t="shared" si="423"/>
        <v>#REF!</v>
      </c>
      <c r="Q589" s="542"/>
      <c r="R589" s="445" t="e">
        <f t="shared" si="424"/>
        <v>#REF!</v>
      </c>
      <c r="S589" s="542"/>
      <c r="T589" s="445" t="e">
        <f t="shared" si="425"/>
        <v>#REF!</v>
      </c>
      <c r="V589" s="581" t="e">
        <f>+#REF!</f>
        <v>#REF!</v>
      </c>
      <c r="W589" s="582" t="e">
        <f t="shared" si="426"/>
        <v>#REF!</v>
      </c>
      <c r="X589" s="581" t="e">
        <f>+#REF!</f>
        <v>#REF!</v>
      </c>
      <c r="Y589" s="582" t="e">
        <f t="shared" si="427"/>
        <v>#REF!</v>
      </c>
      <c r="Z589" s="581" t="e">
        <f>+#REF!</f>
        <v>#REF!</v>
      </c>
      <c r="AA589" s="582" t="e">
        <f t="shared" si="428"/>
        <v>#REF!</v>
      </c>
      <c r="AB589" s="581" t="e">
        <f>+#REF!</f>
        <v>#REF!</v>
      </c>
      <c r="AC589" s="582" t="e">
        <f t="shared" si="429"/>
        <v>#REF!</v>
      </c>
      <c r="AE589" s="769" t="e">
        <f t="shared" si="391"/>
        <v>#REF!</v>
      </c>
    </row>
    <row r="590" spans="1:31" ht="15" hidden="1" customHeight="1" x14ac:dyDescent="0.2">
      <c r="A590" s="611" t="s">
        <v>1599</v>
      </c>
      <c r="B590" s="601" t="s">
        <v>1600</v>
      </c>
      <c r="C590" s="611" t="s">
        <v>114</v>
      </c>
      <c r="D590" s="576">
        <f t="shared" si="417"/>
        <v>0</v>
      </c>
      <c r="E590" s="577" t="e">
        <f t="shared" si="418"/>
        <v>#REF!</v>
      </c>
      <c r="F590" s="577" t="e">
        <f t="shared" si="419"/>
        <v>#REF!</v>
      </c>
      <c r="G590" s="578"/>
      <c r="I590" s="633"/>
      <c r="J590" s="648"/>
      <c r="K590" s="537"/>
      <c r="L590" s="445" t="e">
        <f t="shared" si="421"/>
        <v>#REF!</v>
      </c>
      <c r="M590" s="542"/>
      <c r="N590" s="445" t="e">
        <f t="shared" si="422"/>
        <v>#REF!</v>
      </c>
      <c r="O590" s="542"/>
      <c r="P590" s="445" t="e">
        <f t="shared" si="423"/>
        <v>#REF!</v>
      </c>
      <c r="Q590" s="542"/>
      <c r="R590" s="445" t="e">
        <f t="shared" si="424"/>
        <v>#REF!</v>
      </c>
      <c r="S590" s="542"/>
      <c r="T590" s="445" t="e">
        <f t="shared" si="425"/>
        <v>#REF!</v>
      </c>
      <c r="V590" s="581" t="e">
        <f>+'12,1,9 BARANDA EN ALUMINIO'!I20</f>
        <v>#REF!</v>
      </c>
      <c r="W590" s="582" t="e">
        <f t="shared" si="426"/>
        <v>#REF!</v>
      </c>
      <c r="X590" s="581">
        <f>+'12,1,9 BARANDA EN ALUMINIO'!I51</f>
        <v>30453.79</v>
      </c>
      <c r="Y590" s="582">
        <f t="shared" si="427"/>
        <v>0</v>
      </c>
      <c r="Z590" s="581">
        <f>+'12,1,9 BARANDA EN ALUMINIO'!I31</f>
        <v>327.49</v>
      </c>
      <c r="AA590" s="582">
        <f t="shared" si="428"/>
        <v>0</v>
      </c>
      <c r="AB590" s="581">
        <f>+'12,1,9 BARANDA EN ALUMINIO'!I42</f>
        <v>0</v>
      </c>
      <c r="AC590" s="582">
        <f t="shared" si="429"/>
        <v>0</v>
      </c>
      <c r="AE590" s="769" t="e">
        <f t="shared" si="391"/>
        <v>#REF!</v>
      </c>
    </row>
    <row r="591" spans="1:31" ht="15" customHeight="1" x14ac:dyDescent="0.2">
      <c r="A591" s="572" t="s">
        <v>1601</v>
      </c>
      <c r="B591" s="573" t="s">
        <v>1602</v>
      </c>
      <c r="C591" s="846"/>
      <c r="D591" s="576"/>
      <c r="E591" s="577"/>
      <c r="F591" s="180"/>
      <c r="G591" s="473"/>
      <c r="H591" s="568"/>
      <c r="I591" s="613"/>
      <c r="J591" s="652"/>
      <c r="K591" s="537"/>
      <c r="L591" s="445"/>
      <c r="M591" s="542"/>
      <c r="N591" s="445"/>
      <c r="O591" s="542"/>
      <c r="P591" s="445"/>
      <c r="Q591" s="542"/>
      <c r="R591" s="445"/>
      <c r="S591" s="542"/>
      <c r="T591" s="445"/>
      <c r="U591" s="568"/>
      <c r="V591" s="575"/>
      <c r="W591" s="582"/>
      <c r="X591" s="575"/>
      <c r="Y591" s="570"/>
      <c r="Z591" s="575"/>
      <c r="AA591" s="570"/>
      <c r="AB591" s="575"/>
      <c r="AC591" s="570"/>
      <c r="AE591" s="769">
        <f t="shared" si="391"/>
        <v>0</v>
      </c>
    </row>
    <row r="592" spans="1:31" ht="15" hidden="1" customHeight="1" x14ac:dyDescent="0.2">
      <c r="A592" s="572" t="s">
        <v>1603</v>
      </c>
      <c r="B592" s="573" t="s">
        <v>1604</v>
      </c>
      <c r="C592" s="846"/>
      <c r="D592" s="576"/>
      <c r="E592" s="577"/>
      <c r="F592" s="626" t="e">
        <f>+ROUND(SUM(F593:F601),10)</f>
        <v>#REF!</v>
      </c>
      <c r="G592" s="473"/>
      <c r="H592" s="568"/>
      <c r="I592" s="633"/>
      <c r="J592" s="441" t="e">
        <f>ROUND(SUM(J593:J601),10)</f>
        <v>#REF!</v>
      </c>
      <c r="K592" s="537"/>
      <c r="L592" s="180" t="e">
        <f>ROUND(SUM(L593:L601),10)</f>
        <v>#REF!</v>
      </c>
      <c r="M592" s="542"/>
      <c r="N592" s="180" t="e">
        <f>ROUND(SUM(N593:N601),10)</f>
        <v>#REF!</v>
      </c>
      <c r="O592" s="542"/>
      <c r="P592" s="180" t="e">
        <f>ROUND(SUM(P593:P601),10)</f>
        <v>#REF!</v>
      </c>
      <c r="Q592" s="542"/>
      <c r="R592" s="180" t="e">
        <f>ROUND(SUM(R593:R601),10)</f>
        <v>#REF!</v>
      </c>
      <c r="S592" s="542"/>
      <c r="T592" s="180" t="e">
        <f>ROUND(SUM(T593:T601),10)</f>
        <v>#REF!</v>
      </c>
      <c r="U592" s="568"/>
      <c r="V592" s="575"/>
      <c r="W592" s="570" t="e">
        <f>ROUND(SUM(W593:W601),10)</f>
        <v>#REF!</v>
      </c>
      <c r="X592" s="575"/>
      <c r="Y592" s="570">
        <f>ROUND(SUM(Y593:Y601),10)</f>
        <v>0</v>
      </c>
      <c r="Z592" s="575"/>
      <c r="AA592" s="570">
        <f>ROUND(SUM(AA593:AA601),10)</f>
        <v>0</v>
      </c>
      <c r="AB592" s="575"/>
      <c r="AC592" s="570">
        <f>ROUND(SUM(AC593:AC601),10)</f>
        <v>0</v>
      </c>
      <c r="AE592" s="769" t="e">
        <f t="shared" si="391"/>
        <v>#REF!</v>
      </c>
    </row>
    <row r="593" spans="1:31" ht="15" hidden="1" customHeight="1" x14ac:dyDescent="0.2">
      <c r="A593" s="611" t="s">
        <v>1605</v>
      </c>
      <c r="B593" s="601" t="s">
        <v>1606</v>
      </c>
      <c r="C593" s="611" t="s">
        <v>114</v>
      </c>
      <c r="D593" s="576">
        <f t="shared" ref="D593:D601" si="430">+I593+K593+M593+O593+Q593+S593</f>
        <v>0</v>
      </c>
      <c r="E593" s="577" t="e">
        <f t="shared" si="418"/>
        <v>#REF!</v>
      </c>
      <c r="F593" s="577" t="e">
        <f t="shared" ref="F593:F601" si="431">ROUND(D593*E593,10)</f>
        <v>#REF!</v>
      </c>
      <c r="G593" s="578"/>
      <c r="I593" s="594"/>
      <c r="J593" s="580" t="e">
        <f t="shared" ref="J593:J601" si="432">+ROUND(E593*I593,10)</f>
        <v>#REF!</v>
      </c>
      <c r="K593" s="537"/>
      <c r="L593" s="445" t="e">
        <f t="shared" ref="L593:L601" si="433">+ROUND(E593*K593,10)</f>
        <v>#REF!</v>
      </c>
      <c r="M593" s="542"/>
      <c r="N593" s="445" t="e">
        <f t="shared" ref="N593:N601" si="434">+ROUND(E593*M593,10)</f>
        <v>#REF!</v>
      </c>
      <c r="O593" s="542"/>
      <c r="P593" s="445" t="e">
        <f t="shared" ref="P593:P601" si="435">+ROUND(E593*O593,10)</f>
        <v>#REF!</v>
      </c>
      <c r="Q593" s="542"/>
      <c r="R593" s="445" t="e">
        <f t="shared" ref="R593:R601" si="436">+ROUND(E593*Q593,10)</f>
        <v>#REF!</v>
      </c>
      <c r="S593" s="542"/>
      <c r="T593" s="445" t="e">
        <f t="shared" ref="T593:T601" si="437">+ROUND(E593*S593,10)</f>
        <v>#REF!</v>
      </c>
      <c r="V593" s="581" t="e">
        <f>+'12,2,1,1 Marcos puerta'!I19</f>
        <v>#REF!</v>
      </c>
      <c r="W593" s="582" t="e">
        <f t="shared" ref="W593:W601" si="438">ROUND(V593*$D593,10)</f>
        <v>#REF!</v>
      </c>
      <c r="X593" s="581">
        <f>+'12,2,1,1 Marcos puerta'!I50</f>
        <v>5386.87</v>
      </c>
      <c r="Y593" s="582">
        <f t="shared" ref="Y593:Y601" si="439">ROUND(X593*$D593,10)</f>
        <v>0</v>
      </c>
      <c r="Z593" s="581">
        <f>+'12,2,1,1 Marcos puerta'!I30</f>
        <v>4709.43</v>
      </c>
      <c r="AA593" s="582">
        <f t="shared" ref="AA593:AA601" si="440">ROUND(Z593*$D593,10)</f>
        <v>0</v>
      </c>
      <c r="AB593" s="581"/>
      <c r="AC593" s="582">
        <f t="shared" ref="AC593:AC601" si="441">ROUND(AB593*$D593,10)</f>
        <v>0</v>
      </c>
      <c r="AE593" s="769" t="e">
        <f t="shared" si="391"/>
        <v>#REF!</v>
      </c>
    </row>
    <row r="594" spans="1:31" ht="15" hidden="1" customHeight="1" x14ac:dyDescent="0.2">
      <c r="A594" s="611" t="s">
        <v>1607</v>
      </c>
      <c r="B594" s="610" t="s">
        <v>1608</v>
      </c>
      <c r="C594" s="627" t="s">
        <v>130</v>
      </c>
      <c r="D594" s="576">
        <f t="shared" si="430"/>
        <v>0</v>
      </c>
      <c r="E594" s="577" t="e">
        <f t="shared" si="418"/>
        <v>#REF!</v>
      </c>
      <c r="F594" s="577" t="e">
        <f t="shared" si="431"/>
        <v>#REF!</v>
      </c>
      <c r="G594" s="578"/>
      <c r="I594" s="584"/>
      <c r="J594" s="585" t="e">
        <f t="shared" si="432"/>
        <v>#REF!</v>
      </c>
      <c r="K594" s="537"/>
      <c r="L594" s="445" t="e">
        <f t="shared" si="433"/>
        <v>#REF!</v>
      </c>
      <c r="M594" s="542"/>
      <c r="N594" s="445" t="e">
        <f t="shared" si="434"/>
        <v>#REF!</v>
      </c>
      <c r="O594" s="542"/>
      <c r="P594" s="445" t="e">
        <f t="shared" si="435"/>
        <v>#REF!</v>
      </c>
      <c r="Q594" s="542"/>
      <c r="R594" s="445" t="e">
        <f t="shared" si="436"/>
        <v>#REF!</v>
      </c>
      <c r="S594" s="542"/>
      <c r="T594" s="445" t="e">
        <f t="shared" si="437"/>
        <v>#REF!</v>
      </c>
      <c r="V594" s="581" t="e">
        <f>+'12,2,1,2 Puerta Sencilla'!I19</f>
        <v>#REF!</v>
      </c>
      <c r="W594" s="582" t="e">
        <f t="shared" si="438"/>
        <v>#REF!</v>
      </c>
      <c r="X594" s="581">
        <f>+'12,2,1,2 Puerta Sencilla'!I50</f>
        <v>47883.33</v>
      </c>
      <c r="Y594" s="582">
        <f t="shared" si="439"/>
        <v>0</v>
      </c>
      <c r="Z594" s="581">
        <f>+'12,2,1,2 Puerta Sencilla'!I30</f>
        <v>10730.380000000001</v>
      </c>
      <c r="AA594" s="582">
        <f t="shared" si="440"/>
        <v>0</v>
      </c>
      <c r="AB594" s="581"/>
      <c r="AC594" s="582">
        <f t="shared" si="441"/>
        <v>0</v>
      </c>
      <c r="AE594" s="769" t="e">
        <f t="shared" ref="AE594:AE657" si="442">SUM(AC594,AA594,Y594,W594)-SUM(T594,R594,P594,N594,L594)</f>
        <v>#REF!</v>
      </c>
    </row>
    <row r="595" spans="1:31" ht="15" hidden="1" customHeight="1" x14ac:dyDescent="0.2">
      <c r="A595" s="611" t="s">
        <v>1609</v>
      </c>
      <c r="B595" s="610" t="s">
        <v>1610</v>
      </c>
      <c r="C595" s="627" t="s">
        <v>130</v>
      </c>
      <c r="D595" s="576">
        <f t="shared" si="430"/>
        <v>0</v>
      </c>
      <c r="E595" s="577" t="e">
        <f t="shared" si="418"/>
        <v>#REF!</v>
      </c>
      <c r="F595" s="577" t="e">
        <f t="shared" si="431"/>
        <v>#REF!</v>
      </c>
      <c r="G595" s="578"/>
      <c r="I595" s="584"/>
      <c r="J595" s="585" t="e">
        <f t="shared" si="432"/>
        <v>#REF!</v>
      </c>
      <c r="K595" s="537"/>
      <c r="L595" s="445" t="e">
        <f t="shared" si="433"/>
        <v>#REF!</v>
      </c>
      <c r="M595" s="542"/>
      <c r="N595" s="445" t="e">
        <f t="shared" si="434"/>
        <v>#REF!</v>
      </c>
      <c r="O595" s="542"/>
      <c r="P595" s="445" t="e">
        <f t="shared" si="435"/>
        <v>#REF!</v>
      </c>
      <c r="Q595" s="542"/>
      <c r="R595" s="445" t="e">
        <f t="shared" si="436"/>
        <v>#REF!</v>
      </c>
      <c r="S595" s="542"/>
      <c r="T595" s="445" t="e">
        <f t="shared" si="437"/>
        <v>#REF!</v>
      </c>
      <c r="V595" s="581" t="e">
        <f>+'12,2,1,3 Ventana'!I19</f>
        <v>#REF!</v>
      </c>
      <c r="W595" s="582" t="e">
        <f t="shared" si="438"/>
        <v>#REF!</v>
      </c>
      <c r="X595" s="581">
        <f>+'12,2,1,3 Ventana'!I50</f>
        <v>40655.65</v>
      </c>
      <c r="Y595" s="582">
        <f t="shared" si="439"/>
        <v>0</v>
      </c>
      <c r="Z595" s="581">
        <f>+'12,2,1,3 Ventana'!I30</f>
        <v>10730.380000000001</v>
      </c>
      <c r="AA595" s="582">
        <f t="shared" si="440"/>
        <v>0</v>
      </c>
      <c r="AB595" s="581"/>
      <c r="AC595" s="582">
        <f t="shared" si="441"/>
        <v>0</v>
      </c>
      <c r="AE595" s="769" t="e">
        <f t="shared" si="442"/>
        <v>#REF!</v>
      </c>
    </row>
    <row r="596" spans="1:31" ht="15" hidden="1" customHeight="1" x14ac:dyDescent="0.2">
      <c r="A596" s="611" t="s">
        <v>1611</v>
      </c>
      <c r="B596" s="601" t="s">
        <v>1612</v>
      </c>
      <c r="C596" s="611" t="s">
        <v>130</v>
      </c>
      <c r="D596" s="576">
        <f t="shared" si="430"/>
        <v>0</v>
      </c>
      <c r="E596" s="577">
        <f t="shared" si="418"/>
        <v>0</v>
      </c>
      <c r="F596" s="577">
        <f t="shared" si="431"/>
        <v>0</v>
      </c>
      <c r="G596" s="578"/>
      <c r="I596" s="584"/>
      <c r="J596" s="585">
        <f t="shared" si="432"/>
        <v>0</v>
      </c>
      <c r="K596" s="537"/>
      <c r="L596" s="445">
        <f t="shared" si="433"/>
        <v>0</v>
      </c>
      <c r="M596" s="542"/>
      <c r="N596" s="445">
        <f t="shared" si="434"/>
        <v>0</v>
      </c>
      <c r="O596" s="542"/>
      <c r="P596" s="445">
        <f t="shared" si="435"/>
        <v>0</v>
      </c>
      <c r="Q596" s="542"/>
      <c r="R596" s="445">
        <f t="shared" si="436"/>
        <v>0</v>
      </c>
      <c r="S596" s="542"/>
      <c r="T596" s="445">
        <f t="shared" si="437"/>
        <v>0</v>
      </c>
      <c r="V596" s="581"/>
      <c r="W596" s="582">
        <f t="shared" si="438"/>
        <v>0</v>
      </c>
      <c r="X596" s="581"/>
      <c r="Y596" s="582">
        <f t="shared" si="439"/>
        <v>0</v>
      </c>
      <c r="Z596" s="581"/>
      <c r="AA596" s="582">
        <f t="shared" si="440"/>
        <v>0</v>
      </c>
      <c r="AB596" s="581"/>
      <c r="AC596" s="582">
        <f t="shared" si="441"/>
        <v>0</v>
      </c>
      <c r="AE596" s="769">
        <f t="shared" si="442"/>
        <v>0</v>
      </c>
    </row>
    <row r="597" spans="1:31" ht="15" hidden="1" customHeight="1" x14ac:dyDescent="0.2">
      <c r="A597" s="611" t="s">
        <v>1613</v>
      </c>
      <c r="B597" s="601" t="s">
        <v>1614</v>
      </c>
      <c r="C597" s="611" t="s">
        <v>111</v>
      </c>
      <c r="D597" s="576">
        <f t="shared" si="430"/>
        <v>0</v>
      </c>
      <c r="E597" s="577" t="e">
        <f t="shared" si="418"/>
        <v>#REF!</v>
      </c>
      <c r="F597" s="577" t="e">
        <f t="shared" si="431"/>
        <v>#REF!</v>
      </c>
      <c r="G597" s="578"/>
      <c r="I597" s="584"/>
      <c r="J597" s="585" t="e">
        <f t="shared" si="432"/>
        <v>#REF!</v>
      </c>
      <c r="K597" s="537"/>
      <c r="L597" s="445" t="e">
        <f t="shared" si="433"/>
        <v>#REF!</v>
      </c>
      <c r="M597" s="542"/>
      <c r="N597" s="445" t="e">
        <f t="shared" si="434"/>
        <v>#REF!</v>
      </c>
      <c r="O597" s="542"/>
      <c r="P597" s="445" t="e">
        <f t="shared" si="435"/>
        <v>#REF!</v>
      </c>
      <c r="Q597" s="542"/>
      <c r="R597" s="445" t="e">
        <f t="shared" si="436"/>
        <v>#REF!</v>
      </c>
      <c r="S597" s="542"/>
      <c r="T597" s="445" t="e">
        <f t="shared" si="437"/>
        <v>#REF!</v>
      </c>
      <c r="V597" s="581" t="e">
        <f>+'12,2,1,5 Puertas Emtamborada'!I19</f>
        <v>#REF!</v>
      </c>
      <c r="W597" s="582" t="e">
        <f t="shared" si="438"/>
        <v>#REF!</v>
      </c>
      <c r="X597" s="581">
        <f>+'12,2,1,5 Puertas Emtamborada'!I50</f>
        <v>107737.48</v>
      </c>
      <c r="Y597" s="582">
        <f t="shared" si="439"/>
        <v>0</v>
      </c>
      <c r="Z597" s="581">
        <f>+'12,2,1,5 Puertas Emtamborada'!I30</f>
        <v>52431.839999999997</v>
      </c>
      <c r="AA597" s="582">
        <f t="shared" si="440"/>
        <v>0</v>
      </c>
      <c r="AB597" s="581"/>
      <c r="AC597" s="582">
        <f t="shared" si="441"/>
        <v>0</v>
      </c>
      <c r="AE597" s="769" t="e">
        <f t="shared" si="442"/>
        <v>#REF!</v>
      </c>
    </row>
    <row r="598" spans="1:31" ht="15" hidden="1" customHeight="1" x14ac:dyDescent="0.2">
      <c r="A598" s="611" t="s">
        <v>1615</v>
      </c>
      <c r="B598" s="601" t="s">
        <v>1616</v>
      </c>
      <c r="C598" s="611" t="s">
        <v>130</v>
      </c>
      <c r="D598" s="576">
        <f t="shared" si="430"/>
        <v>0</v>
      </c>
      <c r="E598" s="577">
        <f t="shared" si="418"/>
        <v>0</v>
      </c>
      <c r="F598" s="577">
        <f t="shared" si="431"/>
        <v>0</v>
      </c>
      <c r="G598" s="578"/>
      <c r="I598" s="584"/>
      <c r="J598" s="585">
        <f t="shared" si="432"/>
        <v>0</v>
      </c>
      <c r="K598" s="537"/>
      <c r="L598" s="445">
        <f t="shared" si="433"/>
        <v>0</v>
      </c>
      <c r="M598" s="542"/>
      <c r="N598" s="445">
        <f t="shared" si="434"/>
        <v>0</v>
      </c>
      <c r="O598" s="542"/>
      <c r="P598" s="445">
        <f t="shared" si="435"/>
        <v>0</v>
      </c>
      <c r="Q598" s="542"/>
      <c r="R598" s="445">
        <f t="shared" si="436"/>
        <v>0</v>
      </c>
      <c r="S598" s="542"/>
      <c r="T598" s="445">
        <f t="shared" si="437"/>
        <v>0</v>
      </c>
      <c r="V598" s="581"/>
      <c r="W598" s="582">
        <f t="shared" si="438"/>
        <v>0</v>
      </c>
      <c r="X598" s="581"/>
      <c r="Y598" s="582">
        <f t="shared" si="439"/>
        <v>0</v>
      </c>
      <c r="Z598" s="581"/>
      <c r="AA598" s="582">
        <f t="shared" si="440"/>
        <v>0</v>
      </c>
      <c r="AB598" s="581"/>
      <c r="AC598" s="582">
        <f t="shared" si="441"/>
        <v>0</v>
      </c>
      <c r="AE598" s="769">
        <f t="shared" si="442"/>
        <v>0</v>
      </c>
    </row>
    <row r="599" spans="1:31" ht="15" hidden="1" customHeight="1" x14ac:dyDescent="0.2">
      <c r="A599" s="611" t="s">
        <v>1617</v>
      </c>
      <c r="B599" s="601" t="s">
        <v>1618</v>
      </c>
      <c r="C599" s="611" t="s">
        <v>130</v>
      </c>
      <c r="D599" s="576">
        <f t="shared" si="430"/>
        <v>0</v>
      </c>
      <c r="E599" s="577">
        <f t="shared" si="418"/>
        <v>0</v>
      </c>
      <c r="F599" s="577">
        <f t="shared" si="431"/>
        <v>0</v>
      </c>
      <c r="G599" s="578"/>
      <c r="I599" s="584"/>
      <c r="J599" s="585">
        <f t="shared" si="432"/>
        <v>0</v>
      </c>
      <c r="K599" s="537"/>
      <c r="L599" s="445">
        <f t="shared" si="433"/>
        <v>0</v>
      </c>
      <c r="M599" s="542"/>
      <c r="N599" s="445">
        <f t="shared" si="434"/>
        <v>0</v>
      </c>
      <c r="O599" s="542"/>
      <c r="P599" s="445">
        <f t="shared" si="435"/>
        <v>0</v>
      </c>
      <c r="Q599" s="542"/>
      <c r="R599" s="445">
        <f t="shared" si="436"/>
        <v>0</v>
      </c>
      <c r="S599" s="542"/>
      <c r="T599" s="445">
        <f t="shared" si="437"/>
        <v>0</v>
      </c>
      <c r="V599" s="581"/>
      <c r="W599" s="582">
        <f t="shared" si="438"/>
        <v>0</v>
      </c>
      <c r="X599" s="581"/>
      <c r="Y599" s="582">
        <f t="shared" si="439"/>
        <v>0</v>
      </c>
      <c r="Z599" s="581"/>
      <c r="AA599" s="582">
        <f t="shared" si="440"/>
        <v>0</v>
      </c>
      <c r="AB599" s="581"/>
      <c r="AC599" s="582">
        <f t="shared" si="441"/>
        <v>0</v>
      </c>
      <c r="AE599" s="769">
        <f t="shared" si="442"/>
        <v>0</v>
      </c>
    </row>
    <row r="600" spans="1:31" ht="15" hidden="1" customHeight="1" x14ac:dyDescent="0.2">
      <c r="A600" s="611" t="s">
        <v>1619</v>
      </c>
      <c r="B600" s="601" t="s">
        <v>1620</v>
      </c>
      <c r="C600" s="611" t="s">
        <v>130</v>
      </c>
      <c r="D600" s="576">
        <f t="shared" si="430"/>
        <v>0</v>
      </c>
      <c r="E600" s="577">
        <f t="shared" si="418"/>
        <v>0</v>
      </c>
      <c r="F600" s="577">
        <f t="shared" si="431"/>
        <v>0</v>
      </c>
      <c r="G600" s="578"/>
      <c r="I600" s="584"/>
      <c r="J600" s="585">
        <f t="shared" si="432"/>
        <v>0</v>
      </c>
      <c r="K600" s="537"/>
      <c r="L600" s="445">
        <f t="shared" si="433"/>
        <v>0</v>
      </c>
      <c r="M600" s="542"/>
      <c r="N600" s="445">
        <f t="shared" si="434"/>
        <v>0</v>
      </c>
      <c r="O600" s="542"/>
      <c r="P600" s="445">
        <f t="shared" si="435"/>
        <v>0</v>
      </c>
      <c r="Q600" s="542"/>
      <c r="R600" s="445">
        <f t="shared" si="436"/>
        <v>0</v>
      </c>
      <c r="S600" s="542"/>
      <c r="T600" s="445">
        <f t="shared" si="437"/>
        <v>0</v>
      </c>
      <c r="V600" s="581"/>
      <c r="W600" s="582">
        <f t="shared" si="438"/>
        <v>0</v>
      </c>
      <c r="X600" s="581"/>
      <c r="Y600" s="582">
        <f t="shared" si="439"/>
        <v>0</v>
      </c>
      <c r="Z600" s="581"/>
      <c r="AA600" s="582">
        <f t="shared" si="440"/>
        <v>0</v>
      </c>
      <c r="AB600" s="581"/>
      <c r="AC600" s="582">
        <f t="shared" si="441"/>
        <v>0</v>
      </c>
      <c r="AE600" s="769">
        <f t="shared" si="442"/>
        <v>0</v>
      </c>
    </row>
    <row r="601" spans="1:31" ht="15" hidden="1" customHeight="1" x14ac:dyDescent="0.2">
      <c r="A601" s="611" t="s">
        <v>1621</v>
      </c>
      <c r="B601" s="601" t="s">
        <v>1622</v>
      </c>
      <c r="C601" s="611" t="s">
        <v>130</v>
      </c>
      <c r="D601" s="576">
        <f t="shared" si="430"/>
        <v>0</v>
      </c>
      <c r="E601" s="577">
        <f t="shared" si="418"/>
        <v>0</v>
      </c>
      <c r="F601" s="577">
        <f t="shared" si="431"/>
        <v>0</v>
      </c>
      <c r="G601" s="578"/>
      <c r="I601" s="597"/>
      <c r="J601" s="598">
        <f t="shared" si="432"/>
        <v>0</v>
      </c>
      <c r="K601" s="537"/>
      <c r="L601" s="445">
        <f t="shared" si="433"/>
        <v>0</v>
      </c>
      <c r="M601" s="542"/>
      <c r="N601" s="445">
        <f t="shared" si="434"/>
        <v>0</v>
      </c>
      <c r="O601" s="542"/>
      <c r="P601" s="445">
        <f t="shared" si="435"/>
        <v>0</v>
      </c>
      <c r="Q601" s="542"/>
      <c r="R601" s="445">
        <f t="shared" si="436"/>
        <v>0</v>
      </c>
      <c r="S601" s="542"/>
      <c r="T601" s="445">
        <f t="shared" si="437"/>
        <v>0</v>
      </c>
      <c r="V601" s="581"/>
      <c r="W601" s="582">
        <f t="shared" si="438"/>
        <v>0</v>
      </c>
      <c r="X601" s="581"/>
      <c r="Y601" s="582">
        <f t="shared" si="439"/>
        <v>0</v>
      </c>
      <c r="Z601" s="581"/>
      <c r="AA601" s="582">
        <f t="shared" si="440"/>
        <v>0</v>
      </c>
      <c r="AB601" s="581"/>
      <c r="AC601" s="582">
        <f t="shared" si="441"/>
        <v>0</v>
      </c>
      <c r="AE601" s="769">
        <f t="shared" si="442"/>
        <v>0</v>
      </c>
    </row>
    <row r="602" spans="1:31" s="595" customFormat="1" ht="15.75" x14ac:dyDescent="0.2">
      <c r="A602" s="572" t="s">
        <v>1623</v>
      </c>
      <c r="B602" s="573" t="s">
        <v>1624</v>
      </c>
      <c r="C602" s="846"/>
      <c r="D602" s="576"/>
      <c r="E602" s="577"/>
      <c r="F602" s="180" t="e">
        <f>+ROUND(SUM(F603:F606),10)</f>
        <v>#REF!</v>
      </c>
      <c r="G602" s="473"/>
      <c r="H602" s="568"/>
      <c r="I602" s="613"/>
      <c r="J602" s="440" t="e">
        <f>ROUND(SUM(J603:J606),10)</f>
        <v>#REF!</v>
      </c>
      <c r="K602" s="537"/>
      <c r="L602" s="180" t="e">
        <f>ROUND(SUM(L603:L606),10)</f>
        <v>#REF!</v>
      </c>
      <c r="M602" s="542"/>
      <c r="N602" s="180" t="e">
        <f>ROUND(SUM(N603:N606),10)</f>
        <v>#REF!</v>
      </c>
      <c r="O602" s="542"/>
      <c r="P602" s="180" t="e">
        <f>ROUND(SUM(P603:P606),10)</f>
        <v>#REF!</v>
      </c>
      <c r="Q602" s="542"/>
      <c r="R602" s="180" t="e">
        <f>ROUND(SUM(R603:R606),10)</f>
        <v>#REF!</v>
      </c>
      <c r="S602" s="542"/>
      <c r="T602" s="180" t="e">
        <f>ROUND(SUM(T603:T606),10)</f>
        <v>#REF!</v>
      </c>
      <c r="U602" s="568"/>
      <c r="V602" s="575"/>
      <c r="W602" s="570" t="e">
        <f>ROUND(SUM(W603:W606),10)</f>
        <v>#REF!</v>
      </c>
      <c r="X602" s="575"/>
      <c r="Y602" s="570" t="e">
        <f>ROUND(SUM(Y603:Y606),10)</f>
        <v>#REF!</v>
      </c>
      <c r="Z602" s="575"/>
      <c r="AA602" s="570" t="e">
        <f>ROUND(SUM(AA603:AA606),10)</f>
        <v>#REF!</v>
      </c>
      <c r="AB602" s="575"/>
      <c r="AC602" s="570">
        <f>ROUND(SUM(AC603:AC606),10)</f>
        <v>0</v>
      </c>
      <c r="AD602" s="912"/>
      <c r="AE602" s="769" t="e">
        <f t="shared" si="442"/>
        <v>#REF!</v>
      </c>
    </row>
    <row r="603" spans="1:31" s="595" customFormat="1" ht="15" hidden="1" customHeight="1" x14ac:dyDescent="0.2">
      <c r="A603" s="611" t="s">
        <v>1625</v>
      </c>
      <c r="B603" s="601" t="s">
        <v>1626</v>
      </c>
      <c r="C603" s="611" t="s">
        <v>114</v>
      </c>
      <c r="D603" s="576">
        <f>+I603+K603+M603+O603+Q603+S603</f>
        <v>0</v>
      </c>
      <c r="E603" s="577" t="e">
        <f t="shared" si="418"/>
        <v>#REF!</v>
      </c>
      <c r="F603" s="577" t="e">
        <f>ROUND(D603*E603,10)</f>
        <v>#REF!</v>
      </c>
      <c r="G603" s="578"/>
      <c r="H603" s="552"/>
      <c r="I603" s="633"/>
      <c r="J603" s="648" t="e">
        <f>+ROUND(E603*I603,10)</f>
        <v>#REF!</v>
      </c>
      <c r="K603" s="537"/>
      <c r="L603" s="445" t="e">
        <f>+ROUND(E603*K603,10)</f>
        <v>#REF!</v>
      </c>
      <c r="M603" s="542"/>
      <c r="N603" s="445" t="e">
        <f>+ROUND(E603*M603,10)</f>
        <v>#REF!</v>
      </c>
      <c r="O603" s="542"/>
      <c r="P603" s="445" t="e">
        <f>+ROUND(E603*O603,10)</f>
        <v>#REF!</v>
      </c>
      <c r="Q603" s="542"/>
      <c r="R603" s="445" t="e">
        <f>+ROUND(E603*Q603,10)</f>
        <v>#REF!</v>
      </c>
      <c r="S603" s="542"/>
      <c r="T603" s="445" t="e">
        <f>+ROUND(E603*S603,10)</f>
        <v>#REF!</v>
      </c>
      <c r="U603" s="552"/>
      <c r="V603" s="581" t="e">
        <f>+'12,2,2,1 Pasamanos '!I19</f>
        <v>#REF!</v>
      </c>
      <c r="W603" s="582" t="e">
        <f>ROUND(V603*$D603,10)</f>
        <v>#REF!</v>
      </c>
      <c r="X603" s="581">
        <f>+'12,2,2,1 Pasamanos '!I50</f>
        <v>17956.25</v>
      </c>
      <c r="Y603" s="582">
        <f>ROUND(X603*$D603,10)</f>
        <v>0</v>
      </c>
      <c r="Z603" s="581">
        <f>+'12,2,2,1 Pasamanos '!I30</f>
        <v>3767.53</v>
      </c>
      <c r="AA603" s="582">
        <f>ROUND(Z603*$D603,10)</f>
        <v>0</v>
      </c>
      <c r="AB603" s="581">
        <f>+'12,2,2,1 Pasamanos '!I41</f>
        <v>0</v>
      </c>
      <c r="AC603" s="582">
        <f>ROUND(AB603*$D603,10)</f>
        <v>0</v>
      </c>
      <c r="AD603" s="912"/>
      <c r="AE603" s="769" t="e">
        <f t="shared" si="442"/>
        <v>#REF!</v>
      </c>
    </row>
    <row r="604" spans="1:31" s="595" customFormat="1" x14ac:dyDescent="0.2">
      <c r="A604" s="611" t="s">
        <v>1627</v>
      </c>
      <c r="B604" s="601" t="s">
        <v>1628</v>
      </c>
      <c r="C604" s="611" t="s">
        <v>114</v>
      </c>
      <c r="D604" s="576">
        <f>+I604+K604+M604+O604+Q604+S604</f>
        <v>27.34</v>
      </c>
      <c r="E604" s="577" t="e">
        <f t="shared" si="418"/>
        <v>#REF!</v>
      </c>
      <c r="F604" s="577" t="e">
        <f>ROUND(D604*E604,10)</f>
        <v>#REF!</v>
      </c>
      <c r="G604" s="578"/>
      <c r="H604" s="552"/>
      <c r="I604" s="594"/>
      <c r="J604" s="580" t="e">
        <f>+ROUND(E604*I604,10)</f>
        <v>#REF!</v>
      </c>
      <c r="K604" s="537"/>
      <c r="L604" s="445" t="e">
        <f>+ROUND(E604*K604,10)</f>
        <v>#REF!</v>
      </c>
      <c r="M604" s="542"/>
      <c r="N604" s="445" t="e">
        <f>+ROUND(E604*M604,10)</f>
        <v>#REF!</v>
      </c>
      <c r="O604" s="542"/>
      <c r="P604" s="445" t="e">
        <f>+ROUND(E604*O604,10)</f>
        <v>#REF!</v>
      </c>
      <c r="Q604" s="542"/>
      <c r="R604" s="445" t="e">
        <f>+ROUND(E604*Q604,10)</f>
        <v>#REF!</v>
      </c>
      <c r="S604" s="542">
        <v>27.34</v>
      </c>
      <c r="T604" s="445" t="e">
        <f>+ROUND(E604*S604,10)</f>
        <v>#REF!</v>
      </c>
      <c r="U604" s="552"/>
      <c r="V604" s="581" t="e">
        <f>+#REF!</f>
        <v>#REF!</v>
      </c>
      <c r="W604" s="582" t="e">
        <f>ROUND(V604*$D604,10)</f>
        <v>#REF!</v>
      </c>
      <c r="X604" s="581" t="e">
        <f>+#REF!</f>
        <v>#REF!</v>
      </c>
      <c r="Y604" s="582" t="e">
        <f>ROUND(X604*$D604,10)</f>
        <v>#REF!</v>
      </c>
      <c r="Z604" s="581" t="e">
        <f>+#REF!</f>
        <v>#REF!</v>
      </c>
      <c r="AA604" s="582" t="e">
        <f>ROUND(Z604*$D604,10)</f>
        <v>#REF!</v>
      </c>
      <c r="AB604" s="581"/>
      <c r="AC604" s="582">
        <f>ROUND(AB604*$D604,10)</f>
        <v>0</v>
      </c>
      <c r="AD604" s="912"/>
      <c r="AE604" s="769" t="e">
        <f t="shared" si="442"/>
        <v>#REF!</v>
      </c>
    </row>
    <row r="605" spans="1:31" s="595" customFormat="1" x14ac:dyDescent="0.2">
      <c r="A605" s="611" t="s">
        <v>1629</v>
      </c>
      <c r="B605" s="601" t="s">
        <v>1630</v>
      </c>
      <c r="C605" s="611" t="s">
        <v>114</v>
      </c>
      <c r="D605" s="576">
        <f>+I605+K605+M605+O605+Q605+S605</f>
        <v>55</v>
      </c>
      <c r="E605" s="577" t="e">
        <f t="shared" si="418"/>
        <v>#REF!</v>
      </c>
      <c r="F605" s="577" t="e">
        <f>ROUND(D605*E605,10)</f>
        <v>#REF!</v>
      </c>
      <c r="G605" s="578"/>
      <c r="H605" s="552"/>
      <c r="I605" s="584"/>
      <c r="J605" s="585" t="e">
        <f>+ROUND(E605*I605,10)</f>
        <v>#REF!</v>
      </c>
      <c r="K605" s="537"/>
      <c r="L605" s="445" t="e">
        <f>+ROUND(E605*K605,10)</f>
        <v>#REF!</v>
      </c>
      <c r="M605" s="542"/>
      <c r="N605" s="445" t="e">
        <f>+ROUND(E605*M605,10)</f>
        <v>#REF!</v>
      </c>
      <c r="O605" s="542"/>
      <c r="P605" s="445" t="e">
        <f>+ROUND(E605*O605,10)</f>
        <v>#REF!</v>
      </c>
      <c r="Q605" s="542">
        <v>55</v>
      </c>
      <c r="R605" s="445" t="e">
        <f>+ROUND(E605*Q605,10)</f>
        <v>#REF!</v>
      </c>
      <c r="S605" s="542"/>
      <c r="T605" s="445" t="e">
        <f>+ROUND(E605*S605,10)</f>
        <v>#REF!</v>
      </c>
      <c r="U605" s="552"/>
      <c r="V605" s="581" t="e">
        <f>+#REF!</f>
        <v>#REF!</v>
      </c>
      <c r="W605" s="582" t="e">
        <f>ROUND(V605*$D605,10)</f>
        <v>#REF!</v>
      </c>
      <c r="X605" s="581" t="e">
        <f>+#REF!</f>
        <v>#REF!</v>
      </c>
      <c r="Y605" s="582" t="e">
        <f>ROUND(X605*$D605,10)</f>
        <v>#REF!</v>
      </c>
      <c r="Z605" s="581" t="e">
        <f>+#REF!</f>
        <v>#REF!</v>
      </c>
      <c r="AA605" s="582" t="e">
        <f>ROUND(Z605*$D605,10)</f>
        <v>#REF!</v>
      </c>
      <c r="AB605" s="581"/>
      <c r="AC605" s="582">
        <f>ROUND(AB605*$D605,10)</f>
        <v>0</v>
      </c>
      <c r="AD605" s="912"/>
      <c r="AE605" s="769" t="e">
        <f t="shared" si="442"/>
        <v>#REF!</v>
      </c>
    </row>
    <row r="606" spans="1:31" s="595" customFormat="1" ht="16.5" hidden="1" customHeight="1" x14ac:dyDescent="0.2">
      <c r="A606" s="611" t="s">
        <v>1631</v>
      </c>
      <c r="B606" s="610" t="s">
        <v>1632</v>
      </c>
      <c r="C606" s="611" t="s">
        <v>114</v>
      </c>
      <c r="D606" s="576">
        <f>+I606+K606+M606+O606+Q606+S606</f>
        <v>0</v>
      </c>
      <c r="E606" s="577" t="e">
        <f t="shared" si="418"/>
        <v>#REF!</v>
      </c>
      <c r="F606" s="577" t="e">
        <f>ROUND(D606*E606,10)</f>
        <v>#REF!</v>
      </c>
      <c r="G606" s="578"/>
      <c r="H606" s="552"/>
      <c r="I606" s="597"/>
      <c r="J606" s="598" t="e">
        <f>+ROUND(E606*I606,10)</f>
        <v>#REF!</v>
      </c>
      <c r="K606" s="537"/>
      <c r="L606" s="445" t="e">
        <f>+ROUND(E606*K606,10)</f>
        <v>#REF!</v>
      </c>
      <c r="M606" s="542"/>
      <c r="N606" s="445" t="e">
        <f>+ROUND(E606*M606,10)</f>
        <v>#REF!</v>
      </c>
      <c r="O606" s="542"/>
      <c r="P606" s="445" t="e">
        <f>+ROUND(E606*O606,10)</f>
        <v>#REF!</v>
      </c>
      <c r="Q606" s="542"/>
      <c r="R606" s="445" t="e">
        <f>+ROUND(E606*Q606,10)</f>
        <v>#REF!</v>
      </c>
      <c r="S606" s="542"/>
      <c r="T606" s="445" t="e">
        <f>+ROUND(E606*S606,10)</f>
        <v>#REF!</v>
      </c>
      <c r="U606" s="552"/>
      <c r="V606" s="581" t="e">
        <f>+' 12,2,2,4 Baranda tubo'!I19</f>
        <v>#REF!</v>
      </c>
      <c r="W606" s="582" t="e">
        <f>ROUND(V606*$D606,10)</f>
        <v>#REF!</v>
      </c>
      <c r="X606" s="581">
        <f>+' 12,2,2,4 Baranda tubo'!I50</f>
        <v>55249.99</v>
      </c>
      <c r="Y606" s="582">
        <f>ROUND(X606*$D606,10)</f>
        <v>0</v>
      </c>
      <c r="Z606" s="581">
        <f>+' 12,2,2,4 Baranda tubo'!I30</f>
        <v>26699.279999999999</v>
      </c>
      <c r="AA606" s="582">
        <f>ROUND(Z606*$D606,10)</f>
        <v>0</v>
      </c>
      <c r="AB606" s="581"/>
      <c r="AC606" s="582">
        <f>ROUND(AB606*$D606,10)</f>
        <v>0</v>
      </c>
      <c r="AD606" s="912"/>
      <c r="AE606" s="769" t="e">
        <f t="shared" si="442"/>
        <v>#REF!</v>
      </c>
    </row>
    <row r="607" spans="1:31" ht="15" hidden="1" customHeight="1" x14ac:dyDescent="0.2">
      <c r="A607" s="572" t="s">
        <v>1633</v>
      </c>
      <c r="B607" s="573" t="s">
        <v>1634</v>
      </c>
      <c r="C607" s="846"/>
      <c r="D607" s="576"/>
      <c r="E607" s="577"/>
      <c r="F607" s="180" t="e">
        <f>+ROUND(SUM(F608:F613),10)</f>
        <v>#REF!</v>
      </c>
      <c r="G607" s="473"/>
      <c r="H607" s="568"/>
      <c r="I607" s="613"/>
      <c r="J607" s="440" t="e">
        <f>ROUND(SUM(J608:J613),10)</f>
        <v>#REF!</v>
      </c>
      <c r="K607" s="537"/>
      <c r="L607" s="180" t="e">
        <f>ROUND(SUM(L608:L613),10)</f>
        <v>#REF!</v>
      </c>
      <c r="M607" s="542"/>
      <c r="N607" s="180" t="e">
        <f>ROUND(SUM(N608:N613),10)</f>
        <v>#REF!</v>
      </c>
      <c r="O607" s="542"/>
      <c r="P607" s="180" t="e">
        <f>ROUND(SUM(P608:P613),10)</f>
        <v>#REF!</v>
      </c>
      <c r="Q607" s="542"/>
      <c r="R607" s="180" t="e">
        <f>ROUND(SUM(R608:R613),10)</f>
        <v>#REF!</v>
      </c>
      <c r="S607" s="542"/>
      <c r="T607" s="180" t="e">
        <f>ROUND(SUM(T608:T613),10)</f>
        <v>#REF!</v>
      </c>
      <c r="U607" s="568"/>
      <c r="V607" s="575"/>
      <c r="W607" s="570" t="e">
        <f>ROUND(SUM(W608:W613),10)</f>
        <v>#REF!</v>
      </c>
      <c r="X607" s="575"/>
      <c r="Y607" s="570">
        <f>ROUND(SUM(Y608:Y613),10)</f>
        <v>0</v>
      </c>
      <c r="Z607" s="575"/>
      <c r="AA607" s="570">
        <f>ROUND(SUM(AA608:AA613),10)</f>
        <v>0</v>
      </c>
      <c r="AB607" s="575"/>
      <c r="AC607" s="570">
        <f>ROUND(SUM(AC608:AC613),10)</f>
        <v>0</v>
      </c>
      <c r="AE607" s="769" t="e">
        <f t="shared" si="442"/>
        <v>#REF!</v>
      </c>
    </row>
    <row r="608" spans="1:31" ht="15" hidden="1" customHeight="1" x14ac:dyDescent="0.2">
      <c r="A608" s="611" t="s">
        <v>1635</v>
      </c>
      <c r="B608" s="601" t="s">
        <v>1636</v>
      </c>
      <c r="C608" s="611" t="s">
        <v>130</v>
      </c>
      <c r="D608" s="576">
        <f t="shared" ref="D608:D613" si="443">+I608+K608+M608+O608+Q608+S608</f>
        <v>0</v>
      </c>
      <c r="E608" s="577" t="e">
        <f t="shared" si="418"/>
        <v>#REF!</v>
      </c>
      <c r="F608" s="577" t="e">
        <f t="shared" ref="F608:F613" si="444">ROUND(D608*E608,10)</f>
        <v>#REF!</v>
      </c>
      <c r="G608" s="578"/>
      <c r="I608" s="594"/>
      <c r="J608" s="580" t="e">
        <f t="shared" ref="J608:J613" si="445">+ROUND(E608*I608,10)</f>
        <v>#REF!</v>
      </c>
      <c r="K608" s="537"/>
      <c r="L608" s="445" t="e">
        <f t="shared" ref="L608:L613" si="446">+ROUND(E608*K608,10)</f>
        <v>#REF!</v>
      </c>
      <c r="M608" s="542"/>
      <c r="N608" s="445" t="e">
        <f t="shared" ref="N608:N613" si="447">+ROUND(E608*M608,10)</f>
        <v>#REF!</v>
      </c>
      <c r="O608" s="542"/>
      <c r="P608" s="445" t="e">
        <f t="shared" ref="P608:P613" si="448">+ROUND(E608*O608,10)</f>
        <v>#REF!</v>
      </c>
      <c r="Q608" s="542"/>
      <c r="R608" s="445" t="e">
        <f t="shared" ref="R608:R613" si="449">+ROUND(E608*Q608,10)</f>
        <v>#REF!</v>
      </c>
      <c r="S608" s="542"/>
      <c r="T608" s="445" t="e">
        <f t="shared" ref="T608:T613" si="450">+ROUND(E608*S608,10)</f>
        <v>#REF!</v>
      </c>
      <c r="V608" s="581" t="e">
        <f>+'12,2,3,1 Rejas en varilla cuadr'!I19</f>
        <v>#REF!</v>
      </c>
      <c r="W608" s="582" t="e">
        <f t="shared" ref="W608:W613" si="451">ROUND(V608*$D608,10)</f>
        <v>#REF!</v>
      </c>
      <c r="X608" s="581">
        <f>+'12,2,3,1 Rejas en varilla cuadr'!I50</f>
        <v>35912.49</v>
      </c>
      <c r="Y608" s="582">
        <f t="shared" ref="Y608:Y613" si="452">ROUND(X608*$D608,10)</f>
        <v>0</v>
      </c>
      <c r="Z608" s="581">
        <f>+'12,2,3,1 Rejas en varilla cuadr'!I30</f>
        <v>7096.96</v>
      </c>
      <c r="AA608" s="582">
        <f t="shared" ref="AA608:AA613" si="453">ROUND(Z608*$D608,10)</f>
        <v>0</v>
      </c>
      <c r="AB608" s="581"/>
      <c r="AC608" s="582">
        <f t="shared" ref="AC608:AC613" si="454">ROUND(AB608*$D608,10)</f>
        <v>0</v>
      </c>
      <c r="AE608" s="769" t="e">
        <f t="shared" si="442"/>
        <v>#REF!</v>
      </c>
    </row>
    <row r="609" spans="1:31" ht="15" hidden="1" customHeight="1" x14ac:dyDescent="0.2">
      <c r="A609" s="611" t="s">
        <v>1637</v>
      </c>
      <c r="B609" s="601" t="s">
        <v>1638</v>
      </c>
      <c r="C609" s="611" t="s">
        <v>111</v>
      </c>
      <c r="D609" s="576">
        <f t="shared" si="443"/>
        <v>0</v>
      </c>
      <c r="E609" s="577" t="e">
        <f t="shared" si="418"/>
        <v>#REF!</v>
      </c>
      <c r="F609" s="577" t="e">
        <f t="shared" si="444"/>
        <v>#REF!</v>
      </c>
      <c r="G609" s="578"/>
      <c r="I609" s="584"/>
      <c r="J609" s="585" t="e">
        <f t="shared" si="445"/>
        <v>#REF!</v>
      </c>
      <c r="K609" s="537"/>
      <c r="L609" s="445" t="e">
        <f t="shared" si="446"/>
        <v>#REF!</v>
      </c>
      <c r="M609" s="542"/>
      <c r="N609" s="445" t="e">
        <f t="shared" si="447"/>
        <v>#REF!</v>
      </c>
      <c r="O609" s="542"/>
      <c r="P609" s="445" t="e">
        <f t="shared" si="448"/>
        <v>#REF!</v>
      </c>
      <c r="Q609" s="542"/>
      <c r="R609" s="445" t="e">
        <f t="shared" si="449"/>
        <v>#REF!</v>
      </c>
      <c r="S609" s="542"/>
      <c r="T609" s="445" t="e">
        <f t="shared" si="450"/>
        <v>#REF!</v>
      </c>
      <c r="V609" s="581" t="e">
        <f>+'12,2,3,2 Rejas ventana'!I19</f>
        <v>#REF!</v>
      </c>
      <c r="W609" s="582" t="e">
        <f t="shared" si="451"/>
        <v>#REF!</v>
      </c>
      <c r="X609" s="581">
        <f>+'12,2,3,2 Rejas ventana'!I50</f>
        <v>179562.47</v>
      </c>
      <c r="Y609" s="582">
        <f t="shared" si="452"/>
        <v>0</v>
      </c>
      <c r="Z609" s="581">
        <f>+'12,2,3,2 Rejas ventana'!I30</f>
        <v>57910.67</v>
      </c>
      <c r="AA609" s="582">
        <f t="shared" si="453"/>
        <v>0</v>
      </c>
      <c r="AB609" s="581"/>
      <c r="AC609" s="582">
        <f t="shared" si="454"/>
        <v>0</v>
      </c>
      <c r="AE609" s="769" t="e">
        <f t="shared" si="442"/>
        <v>#REF!</v>
      </c>
    </row>
    <row r="610" spans="1:31" ht="15" hidden="1" customHeight="1" x14ac:dyDescent="0.2">
      <c r="A610" s="611" t="s">
        <v>1639</v>
      </c>
      <c r="B610" s="601" t="s">
        <v>1640</v>
      </c>
      <c r="C610" s="611" t="s">
        <v>111</v>
      </c>
      <c r="D610" s="576">
        <f t="shared" si="443"/>
        <v>0</v>
      </c>
      <c r="E610" s="577" t="e">
        <f t="shared" si="418"/>
        <v>#REF!</v>
      </c>
      <c r="F610" s="577" t="e">
        <f t="shared" si="444"/>
        <v>#REF!</v>
      </c>
      <c r="G610" s="578"/>
      <c r="I610" s="584"/>
      <c r="J610" s="585" t="e">
        <f t="shared" si="445"/>
        <v>#REF!</v>
      </c>
      <c r="K610" s="537"/>
      <c r="L610" s="445" t="e">
        <f t="shared" si="446"/>
        <v>#REF!</v>
      </c>
      <c r="M610" s="542"/>
      <c r="N610" s="445" t="e">
        <f t="shared" si="447"/>
        <v>#REF!</v>
      </c>
      <c r="O610" s="542"/>
      <c r="P610" s="445" t="e">
        <f t="shared" si="448"/>
        <v>#REF!</v>
      </c>
      <c r="Q610" s="542"/>
      <c r="R610" s="445" t="e">
        <f t="shared" si="449"/>
        <v>#REF!</v>
      </c>
      <c r="S610" s="542"/>
      <c r="T610" s="445" t="e">
        <f t="shared" si="450"/>
        <v>#REF!</v>
      </c>
      <c r="V610" s="581" t="e">
        <f>+'12,2,3,3 Rejas Puerta baño'!I19</f>
        <v>#REF!</v>
      </c>
      <c r="W610" s="582" t="e">
        <f t="shared" si="451"/>
        <v>#REF!</v>
      </c>
      <c r="X610" s="581">
        <f>+'12,2,3,3 Rejas Puerta baño'!I50</f>
        <v>119708.92</v>
      </c>
      <c r="Y610" s="582">
        <f t="shared" si="452"/>
        <v>0</v>
      </c>
      <c r="Z610" s="581">
        <f>+'12,2,3,3 Rejas Puerta baño'!I30</f>
        <v>35934.620000000003</v>
      </c>
      <c r="AA610" s="582">
        <f t="shared" si="453"/>
        <v>0</v>
      </c>
      <c r="AB610" s="581"/>
      <c r="AC610" s="582">
        <f t="shared" si="454"/>
        <v>0</v>
      </c>
      <c r="AE610" s="769" t="e">
        <f t="shared" si="442"/>
        <v>#REF!</v>
      </c>
    </row>
    <row r="611" spans="1:31" ht="15" hidden="1" customHeight="1" x14ac:dyDescent="0.2">
      <c r="A611" s="611" t="s">
        <v>1641</v>
      </c>
      <c r="B611" s="601" t="s">
        <v>1642</v>
      </c>
      <c r="C611" s="611" t="s">
        <v>130</v>
      </c>
      <c r="D611" s="576">
        <f t="shared" si="443"/>
        <v>0</v>
      </c>
      <c r="E611" s="577" t="e">
        <f t="shared" si="418"/>
        <v>#REF!</v>
      </c>
      <c r="F611" s="577" t="e">
        <f t="shared" si="444"/>
        <v>#REF!</v>
      </c>
      <c r="G611" s="578"/>
      <c r="I611" s="584"/>
      <c r="J611" s="585" t="e">
        <f t="shared" si="445"/>
        <v>#REF!</v>
      </c>
      <c r="K611" s="537"/>
      <c r="L611" s="445" t="e">
        <f t="shared" si="446"/>
        <v>#REF!</v>
      </c>
      <c r="M611" s="542"/>
      <c r="N611" s="445" t="e">
        <f t="shared" si="447"/>
        <v>#REF!</v>
      </c>
      <c r="O611" s="542"/>
      <c r="P611" s="445" t="e">
        <f t="shared" si="448"/>
        <v>#REF!</v>
      </c>
      <c r="Q611" s="542"/>
      <c r="R611" s="445" t="e">
        <f t="shared" si="449"/>
        <v>#REF!</v>
      </c>
      <c r="S611" s="542"/>
      <c r="T611" s="445" t="e">
        <f t="shared" si="450"/>
        <v>#REF!</v>
      </c>
      <c r="V611" s="581" t="e">
        <f>+'12,2,3,4 Reja Ventilación'!I23</f>
        <v>#REF!</v>
      </c>
      <c r="W611" s="582" t="e">
        <f t="shared" si="451"/>
        <v>#REF!</v>
      </c>
      <c r="X611" s="581">
        <f>+'12,2,3,4 Reja Ventilación'!I54</f>
        <v>26934.37</v>
      </c>
      <c r="Y611" s="582">
        <f t="shared" si="452"/>
        <v>0</v>
      </c>
      <c r="Z611" s="581">
        <f>+'12,2,3,4 Reja Ventilación'!I34</f>
        <v>12239.47</v>
      </c>
      <c r="AA611" s="582">
        <f t="shared" si="453"/>
        <v>0</v>
      </c>
      <c r="AB611" s="581"/>
      <c r="AC611" s="582">
        <f t="shared" si="454"/>
        <v>0</v>
      </c>
      <c r="AE611" s="769" t="e">
        <f t="shared" si="442"/>
        <v>#REF!</v>
      </c>
    </row>
    <row r="612" spans="1:31" ht="15" hidden="1" customHeight="1" x14ac:dyDescent="0.2">
      <c r="A612" s="611" t="s">
        <v>1643</v>
      </c>
      <c r="B612" s="601" t="s">
        <v>1644</v>
      </c>
      <c r="C612" s="611" t="s">
        <v>114</v>
      </c>
      <c r="D612" s="576">
        <f t="shared" si="443"/>
        <v>0</v>
      </c>
      <c r="E612" s="577">
        <f t="shared" si="418"/>
        <v>0</v>
      </c>
      <c r="F612" s="577">
        <f t="shared" si="444"/>
        <v>0</v>
      </c>
      <c r="G612" s="578"/>
      <c r="I612" s="584"/>
      <c r="J612" s="585">
        <f t="shared" si="445"/>
        <v>0</v>
      </c>
      <c r="K612" s="537"/>
      <c r="L612" s="445">
        <f t="shared" si="446"/>
        <v>0</v>
      </c>
      <c r="M612" s="542"/>
      <c r="N612" s="445">
        <f t="shared" si="447"/>
        <v>0</v>
      </c>
      <c r="O612" s="542"/>
      <c r="P612" s="445">
        <f t="shared" si="448"/>
        <v>0</v>
      </c>
      <c r="Q612" s="542"/>
      <c r="R612" s="445">
        <f t="shared" si="449"/>
        <v>0</v>
      </c>
      <c r="S612" s="542"/>
      <c r="T612" s="445">
        <f t="shared" si="450"/>
        <v>0</v>
      </c>
      <c r="V612" s="581"/>
      <c r="W612" s="582">
        <f t="shared" si="451"/>
        <v>0</v>
      </c>
      <c r="X612" s="581"/>
      <c r="Y612" s="582">
        <f t="shared" si="452"/>
        <v>0</v>
      </c>
      <c r="Z612" s="581"/>
      <c r="AA612" s="582">
        <f t="shared" si="453"/>
        <v>0</v>
      </c>
      <c r="AB612" s="581"/>
      <c r="AC612" s="582">
        <f t="shared" si="454"/>
        <v>0</v>
      </c>
      <c r="AE612" s="769">
        <f t="shared" si="442"/>
        <v>0</v>
      </c>
    </row>
    <row r="613" spans="1:31" ht="15" hidden="1" customHeight="1" x14ac:dyDescent="0.2">
      <c r="A613" s="611" t="s">
        <v>1645</v>
      </c>
      <c r="B613" s="601" t="s">
        <v>1646</v>
      </c>
      <c r="C613" s="611" t="s">
        <v>111</v>
      </c>
      <c r="D613" s="576">
        <f t="shared" si="443"/>
        <v>0</v>
      </c>
      <c r="E613" s="577">
        <f t="shared" si="418"/>
        <v>0</v>
      </c>
      <c r="F613" s="577">
        <f t="shared" si="444"/>
        <v>0</v>
      </c>
      <c r="G613" s="578"/>
      <c r="I613" s="597"/>
      <c r="J613" s="598">
        <f t="shared" si="445"/>
        <v>0</v>
      </c>
      <c r="K613" s="537"/>
      <c r="L613" s="445">
        <f t="shared" si="446"/>
        <v>0</v>
      </c>
      <c r="M613" s="542"/>
      <c r="N613" s="445">
        <f t="shared" si="447"/>
        <v>0</v>
      </c>
      <c r="O613" s="542"/>
      <c r="P613" s="445">
        <f t="shared" si="448"/>
        <v>0</v>
      </c>
      <c r="Q613" s="542"/>
      <c r="R613" s="445">
        <f t="shared" si="449"/>
        <v>0</v>
      </c>
      <c r="S613" s="542"/>
      <c r="T613" s="445">
        <f t="shared" si="450"/>
        <v>0</v>
      </c>
      <c r="V613" s="581"/>
      <c r="W613" s="582">
        <f t="shared" si="451"/>
        <v>0</v>
      </c>
      <c r="X613" s="581"/>
      <c r="Y613" s="582">
        <f t="shared" si="452"/>
        <v>0</v>
      </c>
      <c r="Z613" s="581"/>
      <c r="AA613" s="582">
        <f t="shared" si="453"/>
        <v>0</v>
      </c>
      <c r="AB613" s="581"/>
      <c r="AC613" s="582">
        <f t="shared" si="454"/>
        <v>0</v>
      </c>
      <c r="AE613" s="769">
        <f t="shared" si="442"/>
        <v>0</v>
      </c>
    </row>
    <row r="614" spans="1:31" ht="15" hidden="1" customHeight="1" x14ac:dyDescent="0.2">
      <c r="A614" s="572" t="s">
        <v>1647</v>
      </c>
      <c r="B614" s="573" t="s">
        <v>1395</v>
      </c>
      <c r="C614" s="846"/>
      <c r="D614" s="576"/>
      <c r="E614" s="577"/>
      <c r="F614" s="626" t="e">
        <f>+ROUND(SUM(F615:F624),10)</f>
        <v>#REF!</v>
      </c>
      <c r="G614" s="473"/>
      <c r="H614" s="568"/>
      <c r="I614" s="613"/>
      <c r="J614" s="440" t="e">
        <f>ROUND(SUM(J615:J624),10)</f>
        <v>#REF!</v>
      </c>
      <c r="K614" s="537"/>
      <c r="L614" s="180" t="e">
        <f>ROUND(SUM(L615:L624),10)</f>
        <v>#REF!</v>
      </c>
      <c r="M614" s="542"/>
      <c r="N614" s="180" t="e">
        <f>ROUND(SUM(N615:N624),10)</f>
        <v>#REF!</v>
      </c>
      <c r="O614" s="542"/>
      <c r="P614" s="180" t="e">
        <f>ROUND(SUM(P615:P624),10)</f>
        <v>#REF!</v>
      </c>
      <c r="Q614" s="542"/>
      <c r="R614" s="180" t="e">
        <f>ROUND(SUM(R615:R624),10)</f>
        <v>#REF!</v>
      </c>
      <c r="S614" s="542"/>
      <c r="T614" s="180" t="e">
        <f>ROUND(SUM(T615:T624),10)</f>
        <v>#REF!</v>
      </c>
      <c r="U614" s="568"/>
      <c r="V614" s="575"/>
      <c r="W614" s="570" t="e">
        <f>ROUND(SUM(W615:W624),10)</f>
        <v>#REF!</v>
      </c>
      <c r="X614" s="575"/>
      <c r="Y614" s="570">
        <f>ROUND(SUM(Y615:Y624),10)</f>
        <v>0</v>
      </c>
      <c r="Z614" s="575"/>
      <c r="AA614" s="570">
        <f>ROUND(SUM(AA615:AA624),10)</f>
        <v>0</v>
      </c>
      <c r="AB614" s="575"/>
      <c r="AC614" s="570">
        <f>ROUND(SUM(AC615:AC624),10)</f>
        <v>0</v>
      </c>
      <c r="AE614" s="769" t="e">
        <f t="shared" si="442"/>
        <v>#REF!</v>
      </c>
    </row>
    <row r="615" spans="1:31" ht="15" hidden="1" customHeight="1" x14ac:dyDescent="0.2">
      <c r="A615" s="611" t="s">
        <v>1648</v>
      </c>
      <c r="B615" s="601" t="s">
        <v>1649</v>
      </c>
      <c r="C615" s="611" t="s">
        <v>111</v>
      </c>
      <c r="D615" s="576">
        <f t="shared" ref="D615:D624" si="455">+I615+K615+M615+O615+Q615+S615</f>
        <v>0</v>
      </c>
      <c r="E615" s="577" t="e">
        <f t="shared" si="418"/>
        <v>#REF!</v>
      </c>
      <c r="F615" s="577" t="e">
        <f t="shared" ref="F615:F624" si="456">ROUND(D615*E615,10)</f>
        <v>#REF!</v>
      </c>
      <c r="G615" s="578"/>
      <c r="I615" s="594"/>
      <c r="J615" s="580" t="e">
        <f t="shared" ref="J615:J624" si="457">+ROUND(E615*I615,10)</f>
        <v>#REF!</v>
      </c>
      <c r="K615" s="537"/>
      <c r="L615" s="445" t="e">
        <f t="shared" ref="L615:L624" si="458">+ROUND(E615*K615,10)</f>
        <v>#REF!</v>
      </c>
      <c r="M615" s="542"/>
      <c r="N615" s="445" t="e">
        <f t="shared" ref="N615:N624" si="459">+ROUND(E615*M615,10)</f>
        <v>#REF!</v>
      </c>
      <c r="O615" s="542"/>
      <c r="P615" s="445" t="e">
        <f t="shared" ref="P615:P624" si="460">+ROUND(E615*O615,10)</f>
        <v>#REF!</v>
      </c>
      <c r="Q615" s="542"/>
      <c r="R615" s="445" t="e">
        <f t="shared" ref="R615:R624" si="461">+ROUND(E615*Q615,10)</f>
        <v>#REF!</v>
      </c>
      <c r="S615" s="542"/>
      <c r="T615" s="445" t="e">
        <f t="shared" ref="T615:T624" si="462">+ROUND(E615*S615,10)</f>
        <v>#REF!</v>
      </c>
      <c r="V615" s="581" t="e">
        <f>+'12,2,4,1 CORTASOL'!I19</f>
        <v>#REF!</v>
      </c>
      <c r="W615" s="582" t="e">
        <f t="shared" ref="W615:W624" si="463">ROUND(V615*$D615,10)</f>
        <v>#REF!</v>
      </c>
      <c r="X615" s="581">
        <f>+'12,2,4,1 CORTASOL'!I50</f>
        <v>195886.33</v>
      </c>
      <c r="Y615" s="582">
        <f t="shared" ref="Y615:Y624" si="464">ROUND(X615*$D615,10)</f>
        <v>0</v>
      </c>
      <c r="Z615" s="581">
        <f>+'12,2,4,1 CORTASOL'!I30</f>
        <v>76101.69</v>
      </c>
      <c r="AA615" s="582">
        <f t="shared" ref="AA615:AA624" si="465">ROUND(Z615*$D615,10)</f>
        <v>0</v>
      </c>
      <c r="AB615" s="581"/>
      <c r="AC615" s="582">
        <f t="shared" ref="AC615:AC624" si="466">ROUND(AB615*$D615,10)</f>
        <v>0</v>
      </c>
      <c r="AE615" s="769" t="e">
        <f t="shared" si="442"/>
        <v>#REF!</v>
      </c>
    </row>
    <row r="616" spans="1:31" ht="15" hidden="1" customHeight="1" x14ac:dyDescent="0.2">
      <c r="A616" s="611" t="s">
        <v>1650</v>
      </c>
      <c r="B616" s="601" t="s">
        <v>1651</v>
      </c>
      <c r="C616" s="611" t="s">
        <v>111</v>
      </c>
      <c r="D616" s="576">
        <f t="shared" si="455"/>
        <v>0</v>
      </c>
      <c r="E616" s="577">
        <f t="shared" si="418"/>
        <v>0</v>
      </c>
      <c r="F616" s="577">
        <f t="shared" si="456"/>
        <v>0</v>
      </c>
      <c r="G616" s="578"/>
      <c r="I616" s="584"/>
      <c r="J616" s="585">
        <f t="shared" si="457"/>
        <v>0</v>
      </c>
      <c r="K616" s="537"/>
      <c r="L616" s="445">
        <f t="shared" si="458"/>
        <v>0</v>
      </c>
      <c r="M616" s="542"/>
      <c r="N616" s="445">
        <f t="shared" si="459"/>
        <v>0</v>
      </c>
      <c r="O616" s="542"/>
      <c r="P616" s="445">
        <f t="shared" si="460"/>
        <v>0</v>
      </c>
      <c r="Q616" s="542"/>
      <c r="R616" s="445">
        <f t="shared" si="461"/>
        <v>0</v>
      </c>
      <c r="S616" s="542"/>
      <c r="T616" s="445">
        <f t="shared" si="462"/>
        <v>0</v>
      </c>
      <c r="V616" s="581"/>
      <c r="W616" s="582">
        <f t="shared" si="463"/>
        <v>0</v>
      </c>
      <c r="X616" s="581"/>
      <c r="Y616" s="582">
        <f t="shared" si="464"/>
        <v>0</v>
      </c>
      <c r="Z616" s="581"/>
      <c r="AA616" s="582">
        <f t="shared" si="465"/>
        <v>0</v>
      </c>
      <c r="AB616" s="581"/>
      <c r="AC616" s="582">
        <f t="shared" si="466"/>
        <v>0</v>
      </c>
      <c r="AE616" s="769">
        <f t="shared" si="442"/>
        <v>0</v>
      </c>
    </row>
    <row r="617" spans="1:31" ht="15" hidden="1" customHeight="1" x14ac:dyDescent="0.2">
      <c r="A617" s="611" t="s">
        <v>1652</v>
      </c>
      <c r="B617" s="601" t="s">
        <v>1653</v>
      </c>
      <c r="C617" s="611" t="s">
        <v>130</v>
      </c>
      <c r="D617" s="576">
        <f t="shared" si="455"/>
        <v>0</v>
      </c>
      <c r="E617" s="577">
        <f t="shared" si="418"/>
        <v>0</v>
      </c>
      <c r="F617" s="577">
        <f t="shared" si="456"/>
        <v>0</v>
      </c>
      <c r="G617" s="578"/>
      <c r="I617" s="584"/>
      <c r="J617" s="585">
        <f t="shared" si="457"/>
        <v>0</v>
      </c>
      <c r="K617" s="537"/>
      <c r="L617" s="445">
        <f t="shared" si="458"/>
        <v>0</v>
      </c>
      <c r="M617" s="542"/>
      <c r="N617" s="445">
        <f t="shared" si="459"/>
        <v>0</v>
      </c>
      <c r="O617" s="542"/>
      <c r="P617" s="445">
        <f t="shared" si="460"/>
        <v>0</v>
      </c>
      <c r="Q617" s="542"/>
      <c r="R617" s="445">
        <f t="shared" si="461"/>
        <v>0</v>
      </c>
      <c r="S617" s="542"/>
      <c r="T617" s="445">
        <f t="shared" si="462"/>
        <v>0</v>
      </c>
      <c r="V617" s="581"/>
      <c r="W617" s="582">
        <f t="shared" si="463"/>
        <v>0</v>
      </c>
      <c r="X617" s="581"/>
      <c r="Y617" s="582">
        <f t="shared" si="464"/>
        <v>0</v>
      </c>
      <c r="Z617" s="581"/>
      <c r="AA617" s="582">
        <f t="shared" si="465"/>
        <v>0</v>
      </c>
      <c r="AB617" s="581"/>
      <c r="AC617" s="582">
        <f t="shared" si="466"/>
        <v>0</v>
      </c>
      <c r="AE617" s="769">
        <f t="shared" si="442"/>
        <v>0</v>
      </c>
    </row>
    <row r="618" spans="1:31" ht="15" hidden="1" customHeight="1" x14ac:dyDescent="0.2">
      <c r="A618" s="611" t="s">
        <v>1654</v>
      </c>
      <c r="B618" s="601" t="s">
        <v>1655</v>
      </c>
      <c r="C618" s="611" t="s">
        <v>130</v>
      </c>
      <c r="D618" s="576">
        <f t="shared" si="455"/>
        <v>0</v>
      </c>
      <c r="E618" s="577" t="e">
        <f t="shared" si="418"/>
        <v>#REF!</v>
      </c>
      <c r="F618" s="577" t="e">
        <f t="shared" si="456"/>
        <v>#REF!</v>
      </c>
      <c r="G618" s="578"/>
      <c r="I618" s="584"/>
      <c r="J618" s="585" t="e">
        <f t="shared" si="457"/>
        <v>#REF!</v>
      </c>
      <c r="K618" s="537"/>
      <c r="L618" s="445" t="e">
        <f t="shared" si="458"/>
        <v>#REF!</v>
      </c>
      <c r="M618" s="542"/>
      <c r="N618" s="445" t="e">
        <f t="shared" si="459"/>
        <v>#REF!</v>
      </c>
      <c r="O618" s="542"/>
      <c r="P618" s="445" t="e">
        <f t="shared" si="460"/>
        <v>#REF!</v>
      </c>
      <c r="Q618" s="542"/>
      <c r="R618" s="445" t="e">
        <f t="shared" si="461"/>
        <v>#REF!</v>
      </c>
      <c r="S618" s="542"/>
      <c r="T618" s="445" t="e">
        <f t="shared" si="462"/>
        <v>#REF!</v>
      </c>
      <c r="V618" s="581" t="e">
        <f>+'12,2,4,4 Ventana Malla'!I19</f>
        <v>#REF!</v>
      </c>
      <c r="W618" s="582" t="e">
        <f t="shared" si="463"/>
        <v>#REF!</v>
      </c>
      <c r="X618" s="581">
        <f>+'12,2,4,4 Ventana Malla'!I50</f>
        <v>17956.25</v>
      </c>
      <c r="Y618" s="582">
        <f t="shared" si="464"/>
        <v>0</v>
      </c>
      <c r="Z618" s="581">
        <f>+'12,2,4,4 Ventana Malla'!I30</f>
        <v>6814.29</v>
      </c>
      <c r="AA618" s="582">
        <f t="shared" si="465"/>
        <v>0</v>
      </c>
      <c r="AB618" s="581"/>
      <c r="AC618" s="582">
        <f t="shared" si="466"/>
        <v>0</v>
      </c>
      <c r="AE618" s="769" t="e">
        <f t="shared" si="442"/>
        <v>#REF!</v>
      </c>
    </row>
    <row r="619" spans="1:31" ht="15" hidden="1" customHeight="1" x14ac:dyDescent="0.2">
      <c r="A619" s="611" t="s">
        <v>1656</v>
      </c>
      <c r="B619" s="601" t="s">
        <v>1657</v>
      </c>
      <c r="C619" s="611" t="s">
        <v>130</v>
      </c>
      <c r="D619" s="576">
        <f t="shared" si="455"/>
        <v>0</v>
      </c>
      <c r="E619" s="577">
        <f t="shared" si="418"/>
        <v>0</v>
      </c>
      <c r="F619" s="577">
        <f t="shared" si="456"/>
        <v>0</v>
      </c>
      <c r="G619" s="578"/>
      <c r="I619" s="584"/>
      <c r="J619" s="585">
        <f t="shared" si="457"/>
        <v>0</v>
      </c>
      <c r="K619" s="537"/>
      <c r="L619" s="445">
        <f t="shared" si="458"/>
        <v>0</v>
      </c>
      <c r="M619" s="542"/>
      <c r="N619" s="445">
        <f t="shared" si="459"/>
        <v>0</v>
      </c>
      <c r="O619" s="542"/>
      <c r="P619" s="445">
        <f t="shared" si="460"/>
        <v>0</v>
      </c>
      <c r="Q619" s="542"/>
      <c r="R619" s="445">
        <f t="shared" si="461"/>
        <v>0</v>
      </c>
      <c r="S619" s="542"/>
      <c r="T619" s="445">
        <f t="shared" si="462"/>
        <v>0</v>
      </c>
      <c r="V619" s="581"/>
      <c r="W619" s="582">
        <f t="shared" si="463"/>
        <v>0</v>
      </c>
      <c r="X619" s="581"/>
      <c r="Y619" s="582">
        <f t="shared" si="464"/>
        <v>0</v>
      </c>
      <c r="Z619" s="581"/>
      <c r="AA619" s="582">
        <f t="shared" si="465"/>
        <v>0</v>
      </c>
      <c r="AB619" s="581"/>
      <c r="AC619" s="582">
        <f t="shared" si="466"/>
        <v>0</v>
      </c>
      <c r="AE619" s="769">
        <f t="shared" si="442"/>
        <v>0</v>
      </c>
    </row>
    <row r="620" spans="1:31" ht="15" hidden="1" customHeight="1" x14ac:dyDescent="0.2">
      <c r="A620" s="611" t="s">
        <v>1658</v>
      </c>
      <c r="B620" s="601" t="s">
        <v>1659</v>
      </c>
      <c r="C620" s="611" t="s">
        <v>111</v>
      </c>
      <c r="D620" s="576">
        <f t="shared" si="455"/>
        <v>0</v>
      </c>
      <c r="E620" s="577">
        <f t="shared" si="418"/>
        <v>0</v>
      </c>
      <c r="F620" s="577">
        <f t="shared" si="456"/>
        <v>0</v>
      </c>
      <c r="G620" s="578"/>
      <c r="I620" s="584"/>
      <c r="J620" s="585">
        <f t="shared" si="457"/>
        <v>0</v>
      </c>
      <c r="K620" s="537"/>
      <c r="L620" s="445">
        <f t="shared" si="458"/>
        <v>0</v>
      </c>
      <c r="M620" s="542"/>
      <c r="N620" s="445">
        <f t="shared" si="459"/>
        <v>0</v>
      </c>
      <c r="O620" s="542"/>
      <c r="P620" s="445">
        <f t="shared" si="460"/>
        <v>0</v>
      </c>
      <c r="Q620" s="542"/>
      <c r="R620" s="445">
        <f t="shared" si="461"/>
        <v>0</v>
      </c>
      <c r="S620" s="542"/>
      <c r="T620" s="445">
        <f t="shared" si="462"/>
        <v>0</v>
      </c>
      <c r="V620" s="581"/>
      <c r="W620" s="582">
        <f t="shared" si="463"/>
        <v>0</v>
      </c>
      <c r="X620" s="581"/>
      <c r="Y620" s="582">
        <f t="shared" si="464"/>
        <v>0</v>
      </c>
      <c r="Z620" s="581"/>
      <c r="AA620" s="582">
        <f t="shared" si="465"/>
        <v>0</v>
      </c>
      <c r="AB620" s="581"/>
      <c r="AC620" s="582">
        <f t="shared" si="466"/>
        <v>0</v>
      </c>
      <c r="AE620" s="769">
        <f t="shared" si="442"/>
        <v>0</v>
      </c>
    </row>
    <row r="621" spans="1:31" ht="15" hidden="1" customHeight="1" x14ac:dyDescent="0.2">
      <c r="A621" s="611" t="s">
        <v>1660</v>
      </c>
      <c r="B621" s="601" t="s">
        <v>1661</v>
      </c>
      <c r="C621" s="611" t="s">
        <v>111</v>
      </c>
      <c r="D621" s="576">
        <f t="shared" si="455"/>
        <v>0</v>
      </c>
      <c r="E621" s="577">
        <f t="shared" si="418"/>
        <v>0</v>
      </c>
      <c r="F621" s="577">
        <f t="shared" si="456"/>
        <v>0</v>
      </c>
      <c r="G621" s="578"/>
      <c r="I621" s="584"/>
      <c r="J621" s="585">
        <f t="shared" si="457"/>
        <v>0</v>
      </c>
      <c r="K621" s="537"/>
      <c r="L621" s="445">
        <f t="shared" si="458"/>
        <v>0</v>
      </c>
      <c r="M621" s="542"/>
      <c r="N621" s="445">
        <f t="shared" si="459"/>
        <v>0</v>
      </c>
      <c r="O621" s="542"/>
      <c r="P621" s="445">
        <f t="shared" si="460"/>
        <v>0</v>
      </c>
      <c r="Q621" s="542"/>
      <c r="R621" s="445">
        <f t="shared" si="461"/>
        <v>0</v>
      </c>
      <c r="S621" s="542"/>
      <c r="T621" s="445">
        <f t="shared" si="462"/>
        <v>0</v>
      </c>
      <c r="V621" s="581"/>
      <c r="W621" s="582">
        <f t="shared" si="463"/>
        <v>0</v>
      </c>
      <c r="X621" s="581"/>
      <c r="Y621" s="582">
        <f t="shared" si="464"/>
        <v>0</v>
      </c>
      <c r="Z621" s="581"/>
      <c r="AA621" s="582">
        <f t="shared" si="465"/>
        <v>0</v>
      </c>
      <c r="AB621" s="581"/>
      <c r="AC621" s="582">
        <f t="shared" si="466"/>
        <v>0</v>
      </c>
      <c r="AE621" s="769">
        <f t="shared" si="442"/>
        <v>0</v>
      </c>
    </row>
    <row r="622" spans="1:31" ht="15" hidden="1" customHeight="1" x14ac:dyDescent="0.2">
      <c r="A622" s="611" t="s">
        <v>1662</v>
      </c>
      <c r="B622" s="601" t="s">
        <v>1663</v>
      </c>
      <c r="C622" s="611" t="s">
        <v>114</v>
      </c>
      <c r="D622" s="576">
        <f t="shared" si="455"/>
        <v>0</v>
      </c>
      <c r="E622" s="577">
        <f t="shared" si="418"/>
        <v>0</v>
      </c>
      <c r="F622" s="577">
        <f t="shared" si="456"/>
        <v>0</v>
      </c>
      <c r="G622" s="578"/>
      <c r="I622" s="584"/>
      <c r="J622" s="585">
        <f t="shared" si="457"/>
        <v>0</v>
      </c>
      <c r="K622" s="537"/>
      <c r="L622" s="445">
        <f t="shared" si="458"/>
        <v>0</v>
      </c>
      <c r="M622" s="542"/>
      <c r="N622" s="445">
        <f t="shared" si="459"/>
        <v>0</v>
      </c>
      <c r="O622" s="542"/>
      <c r="P622" s="445">
        <f t="shared" si="460"/>
        <v>0</v>
      </c>
      <c r="Q622" s="542"/>
      <c r="R622" s="445">
        <f t="shared" si="461"/>
        <v>0</v>
      </c>
      <c r="S622" s="542"/>
      <c r="T622" s="445">
        <f t="shared" si="462"/>
        <v>0</v>
      </c>
      <c r="V622" s="581"/>
      <c r="W622" s="582">
        <f t="shared" si="463"/>
        <v>0</v>
      </c>
      <c r="X622" s="581"/>
      <c r="Y622" s="582">
        <f t="shared" si="464"/>
        <v>0</v>
      </c>
      <c r="Z622" s="581"/>
      <c r="AA622" s="582">
        <f t="shared" si="465"/>
        <v>0</v>
      </c>
      <c r="AB622" s="581"/>
      <c r="AC622" s="582">
        <f t="shared" si="466"/>
        <v>0</v>
      </c>
      <c r="AE622" s="769">
        <f t="shared" si="442"/>
        <v>0</v>
      </c>
    </row>
    <row r="623" spans="1:31" ht="15" hidden="1" customHeight="1" x14ac:dyDescent="0.2">
      <c r="A623" s="611" t="s">
        <v>1664</v>
      </c>
      <c r="B623" s="601" t="s">
        <v>1665</v>
      </c>
      <c r="C623" s="611" t="s">
        <v>114</v>
      </c>
      <c r="D623" s="576">
        <f t="shared" si="455"/>
        <v>0</v>
      </c>
      <c r="E623" s="577">
        <f t="shared" si="418"/>
        <v>0</v>
      </c>
      <c r="F623" s="577">
        <f t="shared" si="456"/>
        <v>0</v>
      </c>
      <c r="G623" s="578"/>
      <c r="I623" s="584"/>
      <c r="J623" s="585">
        <f t="shared" si="457"/>
        <v>0</v>
      </c>
      <c r="K623" s="537"/>
      <c r="L623" s="445">
        <f t="shared" si="458"/>
        <v>0</v>
      </c>
      <c r="M623" s="542"/>
      <c r="N623" s="445">
        <f t="shared" si="459"/>
        <v>0</v>
      </c>
      <c r="O623" s="542"/>
      <c r="P623" s="445">
        <f t="shared" si="460"/>
        <v>0</v>
      </c>
      <c r="Q623" s="542"/>
      <c r="R623" s="445">
        <f t="shared" si="461"/>
        <v>0</v>
      </c>
      <c r="S623" s="542"/>
      <c r="T623" s="445">
        <f t="shared" si="462"/>
        <v>0</v>
      </c>
      <c r="V623" s="581"/>
      <c r="W623" s="582">
        <f t="shared" si="463"/>
        <v>0</v>
      </c>
      <c r="X623" s="581"/>
      <c r="Y623" s="582">
        <f t="shared" si="464"/>
        <v>0</v>
      </c>
      <c r="Z623" s="581"/>
      <c r="AA623" s="582">
        <f t="shared" si="465"/>
        <v>0</v>
      </c>
      <c r="AB623" s="581"/>
      <c r="AC623" s="582">
        <f t="shared" si="466"/>
        <v>0</v>
      </c>
      <c r="AE623" s="769">
        <f t="shared" si="442"/>
        <v>0</v>
      </c>
    </row>
    <row r="624" spans="1:31" ht="15" hidden="1" customHeight="1" thickBot="1" x14ac:dyDescent="0.25">
      <c r="A624" s="611" t="s">
        <v>1666</v>
      </c>
      <c r="B624" s="601" t="s">
        <v>1037</v>
      </c>
      <c r="C624" s="611"/>
      <c r="D624" s="576">
        <f t="shared" si="455"/>
        <v>0</v>
      </c>
      <c r="E624" s="577">
        <f t="shared" si="418"/>
        <v>0</v>
      </c>
      <c r="F624" s="577">
        <f t="shared" si="456"/>
        <v>0</v>
      </c>
      <c r="G624" s="578"/>
      <c r="I624" s="602"/>
      <c r="J624" s="603">
        <f t="shared" si="457"/>
        <v>0</v>
      </c>
      <c r="K624" s="537"/>
      <c r="L624" s="445">
        <f t="shared" si="458"/>
        <v>0</v>
      </c>
      <c r="M624" s="542"/>
      <c r="N624" s="445">
        <f t="shared" si="459"/>
        <v>0</v>
      </c>
      <c r="O624" s="542"/>
      <c r="P624" s="445">
        <f t="shared" si="460"/>
        <v>0</v>
      </c>
      <c r="Q624" s="542"/>
      <c r="R624" s="445">
        <f t="shared" si="461"/>
        <v>0</v>
      </c>
      <c r="S624" s="542"/>
      <c r="T624" s="445">
        <f t="shared" si="462"/>
        <v>0</v>
      </c>
      <c r="V624" s="581"/>
      <c r="W624" s="582">
        <f t="shared" si="463"/>
        <v>0</v>
      </c>
      <c r="X624" s="581"/>
      <c r="Y624" s="582">
        <f t="shared" si="464"/>
        <v>0</v>
      </c>
      <c r="Z624" s="581"/>
      <c r="AA624" s="582">
        <f t="shared" si="465"/>
        <v>0</v>
      </c>
      <c r="AB624" s="581"/>
      <c r="AC624" s="582">
        <f t="shared" si="466"/>
        <v>0</v>
      </c>
      <c r="AE624" s="769">
        <f t="shared" si="442"/>
        <v>0</v>
      </c>
    </row>
    <row r="625" spans="1:31" ht="15" hidden="1" customHeight="1" thickTop="1" x14ac:dyDescent="0.2">
      <c r="A625" s="611"/>
      <c r="B625" s="601"/>
      <c r="C625" s="611"/>
      <c r="D625" s="576"/>
      <c r="E625" s="577"/>
      <c r="F625" s="577"/>
      <c r="G625" s="578"/>
      <c r="I625" s="604"/>
      <c r="J625" s="635"/>
      <c r="K625" s="537"/>
      <c r="L625" s="445"/>
      <c r="M625" s="542"/>
      <c r="N625" s="445"/>
      <c r="O625" s="542"/>
      <c r="P625" s="445"/>
      <c r="Q625" s="542"/>
      <c r="R625" s="445"/>
      <c r="S625" s="542"/>
      <c r="T625" s="445"/>
      <c r="V625" s="581"/>
      <c r="W625" s="582"/>
      <c r="X625" s="581"/>
      <c r="Y625" s="582"/>
      <c r="Z625" s="581"/>
      <c r="AA625" s="582"/>
      <c r="AB625" s="581"/>
      <c r="AC625" s="582"/>
      <c r="AE625" s="769">
        <f t="shared" si="442"/>
        <v>0</v>
      </c>
    </row>
    <row r="626" spans="1:31" s="657" customFormat="1" ht="6.75" customHeight="1" x14ac:dyDescent="0.2">
      <c r="A626" s="919"/>
      <c r="B626" s="920"/>
      <c r="C626" s="919"/>
      <c r="D626" s="655"/>
      <c r="E626" s="656"/>
      <c r="F626" s="656"/>
      <c r="G626" s="656"/>
      <c r="I626" s="658"/>
      <c r="J626" s="658"/>
      <c r="K626" s="659"/>
      <c r="L626" s="658"/>
      <c r="M626" s="174"/>
      <c r="N626" s="658"/>
      <c r="O626" s="174"/>
      <c r="P626" s="658"/>
      <c r="Q626" s="174"/>
      <c r="R626" s="658"/>
      <c r="S626" s="174"/>
      <c r="T626" s="658"/>
      <c r="V626" s="667"/>
      <c r="W626" s="667"/>
      <c r="X626" s="667"/>
      <c r="Y626" s="667"/>
      <c r="Z626" s="667"/>
      <c r="AA626" s="667"/>
      <c r="AB626" s="667"/>
      <c r="AC626" s="667"/>
      <c r="AE626" s="769"/>
    </row>
    <row r="627" spans="1:31" ht="30" hidden="1" customHeight="1" thickTop="1" thickBot="1" x14ac:dyDescent="0.25">
      <c r="A627" s="678">
        <v>13</v>
      </c>
      <c r="B627" s="1047" t="s">
        <v>1667</v>
      </c>
      <c r="C627" s="1048"/>
      <c r="D627" s="1048"/>
      <c r="E627" s="1048"/>
      <c r="F627" s="1049"/>
      <c r="G627" s="443">
        <f>+F628+F633+F642</f>
        <v>0</v>
      </c>
      <c r="H627" s="568"/>
      <c r="I627" s="616"/>
      <c r="J627" s="439">
        <f>+ROUND(J628+J633+J642,10)</f>
        <v>0</v>
      </c>
      <c r="K627" s="679"/>
      <c r="L627" s="442">
        <f>+ROUND(L628+L633+L642,10)</f>
        <v>0</v>
      </c>
      <c r="M627" s="442"/>
      <c r="N627" s="442">
        <f>+ROUND(N628+N633+N642,10)</f>
        <v>0</v>
      </c>
      <c r="O627" s="442"/>
      <c r="P627" s="442">
        <f>+ROUND(P628+P633+P642,10)</f>
        <v>0</v>
      </c>
      <c r="Q627" s="442"/>
      <c r="R627" s="442">
        <f>+ROUND(R628+R633+R642,10)</f>
        <v>0</v>
      </c>
      <c r="S627" s="442"/>
      <c r="T627" s="443">
        <f>+ROUND(T628+T633+T642,10)</f>
        <v>0</v>
      </c>
      <c r="U627" s="568"/>
      <c r="V627" s="680" t="e">
        <f>W627/$G$627</f>
        <v>#DIV/0!</v>
      </c>
      <c r="W627" s="681">
        <f>ROUND(W628+W633+W642,10)</f>
        <v>0</v>
      </c>
      <c r="X627" s="682" t="e">
        <f>+Y627/G627</f>
        <v>#DIV/0!</v>
      </c>
      <c r="Y627" s="681">
        <f>ROUND(Y628+Y633+Y642,10)</f>
        <v>0</v>
      </c>
      <c r="Z627" s="682" t="e">
        <f>+AA627/G627</f>
        <v>#DIV/0!</v>
      </c>
      <c r="AA627" s="681">
        <f>ROUND(AA628+AA633+AA642,10)</f>
        <v>0</v>
      </c>
      <c r="AB627" s="682" t="e">
        <f>+AC627/G627</f>
        <v>#DIV/0!</v>
      </c>
      <c r="AC627" s="681">
        <f>ROUND(AC628+AC633+AC642,10)</f>
        <v>0</v>
      </c>
      <c r="AE627" s="769">
        <f t="shared" si="442"/>
        <v>0</v>
      </c>
    </row>
    <row r="628" spans="1:31" s="595" customFormat="1" ht="16.5" hidden="1" customHeight="1" thickTop="1" x14ac:dyDescent="0.2">
      <c r="A628" s="683" t="s">
        <v>1668</v>
      </c>
      <c r="B628" s="573" t="s">
        <v>1669</v>
      </c>
      <c r="C628" s="846"/>
      <c r="D628" s="576"/>
      <c r="E628" s="180"/>
      <c r="F628" s="180">
        <f>+ROUND(SUM(F629:F632),10)</f>
        <v>0</v>
      </c>
      <c r="G628" s="176"/>
      <c r="H628" s="568"/>
      <c r="I628" s="618"/>
      <c r="J628" s="439">
        <f>ROUND(SUM(J629:J632),10)</f>
        <v>0</v>
      </c>
      <c r="K628" s="684"/>
      <c r="L628" s="180">
        <f>ROUND(SUM(L629:L632),10)</f>
        <v>0</v>
      </c>
      <c r="M628" s="473"/>
      <c r="N628" s="180">
        <f>ROUND(SUM(N629:N632),10)</f>
        <v>0</v>
      </c>
      <c r="O628" s="473"/>
      <c r="P628" s="180">
        <f>ROUND(SUM(P629:P632),10)</f>
        <v>0</v>
      </c>
      <c r="Q628" s="473"/>
      <c r="R628" s="180">
        <f>ROUND(SUM(R629:R632),10)</f>
        <v>0</v>
      </c>
      <c r="S628" s="473"/>
      <c r="T628" s="447">
        <f>ROUND(SUM(T629:T632),10)</f>
        <v>0</v>
      </c>
      <c r="U628" s="568"/>
      <c r="V628" s="685"/>
      <c r="W628" s="570">
        <f>ROUND(SUM(W629:W632),10)</f>
        <v>0</v>
      </c>
      <c r="X628" s="575"/>
      <c r="Y628" s="570">
        <f>ROUND(SUM(Y629:Y632),10)</f>
        <v>0</v>
      </c>
      <c r="Z628" s="575"/>
      <c r="AA628" s="570">
        <f>ROUND(SUM(AA629:AA632),10)</f>
        <v>0</v>
      </c>
      <c r="AB628" s="575"/>
      <c r="AC628" s="570">
        <f>ROUND(SUM(AC629:AC632),10)</f>
        <v>0</v>
      </c>
      <c r="AD628" s="912"/>
      <c r="AE628" s="769">
        <f t="shared" si="442"/>
        <v>0</v>
      </c>
    </row>
    <row r="629" spans="1:31" s="595" customFormat="1" ht="15" hidden="1" customHeight="1" x14ac:dyDescent="0.2">
      <c r="A629" s="922" t="s">
        <v>1670</v>
      </c>
      <c r="B629" s="601" t="s">
        <v>1671</v>
      </c>
      <c r="C629" s="611" t="s">
        <v>130</v>
      </c>
      <c r="D629" s="576">
        <f>+I629+K629+M629+O629+Q629+S629</f>
        <v>0</v>
      </c>
      <c r="E629" s="577">
        <f t="shared" ref="E629:E644" si="467">V629+X629+Z629+AB629</f>
        <v>0</v>
      </c>
      <c r="F629" s="577">
        <f>ROUND(D629*E629,10)</f>
        <v>0</v>
      </c>
      <c r="G629" s="686"/>
      <c r="H629" s="552"/>
      <c r="I629" s="594"/>
      <c r="J629" s="580">
        <f>+ROUND(E629*I629,10)</f>
        <v>0</v>
      </c>
      <c r="K629" s="540"/>
      <c r="L629" s="445">
        <f>+ROUND(E629*K629,10)</f>
        <v>0</v>
      </c>
      <c r="M629" s="542"/>
      <c r="N629" s="445">
        <f>+ROUND(E629*M629,10)</f>
        <v>0</v>
      </c>
      <c r="O629" s="542"/>
      <c r="P629" s="445">
        <f>+ROUND(E629*O629,10)</f>
        <v>0</v>
      </c>
      <c r="Q629" s="542"/>
      <c r="R629" s="445">
        <f>+ROUND(E629*Q629,10)</f>
        <v>0</v>
      </c>
      <c r="S629" s="542"/>
      <c r="T629" s="687">
        <f>+ROUND(E629*S629,10)</f>
        <v>0</v>
      </c>
      <c r="U629" s="552"/>
      <c r="V629" s="614"/>
      <c r="W629" s="582">
        <f>ROUND(V629*$D629,10)</f>
        <v>0</v>
      </c>
      <c r="X629" s="581"/>
      <c r="Y629" s="582">
        <f>ROUND(X629*$D629,10)</f>
        <v>0</v>
      </c>
      <c r="Z629" s="581"/>
      <c r="AA629" s="582">
        <f>ROUND(Z629*$D629,10)</f>
        <v>0</v>
      </c>
      <c r="AB629" s="581"/>
      <c r="AC629" s="582">
        <f>ROUND(AB629*$D629,10)</f>
        <v>0</v>
      </c>
      <c r="AD629" s="912"/>
      <c r="AE629" s="769">
        <f t="shared" si="442"/>
        <v>0</v>
      </c>
    </row>
    <row r="630" spans="1:31" s="595" customFormat="1" ht="25.5" hidden="1" customHeight="1" x14ac:dyDescent="0.2">
      <c r="A630" s="922" t="s">
        <v>1672</v>
      </c>
      <c r="B630" s="601" t="s">
        <v>1673</v>
      </c>
      <c r="C630" s="611" t="s">
        <v>130</v>
      </c>
      <c r="D630" s="576">
        <f>+I630+K630+M630+O630+Q630+S630</f>
        <v>0</v>
      </c>
      <c r="E630" s="577">
        <f t="shared" si="467"/>
        <v>0</v>
      </c>
      <c r="F630" s="577">
        <f>ROUND(D630*E630,10)</f>
        <v>0</v>
      </c>
      <c r="G630" s="686"/>
      <c r="H630" s="552"/>
      <c r="I630" s="584"/>
      <c r="J630" s="585">
        <f>+ROUND(E630*I630,10)</f>
        <v>0</v>
      </c>
      <c r="K630" s="540"/>
      <c r="L630" s="445">
        <f>+ROUND(E630*K630,10)</f>
        <v>0</v>
      </c>
      <c r="M630" s="542"/>
      <c r="N630" s="445">
        <f>+ROUND(E630*M630,10)</f>
        <v>0</v>
      </c>
      <c r="O630" s="542"/>
      <c r="P630" s="445">
        <f>+ROUND(E630*O630,10)</f>
        <v>0</v>
      </c>
      <c r="Q630" s="542"/>
      <c r="R630" s="445">
        <f>+ROUND(E630*Q630,10)</f>
        <v>0</v>
      </c>
      <c r="S630" s="542"/>
      <c r="T630" s="687">
        <f>+ROUND(E630*S630,10)</f>
        <v>0</v>
      </c>
      <c r="U630" s="552"/>
      <c r="V630" s="614"/>
      <c r="W630" s="582">
        <f>ROUND(V630*$D630,10)</f>
        <v>0</v>
      </c>
      <c r="X630" s="581"/>
      <c r="Y630" s="582">
        <f>ROUND(X630*$D630,10)</f>
        <v>0</v>
      </c>
      <c r="Z630" s="581"/>
      <c r="AA630" s="582">
        <f>ROUND(Z630*$D630,10)</f>
        <v>0</v>
      </c>
      <c r="AB630" s="581"/>
      <c r="AC630" s="582">
        <f>ROUND(AB630*$D630,10)</f>
        <v>0</v>
      </c>
      <c r="AD630" s="912"/>
      <c r="AE630" s="769">
        <f t="shared" si="442"/>
        <v>0</v>
      </c>
    </row>
    <row r="631" spans="1:31" s="595" customFormat="1" ht="25.5" hidden="1" customHeight="1" x14ac:dyDescent="0.2">
      <c r="A631" s="922" t="s">
        <v>1674</v>
      </c>
      <c r="B631" s="601" t="s">
        <v>1675</v>
      </c>
      <c r="C631" s="611" t="s">
        <v>130</v>
      </c>
      <c r="D631" s="576">
        <f>+I631+K631+M631+O631+Q631+S631</f>
        <v>0</v>
      </c>
      <c r="E631" s="577">
        <f t="shared" si="467"/>
        <v>0</v>
      </c>
      <c r="F631" s="577">
        <f>ROUND(D631*E631,10)</f>
        <v>0</v>
      </c>
      <c r="G631" s="686"/>
      <c r="H631" s="552"/>
      <c r="I631" s="584"/>
      <c r="J631" s="585">
        <f>+ROUND(E631*I631,10)</f>
        <v>0</v>
      </c>
      <c r="K631" s="540"/>
      <c r="L631" s="445">
        <f>+ROUND(E631*K631,10)</f>
        <v>0</v>
      </c>
      <c r="M631" s="542"/>
      <c r="N631" s="445">
        <f>+ROUND(E631*M631,10)</f>
        <v>0</v>
      </c>
      <c r="O631" s="542"/>
      <c r="P631" s="445">
        <f>+ROUND(E631*O631,10)</f>
        <v>0</v>
      </c>
      <c r="Q631" s="542"/>
      <c r="R631" s="445">
        <f>+ROUND(E631*Q631,10)</f>
        <v>0</v>
      </c>
      <c r="S631" s="542"/>
      <c r="T631" s="687">
        <f>+ROUND(E631*S631,10)</f>
        <v>0</v>
      </c>
      <c r="U631" s="552"/>
      <c r="V631" s="614"/>
      <c r="W631" s="582">
        <f>ROUND(V631*$D631,10)</f>
        <v>0</v>
      </c>
      <c r="X631" s="581"/>
      <c r="Y631" s="582">
        <f>ROUND(X631*$D631,10)</f>
        <v>0</v>
      </c>
      <c r="Z631" s="581"/>
      <c r="AA631" s="582">
        <f>ROUND(Z631*$D631,10)</f>
        <v>0</v>
      </c>
      <c r="AB631" s="581"/>
      <c r="AC631" s="582">
        <f>ROUND(AB631*$D631,10)</f>
        <v>0</v>
      </c>
      <c r="AD631" s="912"/>
      <c r="AE631" s="769">
        <f t="shared" si="442"/>
        <v>0</v>
      </c>
    </row>
    <row r="632" spans="1:31" s="595" customFormat="1" ht="25.5" hidden="1" customHeight="1" x14ac:dyDescent="0.2">
      <c r="A632" s="922" t="s">
        <v>1676</v>
      </c>
      <c r="B632" s="601" t="s">
        <v>1677</v>
      </c>
      <c r="C632" s="611" t="s">
        <v>130</v>
      </c>
      <c r="D632" s="576">
        <f>+I632+K632+M632+O632+Q632+S632</f>
        <v>0</v>
      </c>
      <c r="E632" s="577">
        <f t="shared" si="467"/>
        <v>0</v>
      </c>
      <c r="F632" s="577">
        <f>ROUND(D632*E632,10)</f>
        <v>0</v>
      </c>
      <c r="G632" s="686"/>
      <c r="H632" s="552"/>
      <c r="I632" s="597"/>
      <c r="J632" s="598">
        <f>+ROUND(E632*I632,10)</f>
        <v>0</v>
      </c>
      <c r="K632" s="540"/>
      <c r="L632" s="445">
        <f>+ROUND(E632*K632,10)</f>
        <v>0</v>
      </c>
      <c r="M632" s="542"/>
      <c r="N632" s="445">
        <f>+ROUND(E632*M632,10)</f>
        <v>0</v>
      </c>
      <c r="O632" s="542"/>
      <c r="P632" s="445">
        <f>+ROUND(E632*O632,10)</f>
        <v>0</v>
      </c>
      <c r="Q632" s="542"/>
      <c r="R632" s="445">
        <f>+ROUND(E632*Q632,10)</f>
        <v>0</v>
      </c>
      <c r="S632" s="542"/>
      <c r="T632" s="687">
        <f>+ROUND(E632*S632,10)</f>
        <v>0</v>
      </c>
      <c r="U632" s="552"/>
      <c r="V632" s="614"/>
      <c r="W632" s="582">
        <f>ROUND(V632*$D632,10)</f>
        <v>0</v>
      </c>
      <c r="X632" s="581"/>
      <c r="Y632" s="582">
        <f>ROUND(X632*$D632,10)</f>
        <v>0</v>
      </c>
      <c r="Z632" s="581"/>
      <c r="AA632" s="582">
        <f>ROUND(Z632*$D632,10)</f>
        <v>0</v>
      </c>
      <c r="AB632" s="581"/>
      <c r="AC632" s="582">
        <f>ROUND(AB632*$D632,10)</f>
        <v>0</v>
      </c>
      <c r="AD632" s="912"/>
      <c r="AE632" s="769">
        <f t="shared" si="442"/>
        <v>0</v>
      </c>
    </row>
    <row r="633" spans="1:31" ht="15" hidden="1" customHeight="1" x14ac:dyDescent="0.2">
      <c r="A633" s="683" t="s">
        <v>1678</v>
      </c>
      <c r="B633" s="573" t="s">
        <v>1679</v>
      </c>
      <c r="C633" s="846"/>
      <c r="D633" s="576"/>
      <c r="E633" s="577"/>
      <c r="F633" s="180">
        <f>+ROUND(SUM(F634:F641),10)</f>
        <v>0</v>
      </c>
      <c r="G633" s="176"/>
      <c r="I633" s="613"/>
      <c r="J633" s="440">
        <f>ROUND(SUM(J634:J641),10)</f>
        <v>0</v>
      </c>
      <c r="K633" s="540"/>
      <c r="L633" s="180">
        <f>ROUND(SUM(L634:L641),10)</f>
        <v>0</v>
      </c>
      <c r="M633" s="542"/>
      <c r="N633" s="180">
        <f>ROUND(SUM(N634:N641),10)</f>
        <v>0</v>
      </c>
      <c r="O633" s="542"/>
      <c r="P633" s="180">
        <f>ROUND(SUM(P634:P641),10)</f>
        <v>0</v>
      </c>
      <c r="Q633" s="542"/>
      <c r="R633" s="180">
        <f>ROUND(SUM(R634:R641),10)</f>
        <v>0</v>
      </c>
      <c r="S633" s="542"/>
      <c r="T633" s="447">
        <f>ROUND(SUM(T634:T641),10)</f>
        <v>0</v>
      </c>
      <c r="V633" s="614"/>
      <c r="W633" s="570">
        <f>ROUND(SUM(W634:W641),10)</f>
        <v>0</v>
      </c>
      <c r="X633" s="581"/>
      <c r="Y633" s="570">
        <f>ROUND(SUM(Y634:Y641),10)</f>
        <v>0</v>
      </c>
      <c r="Z633" s="581"/>
      <c r="AA633" s="570">
        <f>ROUND(SUM(AA634:AA641),10)</f>
        <v>0</v>
      </c>
      <c r="AB633" s="581"/>
      <c r="AC633" s="570">
        <f>ROUND(SUM(AC634:AC641),10)</f>
        <v>0</v>
      </c>
      <c r="AE633" s="769">
        <f t="shared" si="442"/>
        <v>0</v>
      </c>
    </row>
    <row r="634" spans="1:31" ht="15" hidden="1" customHeight="1" x14ac:dyDescent="0.2">
      <c r="A634" s="922" t="s">
        <v>1680</v>
      </c>
      <c r="B634" s="601" t="s">
        <v>1681</v>
      </c>
      <c r="C634" s="611" t="s">
        <v>111</v>
      </c>
      <c r="D634" s="576">
        <f t="shared" ref="D634:D641" si="468">+I634+K634+M634+O634+Q634+S634</f>
        <v>0</v>
      </c>
      <c r="E634" s="577">
        <f t="shared" si="467"/>
        <v>0</v>
      </c>
      <c r="F634" s="577">
        <f t="shared" ref="F634:F641" si="469">ROUND(D634*E634,10)</f>
        <v>0</v>
      </c>
      <c r="G634" s="686"/>
      <c r="I634" s="594"/>
      <c r="J634" s="580">
        <f t="shared" ref="J634:J641" si="470">+ROUND(E634*I634,10)</f>
        <v>0</v>
      </c>
      <c r="K634" s="540"/>
      <c r="L634" s="445">
        <f t="shared" ref="L634:L641" si="471">+ROUND(E634*K634,10)</f>
        <v>0</v>
      </c>
      <c r="M634" s="542"/>
      <c r="N634" s="445">
        <f t="shared" ref="N634:N641" si="472">+ROUND(E634*M634,10)</f>
        <v>0</v>
      </c>
      <c r="O634" s="542"/>
      <c r="P634" s="445">
        <f t="shared" ref="P634:P641" si="473">+ROUND(E634*O634,10)</f>
        <v>0</v>
      </c>
      <c r="Q634" s="542"/>
      <c r="R634" s="445">
        <f t="shared" ref="R634:R641" si="474">+ROUND(E634*Q634,10)</f>
        <v>0</v>
      </c>
      <c r="S634" s="542"/>
      <c r="T634" s="687">
        <f t="shared" ref="T634:T641" si="475">+ROUND(E634*S634,10)</f>
        <v>0</v>
      </c>
      <c r="V634" s="614"/>
      <c r="W634" s="582">
        <f t="shared" ref="W634:W641" si="476">ROUND(V634*$D634,10)</f>
        <v>0</v>
      </c>
      <c r="X634" s="581"/>
      <c r="Y634" s="582">
        <f t="shared" ref="Y634:Y641" si="477">ROUND(X634*$D634,10)</f>
        <v>0</v>
      </c>
      <c r="Z634" s="581"/>
      <c r="AA634" s="582">
        <f t="shared" ref="AA634:AA641" si="478">ROUND(Z634*$D634,10)</f>
        <v>0</v>
      </c>
      <c r="AB634" s="581"/>
      <c r="AC634" s="582">
        <f t="shared" ref="AC634:AC641" si="479">ROUND(AB634*$D634,10)</f>
        <v>0</v>
      </c>
      <c r="AE634" s="769">
        <f t="shared" si="442"/>
        <v>0</v>
      </c>
    </row>
    <row r="635" spans="1:31" ht="15" hidden="1" customHeight="1" x14ac:dyDescent="0.2">
      <c r="A635" s="922" t="s">
        <v>1682</v>
      </c>
      <c r="B635" s="601" t="s">
        <v>1683</v>
      </c>
      <c r="C635" s="611" t="s">
        <v>111</v>
      </c>
      <c r="D635" s="576">
        <f t="shared" si="468"/>
        <v>0</v>
      </c>
      <c r="E635" s="577">
        <f t="shared" si="467"/>
        <v>0</v>
      </c>
      <c r="F635" s="577">
        <f t="shared" si="469"/>
        <v>0</v>
      </c>
      <c r="G635" s="686"/>
      <c r="I635" s="584"/>
      <c r="J635" s="585">
        <f t="shared" si="470"/>
        <v>0</v>
      </c>
      <c r="K635" s="540"/>
      <c r="L635" s="445">
        <f t="shared" si="471"/>
        <v>0</v>
      </c>
      <c r="M635" s="542"/>
      <c r="N635" s="445">
        <f t="shared" si="472"/>
        <v>0</v>
      </c>
      <c r="O635" s="542"/>
      <c r="P635" s="445">
        <f t="shared" si="473"/>
        <v>0</v>
      </c>
      <c r="Q635" s="542"/>
      <c r="R635" s="445">
        <f t="shared" si="474"/>
        <v>0</v>
      </c>
      <c r="S635" s="542"/>
      <c r="T635" s="687">
        <f t="shared" si="475"/>
        <v>0</v>
      </c>
      <c r="V635" s="614"/>
      <c r="W635" s="582">
        <f t="shared" si="476"/>
        <v>0</v>
      </c>
      <c r="X635" s="581"/>
      <c r="Y635" s="582">
        <f t="shared" si="477"/>
        <v>0</v>
      </c>
      <c r="Z635" s="581"/>
      <c r="AA635" s="582">
        <f t="shared" si="478"/>
        <v>0</v>
      </c>
      <c r="AB635" s="581"/>
      <c r="AC635" s="582">
        <f t="shared" si="479"/>
        <v>0</v>
      </c>
      <c r="AE635" s="769">
        <f t="shared" si="442"/>
        <v>0</v>
      </c>
    </row>
    <row r="636" spans="1:31" ht="15" hidden="1" customHeight="1" x14ac:dyDescent="0.2">
      <c r="A636" s="922" t="s">
        <v>1684</v>
      </c>
      <c r="B636" s="601" t="s">
        <v>1685</v>
      </c>
      <c r="C636" s="792" t="s">
        <v>114</v>
      </c>
      <c r="D636" s="576">
        <f t="shared" si="468"/>
        <v>0</v>
      </c>
      <c r="E636" s="577">
        <f t="shared" si="467"/>
        <v>0</v>
      </c>
      <c r="F636" s="577">
        <f t="shared" si="469"/>
        <v>0</v>
      </c>
      <c r="G636" s="446"/>
      <c r="I636" s="584"/>
      <c r="J636" s="585">
        <f t="shared" si="470"/>
        <v>0</v>
      </c>
      <c r="K636" s="540"/>
      <c r="L636" s="445">
        <f t="shared" si="471"/>
        <v>0</v>
      </c>
      <c r="M636" s="542"/>
      <c r="N636" s="445">
        <f t="shared" si="472"/>
        <v>0</v>
      </c>
      <c r="O636" s="542"/>
      <c r="P636" s="445">
        <f t="shared" si="473"/>
        <v>0</v>
      </c>
      <c r="Q636" s="542"/>
      <c r="R636" s="445">
        <f t="shared" si="474"/>
        <v>0</v>
      </c>
      <c r="S636" s="542"/>
      <c r="T636" s="687">
        <f t="shared" si="475"/>
        <v>0</v>
      </c>
      <c r="V636" s="614"/>
      <c r="W636" s="582">
        <f t="shared" si="476"/>
        <v>0</v>
      </c>
      <c r="X636" s="581"/>
      <c r="Y636" s="582">
        <f t="shared" si="477"/>
        <v>0</v>
      </c>
      <c r="Z636" s="581"/>
      <c r="AA636" s="582">
        <f t="shared" si="478"/>
        <v>0</v>
      </c>
      <c r="AB636" s="581"/>
      <c r="AC636" s="582">
        <f t="shared" si="479"/>
        <v>0</v>
      </c>
      <c r="AE636" s="769">
        <f t="shared" si="442"/>
        <v>0</v>
      </c>
    </row>
    <row r="637" spans="1:31" ht="15" hidden="1" customHeight="1" x14ac:dyDescent="0.2">
      <c r="A637" s="922" t="s">
        <v>1686</v>
      </c>
      <c r="B637" s="601" t="s">
        <v>1687</v>
      </c>
      <c r="C637" s="611" t="s">
        <v>130</v>
      </c>
      <c r="D637" s="576">
        <f t="shared" si="468"/>
        <v>0</v>
      </c>
      <c r="E637" s="577">
        <f t="shared" si="467"/>
        <v>0</v>
      </c>
      <c r="F637" s="577">
        <f t="shared" si="469"/>
        <v>0</v>
      </c>
      <c r="G637" s="686"/>
      <c r="I637" s="584"/>
      <c r="J637" s="585">
        <f t="shared" si="470"/>
        <v>0</v>
      </c>
      <c r="K637" s="540"/>
      <c r="L637" s="445">
        <f t="shared" si="471"/>
        <v>0</v>
      </c>
      <c r="M637" s="542"/>
      <c r="N637" s="445">
        <f t="shared" si="472"/>
        <v>0</v>
      </c>
      <c r="O637" s="542"/>
      <c r="P637" s="445">
        <f t="shared" si="473"/>
        <v>0</v>
      </c>
      <c r="Q637" s="542"/>
      <c r="R637" s="445">
        <f t="shared" si="474"/>
        <v>0</v>
      </c>
      <c r="S637" s="542"/>
      <c r="T637" s="687">
        <f t="shared" si="475"/>
        <v>0</v>
      </c>
      <c r="V637" s="614"/>
      <c r="W637" s="582">
        <f t="shared" si="476"/>
        <v>0</v>
      </c>
      <c r="X637" s="581"/>
      <c r="Y637" s="582">
        <f t="shared" si="477"/>
        <v>0</v>
      </c>
      <c r="Z637" s="581"/>
      <c r="AA637" s="582">
        <f t="shared" si="478"/>
        <v>0</v>
      </c>
      <c r="AB637" s="581"/>
      <c r="AC637" s="582">
        <f t="shared" si="479"/>
        <v>0</v>
      </c>
      <c r="AE637" s="769">
        <f t="shared" si="442"/>
        <v>0</v>
      </c>
    </row>
    <row r="638" spans="1:31" ht="15" hidden="1" customHeight="1" x14ac:dyDescent="0.2">
      <c r="A638" s="922" t="s">
        <v>1688</v>
      </c>
      <c r="B638" s="601" t="s">
        <v>1689</v>
      </c>
      <c r="C638" s="611" t="s">
        <v>130</v>
      </c>
      <c r="D638" s="576">
        <f t="shared" si="468"/>
        <v>0</v>
      </c>
      <c r="E638" s="577">
        <f t="shared" si="467"/>
        <v>0</v>
      </c>
      <c r="F638" s="577">
        <f t="shared" si="469"/>
        <v>0</v>
      </c>
      <c r="G638" s="686"/>
      <c r="I638" s="584"/>
      <c r="J638" s="585">
        <f t="shared" si="470"/>
        <v>0</v>
      </c>
      <c r="K638" s="540"/>
      <c r="L638" s="445">
        <f t="shared" si="471"/>
        <v>0</v>
      </c>
      <c r="M638" s="542"/>
      <c r="N638" s="445">
        <f t="shared" si="472"/>
        <v>0</v>
      </c>
      <c r="O638" s="542"/>
      <c r="P638" s="445">
        <f t="shared" si="473"/>
        <v>0</v>
      </c>
      <c r="Q638" s="542"/>
      <c r="R638" s="445">
        <f t="shared" si="474"/>
        <v>0</v>
      </c>
      <c r="S638" s="542"/>
      <c r="T638" s="687">
        <f t="shared" si="475"/>
        <v>0</v>
      </c>
      <c r="V638" s="614"/>
      <c r="W638" s="582">
        <f t="shared" si="476"/>
        <v>0</v>
      </c>
      <c r="X638" s="581"/>
      <c r="Y638" s="582">
        <f t="shared" si="477"/>
        <v>0</v>
      </c>
      <c r="Z638" s="581"/>
      <c r="AA638" s="582">
        <f t="shared" si="478"/>
        <v>0</v>
      </c>
      <c r="AB638" s="581"/>
      <c r="AC638" s="582">
        <f t="shared" si="479"/>
        <v>0</v>
      </c>
      <c r="AE638" s="769">
        <f t="shared" si="442"/>
        <v>0</v>
      </c>
    </row>
    <row r="639" spans="1:31" ht="15" hidden="1" customHeight="1" x14ac:dyDescent="0.2">
      <c r="A639" s="922" t="s">
        <v>1690</v>
      </c>
      <c r="B639" s="601" t="s">
        <v>1691</v>
      </c>
      <c r="C639" s="611" t="s">
        <v>114</v>
      </c>
      <c r="D639" s="576">
        <f t="shared" si="468"/>
        <v>0</v>
      </c>
      <c r="E639" s="577">
        <f t="shared" si="467"/>
        <v>0</v>
      </c>
      <c r="F639" s="577">
        <f t="shared" si="469"/>
        <v>0</v>
      </c>
      <c r="G639" s="686"/>
      <c r="I639" s="584"/>
      <c r="J639" s="585">
        <f t="shared" si="470"/>
        <v>0</v>
      </c>
      <c r="K639" s="540"/>
      <c r="L639" s="445">
        <f t="shared" si="471"/>
        <v>0</v>
      </c>
      <c r="M639" s="542"/>
      <c r="N639" s="445">
        <f t="shared" si="472"/>
        <v>0</v>
      </c>
      <c r="O639" s="542"/>
      <c r="P639" s="445">
        <f t="shared" si="473"/>
        <v>0</v>
      </c>
      <c r="Q639" s="542"/>
      <c r="R639" s="445">
        <f t="shared" si="474"/>
        <v>0</v>
      </c>
      <c r="S639" s="542"/>
      <c r="T639" s="687">
        <f t="shared" si="475"/>
        <v>0</v>
      </c>
      <c r="V639" s="614"/>
      <c r="W639" s="582">
        <f t="shared" si="476"/>
        <v>0</v>
      </c>
      <c r="X639" s="581"/>
      <c r="Y639" s="582">
        <f t="shared" si="477"/>
        <v>0</v>
      </c>
      <c r="Z639" s="581"/>
      <c r="AA639" s="582">
        <f t="shared" si="478"/>
        <v>0</v>
      </c>
      <c r="AB639" s="581"/>
      <c r="AC639" s="582">
        <f t="shared" si="479"/>
        <v>0</v>
      </c>
      <c r="AE639" s="769">
        <f t="shared" si="442"/>
        <v>0</v>
      </c>
    </row>
    <row r="640" spans="1:31" ht="15" hidden="1" customHeight="1" x14ac:dyDescent="0.2">
      <c r="A640" s="922" t="s">
        <v>1692</v>
      </c>
      <c r="B640" s="601" t="s">
        <v>1693</v>
      </c>
      <c r="C640" s="611" t="s">
        <v>114</v>
      </c>
      <c r="D640" s="576">
        <f t="shared" si="468"/>
        <v>0</v>
      </c>
      <c r="E640" s="577">
        <f t="shared" si="467"/>
        <v>0</v>
      </c>
      <c r="F640" s="577">
        <f t="shared" si="469"/>
        <v>0</v>
      </c>
      <c r="G640" s="686"/>
      <c r="I640" s="584"/>
      <c r="J640" s="585">
        <f t="shared" si="470"/>
        <v>0</v>
      </c>
      <c r="K640" s="540"/>
      <c r="L640" s="445">
        <f t="shared" si="471"/>
        <v>0</v>
      </c>
      <c r="M640" s="542"/>
      <c r="N640" s="445">
        <f t="shared" si="472"/>
        <v>0</v>
      </c>
      <c r="O640" s="542"/>
      <c r="P640" s="445">
        <f t="shared" si="473"/>
        <v>0</v>
      </c>
      <c r="Q640" s="542"/>
      <c r="R640" s="445">
        <f t="shared" si="474"/>
        <v>0</v>
      </c>
      <c r="S640" s="542"/>
      <c r="T640" s="687">
        <f t="shared" si="475"/>
        <v>0</v>
      </c>
      <c r="V640" s="614"/>
      <c r="W640" s="582">
        <f t="shared" si="476"/>
        <v>0</v>
      </c>
      <c r="X640" s="581"/>
      <c r="Y640" s="582">
        <f t="shared" si="477"/>
        <v>0</v>
      </c>
      <c r="Z640" s="581"/>
      <c r="AA640" s="582">
        <f t="shared" si="478"/>
        <v>0</v>
      </c>
      <c r="AB640" s="581"/>
      <c r="AC640" s="582">
        <f t="shared" si="479"/>
        <v>0</v>
      </c>
      <c r="AE640" s="769">
        <f t="shared" si="442"/>
        <v>0</v>
      </c>
    </row>
    <row r="641" spans="1:31" ht="15" hidden="1" customHeight="1" x14ac:dyDescent="0.2">
      <c r="A641" s="922" t="s">
        <v>1694</v>
      </c>
      <c r="B641" s="601" t="s">
        <v>1695</v>
      </c>
      <c r="C641" s="611" t="s">
        <v>114</v>
      </c>
      <c r="D641" s="576">
        <f t="shared" si="468"/>
        <v>0</v>
      </c>
      <c r="E641" s="577">
        <f t="shared" si="467"/>
        <v>0</v>
      </c>
      <c r="F641" s="577">
        <f t="shared" si="469"/>
        <v>0</v>
      </c>
      <c r="G641" s="686"/>
      <c r="I641" s="597"/>
      <c r="J641" s="598">
        <f t="shared" si="470"/>
        <v>0</v>
      </c>
      <c r="K641" s="540"/>
      <c r="L641" s="445">
        <f t="shared" si="471"/>
        <v>0</v>
      </c>
      <c r="M641" s="542"/>
      <c r="N641" s="445">
        <f t="shared" si="472"/>
        <v>0</v>
      </c>
      <c r="O641" s="542"/>
      <c r="P641" s="445">
        <f t="shared" si="473"/>
        <v>0</v>
      </c>
      <c r="Q641" s="542"/>
      <c r="R641" s="445">
        <f t="shared" si="474"/>
        <v>0</v>
      </c>
      <c r="S641" s="542"/>
      <c r="T641" s="687">
        <f t="shared" si="475"/>
        <v>0</v>
      </c>
      <c r="V641" s="685"/>
      <c r="W641" s="582">
        <f t="shared" si="476"/>
        <v>0</v>
      </c>
      <c r="X641" s="575"/>
      <c r="Y641" s="582">
        <f t="shared" si="477"/>
        <v>0</v>
      </c>
      <c r="Z641" s="575"/>
      <c r="AA641" s="582">
        <f t="shared" si="478"/>
        <v>0</v>
      </c>
      <c r="AB641" s="575"/>
      <c r="AC641" s="582">
        <f t="shared" si="479"/>
        <v>0</v>
      </c>
      <c r="AE641" s="769">
        <f t="shared" si="442"/>
        <v>0</v>
      </c>
    </row>
    <row r="642" spans="1:31" ht="15" hidden="1" customHeight="1" x14ac:dyDescent="0.2">
      <c r="A642" s="683" t="s">
        <v>1696</v>
      </c>
      <c r="B642" s="573" t="s">
        <v>598</v>
      </c>
      <c r="C642" s="611"/>
      <c r="D642" s="576"/>
      <c r="E642" s="577"/>
      <c r="F642" s="626">
        <f>+ROUND(SUM(F643:F644),10)</f>
        <v>0</v>
      </c>
      <c r="G642" s="686"/>
      <c r="I642" s="613"/>
      <c r="J642" s="440">
        <f>ROUND(SUM(J643:J644),10)</f>
        <v>0</v>
      </c>
      <c r="K642" s="540"/>
      <c r="L642" s="180">
        <f>ROUND(SUM(L643:L644),10)</f>
        <v>0</v>
      </c>
      <c r="M642" s="542"/>
      <c r="N642" s="180">
        <f>ROUND(SUM(N643:N644),10)</f>
        <v>0</v>
      </c>
      <c r="O642" s="542"/>
      <c r="P642" s="180">
        <f>ROUND(SUM(P643:P644),10)</f>
        <v>0</v>
      </c>
      <c r="Q642" s="542"/>
      <c r="R642" s="180">
        <f>ROUND(SUM(R643:R644),10)</f>
        <v>0</v>
      </c>
      <c r="S642" s="542"/>
      <c r="T642" s="447">
        <f>ROUND(SUM(T643:T644),10)</f>
        <v>0</v>
      </c>
      <c r="V642" s="614"/>
      <c r="W642" s="570">
        <f>ROUND(SUM(W643:W644),10)</f>
        <v>0</v>
      </c>
      <c r="X642" s="581"/>
      <c r="Y642" s="570">
        <f>ROUND(SUM(Y643:Y644),10)</f>
        <v>0</v>
      </c>
      <c r="Z642" s="581"/>
      <c r="AA642" s="570">
        <f>ROUND(SUM(AA643:AA644),10)</f>
        <v>0</v>
      </c>
      <c r="AB642" s="581"/>
      <c r="AC642" s="570">
        <f>ROUND(SUM(AC643:AC644),10)</f>
        <v>0</v>
      </c>
      <c r="AE642" s="769">
        <f t="shared" si="442"/>
        <v>0</v>
      </c>
    </row>
    <row r="643" spans="1:31" ht="15" hidden="1" customHeight="1" x14ac:dyDescent="0.2">
      <c r="A643" s="922" t="s">
        <v>1697</v>
      </c>
      <c r="B643" s="601" t="s">
        <v>1698</v>
      </c>
      <c r="C643" s="611" t="s">
        <v>114</v>
      </c>
      <c r="D643" s="576">
        <f>+I643+K643+M643+O643+Q643+S643</f>
        <v>0</v>
      </c>
      <c r="E643" s="577">
        <f t="shared" si="467"/>
        <v>0</v>
      </c>
      <c r="F643" s="577">
        <f>ROUND(D643*E643,10)</f>
        <v>0</v>
      </c>
      <c r="G643" s="686"/>
      <c r="I643" s="594"/>
      <c r="J643" s="580">
        <f>+ROUND(E643*I643,10)</f>
        <v>0</v>
      </c>
      <c r="K643" s="540"/>
      <c r="L643" s="445">
        <f>+ROUND(E643*K643,10)</f>
        <v>0</v>
      </c>
      <c r="M643" s="542"/>
      <c r="N643" s="445">
        <f>+ROUND(E643*M643,10)</f>
        <v>0</v>
      </c>
      <c r="O643" s="542"/>
      <c r="P643" s="445">
        <f>+ROUND(E643*O643,10)</f>
        <v>0</v>
      </c>
      <c r="Q643" s="542"/>
      <c r="R643" s="445">
        <f>+ROUND(E643*Q643,10)</f>
        <v>0</v>
      </c>
      <c r="S643" s="542"/>
      <c r="T643" s="687">
        <f>+ROUND(E643*S643,10)</f>
        <v>0</v>
      </c>
      <c r="V643" s="614"/>
      <c r="W643" s="582">
        <f>ROUND(V643*$D643,10)</f>
        <v>0</v>
      </c>
      <c r="X643" s="581"/>
      <c r="Y643" s="582">
        <f>ROUND(X643*$D643,10)</f>
        <v>0</v>
      </c>
      <c r="Z643" s="581"/>
      <c r="AA643" s="582">
        <f>ROUND(Z643*$D643,10)</f>
        <v>0</v>
      </c>
      <c r="AB643" s="581"/>
      <c r="AC643" s="582">
        <f>ROUND(AB643*$D643,10)</f>
        <v>0</v>
      </c>
      <c r="AE643" s="769">
        <f t="shared" si="442"/>
        <v>0</v>
      </c>
    </row>
    <row r="644" spans="1:31" ht="15" hidden="1" customHeight="1" thickBot="1" x14ac:dyDescent="0.25">
      <c r="A644" s="922" t="s">
        <v>1699</v>
      </c>
      <c r="B644" s="601" t="s">
        <v>1700</v>
      </c>
      <c r="C644" s="611" t="s">
        <v>130</v>
      </c>
      <c r="D644" s="576">
        <f>+I644+K644+M644+O644+Q644+S644</f>
        <v>0</v>
      </c>
      <c r="E644" s="577">
        <f t="shared" si="467"/>
        <v>0</v>
      </c>
      <c r="F644" s="577">
        <f>ROUND(D644*E644,10)</f>
        <v>0</v>
      </c>
      <c r="G644" s="686"/>
      <c r="I644" s="602"/>
      <c r="J644" s="603">
        <f>+ROUND(E644*I644,10)</f>
        <v>0</v>
      </c>
      <c r="K644" s="540"/>
      <c r="L644" s="445">
        <f>+ROUND(E644*K644,10)</f>
        <v>0</v>
      </c>
      <c r="M644" s="542"/>
      <c r="N644" s="445">
        <f>+ROUND(E644*M644,10)</f>
        <v>0</v>
      </c>
      <c r="O644" s="542"/>
      <c r="P644" s="445">
        <f>+ROUND(E644*O644,10)</f>
        <v>0</v>
      </c>
      <c r="Q644" s="542"/>
      <c r="R644" s="445">
        <f>+ROUND(E644*Q644,10)</f>
        <v>0</v>
      </c>
      <c r="S644" s="542"/>
      <c r="T644" s="687">
        <f>+ROUND(E644*S644,10)</f>
        <v>0</v>
      </c>
      <c r="V644" s="614"/>
      <c r="W644" s="582">
        <f>ROUND(V644*$D644,10)</f>
        <v>0</v>
      </c>
      <c r="X644" s="581"/>
      <c r="Y644" s="582">
        <f>ROUND(X644*$D644,10)</f>
        <v>0</v>
      </c>
      <c r="Z644" s="581"/>
      <c r="AA644" s="582">
        <f>ROUND(Z644*$D644,10)</f>
        <v>0</v>
      </c>
      <c r="AB644" s="581"/>
      <c r="AC644" s="582">
        <f>ROUND(AB644*$D644,10)</f>
        <v>0</v>
      </c>
      <c r="AE644" s="769">
        <f t="shared" si="442"/>
        <v>0</v>
      </c>
    </row>
    <row r="645" spans="1:31" ht="15" hidden="1" customHeight="1" thickTop="1" thickBot="1" x14ac:dyDescent="0.25">
      <c r="A645" s="923"/>
      <c r="B645" s="924"/>
      <c r="C645" s="925"/>
      <c r="D645" s="576"/>
      <c r="E645" s="688"/>
      <c r="F645" s="688"/>
      <c r="G645" s="689"/>
      <c r="I645" s="604"/>
      <c r="J645" s="635"/>
      <c r="K645" s="722"/>
      <c r="L645" s="690"/>
      <c r="M645" s="723"/>
      <c r="N645" s="690"/>
      <c r="O645" s="723"/>
      <c r="P645" s="690"/>
      <c r="Q645" s="723"/>
      <c r="R645" s="690"/>
      <c r="S645" s="723"/>
      <c r="T645" s="691"/>
      <c r="V645" s="692"/>
      <c r="W645" s="693"/>
      <c r="X645" s="694"/>
      <c r="Y645" s="693"/>
      <c r="Z645" s="694"/>
      <c r="AA645" s="693"/>
      <c r="AB645" s="694"/>
      <c r="AC645" s="693"/>
      <c r="AE645" s="769">
        <f t="shared" si="442"/>
        <v>0</v>
      </c>
    </row>
    <row r="646" spans="1:31" s="657" customFormat="1" ht="6.75" customHeight="1" thickBot="1" x14ac:dyDescent="0.25">
      <c r="A646" s="919"/>
      <c r="B646" s="920"/>
      <c r="C646" s="919"/>
      <c r="D646" s="655"/>
      <c r="E646" s="656"/>
      <c r="F646" s="656"/>
      <c r="G646" s="656"/>
      <c r="I646" s="658"/>
      <c r="J646" s="658"/>
      <c r="K646" s="659"/>
      <c r="L646" s="658"/>
      <c r="M646" s="174"/>
      <c r="N646" s="658"/>
      <c r="O646" s="174"/>
      <c r="P646" s="658"/>
      <c r="Q646" s="174"/>
      <c r="R646" s="658"/>
      <c r="S646" s="174"/>
      <c r="T646" s="658"/>
      <c r="V646" s="667"/>
      <c r="W646" s="667"/>
      <c r="X646" s="667"/>
      <c r="Y646" s="667"/>
      <c r="Z646" s="667"/>
      <c r="AA646" s="667"/>
      <c r="AB646" s="667"/>
      <c r="AC646" s="667"/>
      <c r="AE646" s="769"/>
    </row>
    <row r="647" spans="1:31" ht="30" customHeight="1" thickTop="1" thickBot="1" x14ac:dyDescent="0.25">
      <c r="A647" s="564">
        <v>14</v>
      </c>
      <c r="B647" s="1045" t="s">
        <v>1701</v>
      </c>
      <c r="C647" s="1045"/>
      <c r="D647" s="1045"/>
      <c r="E647" s="1045"/>
      <c r="F647" s="1045"/>
      <c r="G647" s="180" t="e">
        <f>+F648+F653+F658</f>
        <v>#REF!</v>
      </c>
      <c r="H647" s="568"/>
      <c r="I647" s="616"/>
      <c r="J647" s="439" t="e">
        <f>+ROUND(J648+J653+J658,10)</f>
        <v>#REF!</v>
      </c>
      <c r="K647" s="617"/>
      <c r="L647" s="180" t="e">
        <f>+ROUND(L648+L653+L658,10)</f>
        <v>#REF!</v>
      </c>
      <c r="M647" s="180"/>
      <c r="N647" s="180" t="e">
        <f>+ROUND(N648+N653+N658,10)</f>
        <v>#REF!</v>
      </c>
      <c r="O647" s="180"/>
      <c r="P647" s="180" t="e">
        <f>+ROUND(P648+P653+P658,10)</f>
        <v>#REF!</v>
      </c>
      <c r="Q647" s="180"/>
      <c r="R647" s="180" t="e">
        <f>+ROUND(R648+R653+R658,10)</f>
        <v>#REF!</v>
      </c>
      <c r="S647" s="180"/>
      <c r="T647" s="180" t="e">
        <f>+ROUND(T648+T653+T658,10)</f>
        <v>#REF!</v>
      </c>
      <c r="U647" s="568"/>
      <c r="V647" s="569" t="e">
        <f>W647/$G$647</f>
        <v>#REF!</v>
      </c>
      <c r="W647" s="570" t="e">
        <f>ROUND(W648+W653+W658,10)</f>
        <v>#REF!</v>
      </c>
      <c r="X647" s="569" t="e">
        <f>Y647/$G$647</f>
        <v>#REF!</v>
      </c>
      <c r="Y647" s="570" t="e">
        <f>ROUND(Y648+Y653+Y658,10)</f>
        <v>#REF!</v>
      </c>
      <c r="Z647" s="569" t="e">
        <f>AA647/$G$647</f>
        <v>#REF!</v>
      </c>
      <c r="AA647" s="570" t="e">
        <f>ROUND(AA648+AA653+AA658,10)</f>
        <v>#REF!</v>
      </c>
      <c r="AB647" s="569" t="e">
        <f>AC647/$G$647</f>
        <v>#REF!</v>
      </c>
      <c r="AC647" s="570" t="e">
        <f>ROUND(AC648+AC653+AC658,10)</f>
        <v>#REF!</v>
      </c>
      <c r="AE647" s="769" t="e">
        <f t="shared" si="442"/>
        <v>#REF!</v>
      </c>
    </row>
    <row r="648" spans="1:31" s="595" customFormat="1" ht="16.5" thickTop="1" x14ac:dyDescent="0.2">
      <c r="A648" s="572" t="s">
        <v>1702</v>
      </c>
      <c r="B648" s="573" t="s">
        <v>1387</v>
      </c>
      <c r="C648" s="846"/>
      <c r="D648" s="576"/>
      <c r="E648" s="180"/>
      <c r="F648" s="180" t="e">
        <f>+ROUND(SUM(F649:F652),10)</f>
        <v>#REF!</v>
      </c>
      <c r="G648" s="473"/>
      <c r="H648" s="568"/>
      <c r="I648" s="618"/>
      <c r="J648" s="439" t="e">
        <f>ROUND(SUM(J649:J652),10)</f>
        <v>#REF!</v>
      </c>
      <c r="K648" s="539"/>
      <c r="L648" s="180" t="e">
        <f>ROUND(SUM(L649:L652),10)</f>
        <v>#REF!</v>
      </c>
      <c r="M648" s="541"/>
      <c r="N648" s="180" t="e">
        <f>ROUND(SUM(N649:N652),10)</f>
        <v>#REF!</v>
      </c>
      <c r="O648" s="541"/>
      <c r="P648" s="180" t="e">
        <f>ROUND(SUM(P649:P652),10)</f>
        <v>#REF!</v>
      </c>
      <c r="Q648" s="541"/>
      <c r="R648" s="180" t="e">
        <f>ROUND(SUM(R649:R652),10)</f>
        <v>#REF!</v>
      </c>
      <c r="S648" s="541"/>
      <c r="T648" s="180" t="e">
        <f>ROUND(SUM(T649:T652),10)</f>
        <v>#REF!</v>
      </c>
      <c r="U648" s="568"/>
      <c r="V648" s="575"/>
      <c r="W648" s="570" t="e">
        <f>ROUND(SUM(W649:W652),10)</f>
        <v>#REF!</v>
      </c>
      <c r="X648" s="575"/>
      <c r="Y648" s="570" t="e">
        <f>ROUND(SUM(Y649:Y652),10)</f>
        <v>#REF!</v>
      </c>
      <c r="Z648" s="575"/>
      <c r="AA648" s="570" t="e">
        <f>ROUND(SUM(AA649:AA652),10)</f>
        <v>#REF!</v>
      </c>
      <c r="AB648" s="575"/>
      <c r="AC648" s="570" t="e">
        <f>ROUND(SUM(AC649:AC652),10)</f>
        <v>#REF!</v>
      </c>
      <c r="AD648" s="912"/>
      <c r="AE648" s="769" t="e">
        <f t="shared" si="442"/>
        <v>#REF!</v>
      </c>
    </row>
    <row r="649" spans="1:31" s="595" customFormat="1" x14ac:dyDescent="0.2">
      <c r="A649" s="611" t="s">
        <v>1703</v>
      </c>
      <c r="B649" s="601" t="s">
        <v>1704</v>
      </c>
      <c r="C649" s="611" t="s">
        <v>130</v>
      </c>
      <c r="D649" s="576">
        <f>+I649+K649+M649+O649+Q649+S649</f>
        <v>336.83</v>
      </c>
      <c r="E649" s="577" t="e">
        <f t="shared" ref="E649:E661" si="480">V649+X649+Z649+AB649</f>
        <v>#REF!</v>
      </c>
      <c r="F649" s="577" t="e">
        <f>ROUND(D649*E649,10)</f>
        <v>#REF!</v>
      </c>
      <c r="G649" s="578"/>
      <c r="H649" s="552"/>
      <c r="I649" s="594"/>
      <c r="J649" s="580" t="e">
        <f>+ROUND(E649*I649,10)</f>
        <v>#REF!</v>
      </c>
      <c r="K649" s="537"/>
      <c r="L649" s="445" t="e">
        <f>+ROUND(E649*K649,10)</f>
        <v>#REF!</v>
      </c>
      <c r="M649" s="542">
        <f>11.09+8.3</f>
        <v>19.39</v>
      </c>
      <c r="N649" s="445" t="e">
        <f>+ROUND(E649*M649,10)</f>
        <v>#REF!</v>
      </c>
      <c r="O649" s="542">
        <v>317.44</v>
      </c>
      <c r="P649" s="445" t="e">
        <f>+ROUND(E649*O649,10)</f>
        <v>#REF!</v>
      </c>
      <c r="Q649" s="542"/>
      <c r="R649" s="445" t="e">
        <f>+ROUND(E649*Q649,10)</f>
        <v>#REF!</v>
      </c>
      <c r="S649" s="542"/>
      <c r="T649" s="445" t="e">
        <f>+ROUND(E649*S649,10)</f>
        <v>#REF!</v>
      </c>
      <c r="U649" s="552"/>
      <c r="V649" s="581" t="e">
        <f>+#REF!</f>
        <v>#REF!</v>
      </c>
      <c r="W649" s="582" t="e">
        <f>ROUND(V649*$D649,10)</f>
        <v>#REF!</v>
      </c>
      <c r="X649" s="581" t="e">
        <f>+#REF!</f>
        <v>#REF!</v>
      </c>
      <c r="Y649" s="582" t="e">
        <f>ROUND(X649*$D649,10)</f>
        <v>#REF!</v>
      </c>
      <c r="Z649" s="581" t="e">
        <f>+#REF!</f>
        <v>#REF!</v>
      </c>
      <c r="AA649" s="582" t="e">
        <f>ROUND(Z649*$D649,10)</f>
        <v>#REF!</v>
      </c>
      <c r="AB649" s="581" t="e">
        <f>+#REF!</f>
        <v>#REF!</v>
      </c>
      <c r="AC649" s="582" t="e">
        <f>ROUND(AB649*$D649,10)</f>
        <v>#REF!</v>
      </c>
      <c r="AD649" s="912"/>
      <c r="AE649" s="769" t="e">
        <f t="shared" si="442"/>
        <v>#REF!</v>
      </c>
    </row>
    <row r="650" spans="1:31" s="595" customFormat="1" ht="15" hidden="1" customHeight="1" x14ac:dyDescent="0.2">
      <c r="A650" s="611" t="s">
        <v>1705</v>
      </c>
      <c r="B650" s="601" t="s">
        <v>1706</v>
      </c>
      <c r="C650" s="611" t="s">
        <v>130</v>
      </c>
      <c r="D650" s="576">
        <f>+I650+K650+M650+O650+Q650+S650</f>
        <v>0</v>
      </c>
      <c r="E650" s="577">
        <f t="shared" si="480"/>
        <v>0</v>
      </c>
      <c r="F650" s="577">
        <f>ROUND(D650*E650,10)</f>
        <v>0</v>
      </c>
      <c r="G650" s="578"/>
      <c r="H650" s="552"/>
      <c r="I650" s="584"/>
      <c r="J650" s="585">
        <f>+ROUND(E650*I650,10)</f>
        <v>0</v>
      </c>
      <c r="K650" s="537"/>
      <c r="L650" s="445">
        <f>+ROUND(E650*K650,10)</f>
        <v>0</v>
      </c>
      <c r="M650" s="542"/>
      <c r="N650" s="445">
        <f>+ROUND(E650*M650,10)</f>
        <v>0</v>
      </c>
      <c r="O650" s="542"/>
      <c r="P650" s="445">
        <f>+ROUND(E650*O650,10)</f>
        <v>0</v>
      </c>
      <c r="Q650" s="542"/>
      <c r="R650" s="445">
        <f>+ROUND(E650*Q650,10)</f>
        <v>0</v>
      </c>
      <c r="S650" s="542"/>
      <c r="T650" s="445">
        <f>+ROUND(E650*S650,10)</f>
        <v>0</v>
      </c>
      <c r="U650" s="552"/>
      <c r="V650" s="581"/>
      <c r="W650" s="582">
        <f>ROUND(V650*$D650,10)</f>
        <v>0</v>
      </c>
      <c r="X650" s="581"/>
      <c r="Y650" s="582">
        <f>ROUND(X650*$D650,10)</f>
        <v>0</v>
      </c>
      <c r="Z650" s="581"/>
      <c r="AA650" s="582">
        <f>ROUND(Z650*$D650,10)</f>
        <v>0</v>
      </c>
      <c r="AB650" s="581"/>
      <c r="AC650" s="582">
        <f>ROUND(AB650*$D650,10)</f>
        <v>0</v>
      </c>
      <c r="AD650" s="912"/>
      <c r="AE650" s="769">
        <f t="shared" si="442"/>
        <v>0</v>
      </c>
    </row>
    <row r="651" spans="1:31" s="595" customFormat="1" ht="15" hidden="1" customHeight="1" x14ac:dyDescent="0.2">
      <c r="A651" s="611" t="s">
        <v>1707</v>
      </c>
      <c r="B651" s="601" t="s">
        <v>1708</v>
      </c>
      <c r="C651" s="611" t="s">
        <v>114</v>
      </c>
      <c r="D651" s="576">
        <f>+I651+K651+M651+O651+Q651+S651</f>
        <v>0</v>
      </c>
      <c r="E651" s="577">
        <f t="shared" si="480"/>
        <v>0</v>
      </c>
      <c r="F651" s="577">
        <f>ROUND(D651*E651,10)</f>
        <v>0</v>
      </c>
      <c r="G651" s="578"/>
      <c r="H651" s="552"/>
      <c r="I651" s="584"/>
      <c r="J651" s="585">
        <f>+ROUND(E651*I651,10)</f>
        <v>0</v>
      </c>
      <c r="K651" s="537"/>
      <c r="L651" s="445">
        <f>+ROUND(E651*K651,10)</f>
        <v>0</v>
      </c>
      <c r="M651" s="542"/>
      <c r="N651" s="445">
        <f>+ROUND(E651*M651,10)</f>
        <v>0</v>
      </c>
      <c r="O651" s="542"/>
      <c r="P651" s="445">
        <f>+ROUND(E651*O651,10)</f>
        <v>0</v>
      </c>
      <c r="Q651" s="542"/>
      <c r="R651" s="445">
        <f>+ROUND(E651*Q651,10)</f>
        <v>0</v>
      </c>
      <c r="S651" s="542"/>
      <c r="T651" s="445">
        <f>+ROUND(E651*S651,10)</f>
        <v>0</v>
      </c>
      <c r="U651" s="552"/>
      <c r="V651" s="581"/>
      <c r="W651" s="582">
        <f>ROUND(V651*$D651,10)</f>
        <v>0</v>
      </c>
      <c r="X651" s="581"/>
      <c r="Y651" s="582">
        <f>ROUND(X651*$D651,10)</f>
        <v>0</v>
      </c>
      <c r="Z651" s="581"/>
      <c r="AA651" s="582">
        <f>ROUND(Z651*$D651,10)</f>
        <v>0</v>
      </c>
      <c r="AB651" s="581"/>
      <c r="AC651" s="582">
        <f>ROUND(AB651*$D651,10)</f>
        <v>0</v>
      </c>
      <c r="AD651" s="912"/>
      <c r="AE651" s="769">
        <f t="shared" si="442"/>
        <v>0</v>
      </c>
    </row>
    <row r="652" spans="1:31" s="595" customFormat="1" ht="15" hidden="1" customHeight="1" x14ac:dyDescent="0.2">
      <c r="A652" s="611" t="s">
        <v>1709</v>
      </c>
      <c r="B652" s="601" t="s">
        <v>1710</v>
      </c>
      <c r="C652" s="611" t="s">
        <v>114</v>
      </c>
      <c r="D652" s="576">
        <f>+I652+K652+M652+O652+Q652+S652</f>
        <v>0</v>
      </c>
      <c r="E652" s="577">
        <f t="shared" si="480"/>
        <v>0</v>
      </c>
      <c r="F652" s="577">
        <f>ROUND(D652*E652,10)</f>
        <v>0</v>
      </c>
      <c r="G652" s="578"/>
      <c r="H652" s="552"/>
      <c r="I652" s="597"/>
      <c r="J652" s="598">
        <f>+ROUND(E652*I652,10)</f>
        <v>0</v>
      </c>
      <c r="K652" s="537"/>
      <c r="L652" s="445">
        <f>+ROUND(E652*K652,10)</f>
        <v>0</v>
      </c>
      <c r="M652" s="542"/>
      <c r="N652" s="445">
        <f>+ROUND(E652*M652,10)</f>
        <v>0</v>
      </c>
      <c r="O652" s="542"/>
      <c r="P652" s="445">
        <f>+ROUND(E652*O652,10)</f>
        <v>0</v>
      </c>
      <c r="Q652" s="542"/>
      <c r="R652" s="445">
        <f>+ROUND(E652*Q652,10)</f>
        <v>0</v>
      </c>
      <c r="S652" s="542"/>
      <c r="T652" s="445">
        <f>+ROUND(E652*S652,10)</f>
        <v>0</v>
      </c>
      <c r="U652" s="552"/>
      <c r="V652" s="581"/>
      <c r="W652" s="582">
        <f>ROUND(V652*$D652,10)</f>
        <v>0</v>
      </c>
      <c r="X652" s="581"/>
      <c r="Y652" s="582">
        <f>ROUND(X652*$D652,10)</f>
        <v>0</v>
      </c>
      <c r="Z652" s="581"/>
      <c r="AA652" s="582">
        <f>ROUND(Z652*$D652,10)</f>
        <v>0</v>
      </c>
      <c r="AB652" s="581"/>
      <c r="AC652" s="582">
        <f>ROUND(AB652*$D652,10)</f>
        <v>0</v>
      </c>
      <c r="AD652" s="912"/>
      <c r="AE652" s="769">
        <f t="shared" si="442"/>
        <v>0</v>
      </c>
    </row>
    <row r="653" spans="1:31" s="595" customFormat="1" ht="15.75" hidden="1" customHeight="1" x14ac:dyDescent="0.2">
      <c r="A653" s="572">
        <v>14.2</v>
      </c>
      <c r="B653" s="573" t="s">
        <v>1711</v>
      </c>
      <c r="C653" s="846"/>
      <c r="D653" s="576"/>
      <c r="E653" s="577"/>
      <c r="F653" s="180">
        <f>+ROUND(SUM(F654:F657),10)</f>
        <v>0</v>
      </c>
      <c r="G653" s="473"/>
      <c r="H653" s="568"/>
      <c r="I653" s="613"/>
      <c r="J653" s="440">
        <f>ROUND(SUM(J654:J657),10)</f>
        <v>0</v>
      </c>
      <c r="K653" s="537"/>
      <c r="L653" s="180">
        <f>ROUND(SUM(L654:L657),10)</f>
        <v>0</v>
      </c>
      <c r="M653" s="542"/>
      <c r="N653" s="180">
        <f>ROUND(SUM(N654:N657),10)</f>
        <v>0</v>
      </c>
      <c r="O653" s="542"/>
      <c r="P653" s="180">
        <f>ROUND(SUM(P654:P657),10)</f>
        <v>0</v>
      </c>
      <c r="Q653" s="542"/>
      <c r="R653" s="180">
        <f>ROUND(SUM(R654:R657),10)</f>
        <v>0</v>
      </c>
      <c r="S653" s="542"/>
      <c r="T653" s="180">
        <f>ROUND(SUM(T654:T657),10)</f>
        <v>0</v>
      </c>
      <c r="U653" s="568"/>
      <c r="V653" s="575"/>
      <c r="W653" s="570">
        <f>ROUND(SUM(W654:W657),10)</f>
        <v>0</v>
      </c>
      <c r="X653" s="575"/>
      <c r="Y653" s="570">
        <f>ROUND(SUM(Y654:Y657),10)</f>
        <v>0</v>
      </c>
      <c r="Z653" s="575"/>
      <c r="AA653" s="570">
        <f>ROUND(SUM(AA654:AA657),10)</f>
        <v>0</v>
      </c>
      <c r="AB653" s="575"/>
      <c r="AC653" s="570">
        <f>ROUND(SUM(AC654:AC657),10)</f>
        <v>0</v>
      </c>
      <c r="AD653" s="912"/>
      <c r="AE653" s="769">
        <f t="shared" si="442"/>
        <v>0</v>
      </c>
    </row>
    <row r="654" spans="1:31" s="595" customFormat="1" ht="15" hidden="1" customHeight="1" x14ac:dyDescent="0.2">
      <c r="A654" s="611" t="s">
        <v>1712</v>
      </c>
      <c r="B654" s="601" t="s">
        <v>1713</v>
      </c>
      <c r="C654" s="611" t="s">
        <v>114</v>
      </c>
      <c r="D654" s="576">
        <f>+I654+K654+M654+O654+Q654+S654</f>
        <v>0</v>
      </c>
      <c r="E654" s="577">
        <f t="shared" si="480"/>
        <v>0</v>
      </c>
      <c r="F654" s="577">
        <f>ROUND(D654*E654,10)</f>
        <v>0</v>
      </c>
      <c r="G654" s="578"/>
      <c r="H654" s="552"/>
      <c r="I654" s="594"/>
      <c r="J654" s="580">
        <f>+ROUND(E654*I654,10)</f>
        <v>0</v>
      </c>
      <c r="K654" s="537"/>
      <c r="L654" s="445">
        <f>+ROUND(E654*K654,10)</f>
        <v>0</v>
      </c>
      <c r="M654" s="542"/>
      <c r="N654" s="445">
        <f>+ROUND(E654*M654,10)</f>
        <v>0</v>
      </c>
      <c r="O654" s="542"/>
      <c r="P654" s="445">
        <f>+ROUND(E654*O654,10)</f>
        <v>0</v>
      </c>
      <c r="Q654" s="542"/>
      <c r="R654" s="445">
        <f>+ROUND(E654*Q654,10)</f>
        <v>0</v>
      </c>
      <c r="S654" s="542"/>
      <c r="T654" s="445">
        <f>+ROUND(E654*S654,10)</f>
        <v>0</v>
      </c>
      <c r="U654" s="552"/>
      <c r="V654" s="581"/>
      <c r="W654" s="582">
        <f>ROUND(V654*$D654,10)</f>
        <v>0</v>
      </c>
      <c r="X654" s="581"/>
      <c r="Y654" s="582">
        <f>ROUND(X654*$D654,10)</f>
        <v>0</v>
      </c>
      <c r="Z654" s="581"/>
      <c r="AA654" s="582">
        <f>ROUND(Z654*$D654,10)</f>
        <v>0</v>
      </c>
      <c r="AB654" s="581"/>
      <c r="AC654" s="582">
        <f>ROUND(AB654*$D654,10)</f>
        <v>0</v>
      </c>
      <c r="AD654" s="912"/>
      <c r="AE654" s="769">
        <f t="shared" si="442"/>
        <v>0</v>
      </c>
    </row>
    <row r="655" spans="1:31" s="595" customFormat="1" ht="15" hidden="1" customHeight="1" x14ac:dyDescent="0.2">
      <c r="A655" s="611" t="s">
        <v>1714</v>
      </c>
      <c r="B655" s="601" t="s">
        <v>1715</v>
      </c>
      <c r="C655" s="611" t="s">
        <v>114</v>
      </c>
      <c r="D655" s="576">
        <f>+I655+K655+M655+O655+Q655+S655</f>
        <v>0</v>
      </c>
      <c r="E655" s="577">
        <f t="shared" si="480"/>
        <v>0</v>
      </c>
      <c r="F655" s="577">
        <f>ROUND(D655*E655,10)</f>
        <v>0</v>
      </c>
      <c r="G655" s="578"/>
      <c r="H655" s="552"/>
      <c r="I655" s="584"/>
      <c r="J655" s="585">
        <f>+ROUND(E655*I655,10)</f>
        <v>0</v>
      </c>
      <c r="K655" s="537"/>
      <c r="L655" s="445">
        <f>+ROUND(E655*K655,10)</f>
        <v>0</v>
      </c>
      <c r="M655" s="542"/>
      <c r="N655" s="445">
        <f>+ROUND(E655*M655,10)</f>
        <v>0</v>
      </c>
      <c r="O655" s="542"/>
      <c r="P655" s="445">
        <f>+ROUND(E655*O655,10)</f>
        <v>0</v>
      </c>
      <c r="Q655" s="542"/>
      <c r="R655" s="445">
        <f>+ROUND(E655*Q655,10)</f>
        <v>0</v>
      </c>
      <c r="S655" s="542"/>
      <c r="T655" s="445">
        <f>+ROUND(E655*S655,10)</f>
        <v>0</v>
      </c>
      <c r="U655" s="552"/>
      <c r="V655" s="581"/>
      <c r="W655" s="582">
        <f>ROUND(V655*$D655,10)</f>
        <v>0</v>
      </c>
      <c r="X655" s="581"/>
      <c r="Y655" s="582">
        <f>ROUND(X655*$D655,10)</f>
        <v>0</v>
      </c>
      <c r="Z655" s="581"/>
      <c r="AA655" s="582">
        <f>ROUND(Z655*$D655,10)</f>
        <v>0</v>
      </c>
      <c r="AB655" s="581"/>
      <c r="AC655" s="582">
        <f>ROUND(AB655*$D655,10)</f>
        <v>0</v>
      </c>
      <c r="AD655" s="912"/>
      <c r="AE655" s="769">
        <f t="shared" si="442"/>
        <v>0</v>
      </c>
    </row>
    <row r="656" spans="1:31" s="595" customFormat="1" ht="15" hidden="1" customHeight="1" x14ac:dyDescent="0.2">
      <c r="A656" s="611" t="s">
        <v>1716</v>
      </c>
      <c r="B656" s="601" t="s">
        <v>1717</v>
      </c>
      <c r="C656" s="611" t="s">
        <v>114</v>
      </c>
      <c r="D656" s="576">
        <f>+I656+K656+M656+O656+Q656+S656</f>
        <v>0</v>
      </c>
      <c r="E656" s="577">
        <f t="shared" si="480"/>
        <v>0</v>
      </c>
      <c r="F656" s="577">
        <f>ROUND(D656*E656,10)</f>
        <v>0</v>
      </c>
      <c r="G656" s="578"/>
      <c r="H656" s="552"/>
      <c r="I656" s="584"/>
      <c r="J656" s="585">
        <f>+ROUND(E656*I656,10)</f>
        <v>0</v>
      </c>
      <c r="K656" s="537"/>
      <c r="L656" s="445">
        <f>+ROUND(E656*K656,10)</f>
        <v>0</v>
      </c>
      <c r="M656" s="542"/>
      <c r="N656" s="445">
        <f>+ROUND(E656*M656,10)</f>
        <v>0</v>
      </c>
      <c r="O656" s="542"/>
      <c r="P656" s="445">
        <f>+ROUND(E656*O656,10)</f>
        <v>0</v>
      </c>
      <c r="Q656" s="542"/>
      <c r="R656" s="445">
        <f>+ROUND(E656*Q656,10)</f>
        <v>0</v>
      </c>
      <c r="S656" s="542"/>
      <c r="T656" s="445">
        <f>+ROUND(E656*S656,10)</f>
        <v>0</v>
      </c>
      <c r="U656" s="552"/>
      <c r="V656" s="581"/>
      <c r="W656" s="582">
        <f>ROUND(V656*$D656,10)</f>
        <v>0</v>
      </c>
      <c r="X656" s="581"/>
      <c r="Y656" s="582">
        <f>ROUND(X656*$D656,10)</f>
        <v>0</v>
      </c>
      <c r="Z656" s="581"/>
      <c r="AA656" s="582">
        <f>ROUND(Z656*$D656,10)</f>
        <v>0</v>
      </c>
      <c r="AB656" s="581"/>
      <c r="AC656" s="582">
        <f>ROUND(AB656*$D656,10)</f>
        <v>0</v>
      </c>
      <c r="AD656" s="912"/>
      <c r="AE656" s="769">
        <f t="shared" si="442"/>
        <v>0</v>
      </c>
    </row>
    <row r="657" spans="1:31" s="595" customFormat="1" ht="15" hidden="1" customHeight="1" x14ac:dyDescent="0.2">
      <c r="A657" s="611" t="s">
        <v>1718</v>
      </c>
      <c r="B657" s="601" t="s">
        <v>1719</v>
      </c>
      <c r="C657" s="611" t="s">
        <v>114</v>
      </c>
      <c r="D657" s="576">
        <f>+I657+K657+M657+O657+Q657+S657</f>
        <v>0</v>
      </c>
      <c r="E657" s="577">
        <f t="shared" si="480"/>
        <v>0</v>
      </c>
      <c r="F657" s="577">
        <f>ROUND(D657*E657,10)</f>
        <v>0</v>
      </c>
      <c r="G657" s="578"/>
      <c r="H657" s="552"/>
      <c r="I657" s="597"/>
      <c r="J657" s="598">
        <f>+ROUND(E657*I657,10)</f>
        <v>0</v>
      </c>
      <c r="K657" s="537"/>
      <c r="L657" s="445">
        <f>+ROUND(E657*K657,10)</f>
        <v>0</v>
      </c>
      <c r="M657" s="542"/>
      <c r="N657" s="445">
        <f>+ROUND(E657*M657,10)</f>
        <v>0</v>
      </c>
      <c r="O657" s="542"/>
      <c r="P657" s="445">
        <f>+ROUND(E657*O657,10)</f>
        <v>0</v>
      </c>
      <c r="Q657" s="542"/>
      <c r="R657" s="445">
        <f>+ROUND(E657*Q657,10)</f>
        <v>0</v>
      </c>
      <c r="S657" s="542"/>
      <c r="T657" s="445">
        <f>+ROUND(E657*S657,10)</f>
        <v>0</v>
      </c>
      <c r="U657" s="552"/>
      <c r="V657" s="581"/>
      <c r="W657" s="582">
        <f>ROUND(V657*$D657,10)</f>
        <v>0</v>
      </c>
      <c r="X657" s="581"/>
      <c r="Y657" s="582">
        <f>ROUND(X657*$D657,10)</f>
        <v>0</v>
      </c>
      <c r="Z657" s="581"/>
      <c r="AA657" s="582">
        <f>ROUND(Z657*$D657,10)</f>
        <v>0</v>
      </c>
      <c r="AB657" s="581"/>
      <c r="AC657" s="582">
        <f>ROUND(AB657*$D657,10)</f>
        <v>0</v>
      </c>
      <c r="AD657" s="912"/>
      <c r="AE657" s="769">
        <f t="shared" si="442"/>
        <v>0</v>
      </c>
    </row>
    <row r="658" spans="1:31" s="595" customFormat="1" ht="15.75" hidden="1" customHeight="1" x14ac:dyDescent="0.2">
      <c r="A658" s="572" t="s">
        <v>1720</v>
      </c>
      <c r="B658" s="573" t="s">
        <v>598</v>
      </c>
      <c r="C658" s="846"/>
      <c r="D658" s="576"/>
      <c r="E658" s="577"/>
      <c r="F658" s="180">
        <f>+ROUND(SUM(F659:F661),10)</f>
        <v>0</v>
      </c>
      <c r="G658" s="473"/>
      <c r="H658" s="568"/>
      <c r="I658" s="613"/>
      <c r="J658" s="440">
        <f>ROUND(SUM(J659:J661),10)</f>
        <v>0</v>
      </c>
      <c r="K658" s="537"/>
      <c r="L658" s="180">
        <f>ROUND(SUM(L659:L661),10)</f>
        <v>0</v>
      </c>
      <c r="M658" s="542"/>
      <c r="N658" s="180">
        <f>ROUND(SUM(N659:N661),10)</f>
        <v>0</v>
      </c>
      <c r="O658" s="542"/>
      <c r="P658" s="180">
        <f>ROUND(SUM(P659:P661),10)</f>
        <v>0</v>
      </c>
      <c r="Q658" s="542"/>
      <c r="R658" s="180">
        <f>ROUND(SUM(R659:R661),10)</f>
        <v>0</v>
      </c>
      <c r="S658" s="542"/>
      <c r="T658" s="180">
        <f>ROUND(SUM(T659:T661),10)</f>
        <v>0</v>
      </c>
      <c r="U658" s="568"/>
      <c r="V658" s="575"/>
      <c r="W658" s="570">
        <f>ROUND(SUM(W659:W663),10)</f>
        <v>0</v>
      </c>
      <c r="X658" s="575"/>
      <c r="Y658" s="570">
        <f>ROUND(SUM(Y659:Y663),10)</f>
        <v>0</v>
      </c>
      <c r="Z658" s="575"/>
      <c r="AA658" s="570">
        <f>ROUND(SUM(AA659:AA663),10)</f>
        <v>0</v>
      </c>
      <c r="AB658" s="575"/>
      <c r="AC658" s="570">
        <f>ROUND(SUM(AC659:AC663),10)</f>
        <v>0</v>
      </c>
      <c r="AD658" s="912"/>
      <c r="AE658" s="769">
        <f t="shared" ref="AE658:AE721" si="481">SUM(AC658,AA658,Y658,W658)-SUM(T658,R658,P658,N658,L658)</f>
        <v>0</v>
      </c>
    </row>
    <row r="659" spans="1:31" s="595" customFormat="1" ht="15" hidden="1" customHeight="1" x14ac:dyDescent="0.2">
      <c r="A659" s="611" t="s">
        <v>1721</v>
      </c>
      <c r="B659" s="601" t="s">
        <v>1722</v>
      </c>
      <c r="C659" s="611" t="s">
        <v>111</v>
      </c>
      <c r="D659" s="576">
        <f>+I659+K659+M659+O659+Q659+S659</f>
        <v>0</v>
      </c>
      <c r="E659" s="577">
        <f t="shared" si="480"/>
        <v>0</v>
      </c>
      <c r="F659" s="577">
        <f>ROUND(D659*E659,10)</f>
        <v>0</v>
      </c>
      <c r="G659" s="578"/>
      <c r="H659" s="552"/>
      <c r="I659" s="594"/>
      <c r="J659" s="580">
        <f>+ROUND(E659*I659,10)</f>
        <v>0</v>
      </c>
      <c r="K659" s="537"/>
      <c r="L659" s="445">
        <f>+ROUND(E659*K659,10)</f>
        <v>0</v>
      </c>
      <c r="M659" s="542"/>
      <c r="N659" s="445">
        <f>+ROUND(E659*M659,10)</f>
        <v>0</v>
      </c>
      <c r="O659" s="542"/>
      <c r="P659" s="445">
        <f>+ROUND(E659*O659,10)</f>
        <v>0</v>
      </c>
      <c r="Q659" s="542"/>
      <c r="R659" s="445">
        <f>+ROUND(E659*Q659,10)</f>
        <v>0</v>
      </c>
      <c r="S659" s="542"/>
      <c r="T659" s="445">
        <f>+ROUND(E659*S659,10)</f>
        <v>0</v>
      </c>
      <c r="U659" s="552"/>
      <c r="V659" s="581"/>
      <c r="W659" s="582">
        <f>ROUND(V659*$D659,10)</f>
        <v>0</v>
      </c>
      <c r="X659" s="581"/>
      <c r="Y659" s="582">
        <f>ROUND(X659*$D659,10)</f>
        <v>0</v>
      </c>
      <c r="Z659" s="581"/>
      <c r="AA659" s="582">
        <f>ROUND(Z659*$D659,10)</f>
        <v>0</v>
      </c>
      <c r="AB659" s="581"/>
      <c r="AC659" s="582">
        <f>ROUND(AB659*$D659,10)</f>
        <v>0</v>
      </c>
      <c r="AD659" s="912"/>
      <c r="AE659" s="769">
        <f t="shared" si="481"/>
        <v>0</v>
      </c>
    </row>
    <row r="660" spans="1:31" s="595" customFormat="1" ht="15" hidden="1" customHeight="1" x14ac:dyDescent="0.2">
      <c r="A660" s="611" t="s">
        <v>1723</v>
      </c>
      <c r="B660" s="601" t="s">
        <v>1724</v>
      </c>
      <c r="C660" s="611" t="s">
        <v>114</v>
      </c>
      <c r="D660" s="576">
        <f>+I660+K660+M660+O660+Q660+S660</f>
        <v>0</v>
      </c>
      <c r="E660" s="577">
        <f t="shared" si="480"/>
        <v>0</v>
      </c>
      <c r="F660" s="577">
        <f>ROUND(D660*E660,10)</f>
        <v>0</v>
      </c>
      <c r="G660" s="578"/>
      <c r="H660" s="552"/>
      <c r="I660" s="584"/>
      <c r="J660" s="585">
        <f>+ROUND(E660*I660,10)</f>
        <v>0</v>
      </c>
      <c r="K660" s="537"/>
      <c r="L660" s="445">
        <f>+ROUND(E660*K660,10)</f>
        <v>0</v>
      </c>
      <c r="M660" s="542"/>
      <c r="N660" s="445">
        <f>+ROUND(E660*M660,10)</f>
        <v>0</v>
      </c>
      <c r="O660" s="542"/>
      <c r="P660" s="445">
        <f>+ROUND(E660*O660,10)</f>
        <v>0</v>
      </c>
      <c r="Q660" s="542"/>
      <c r="R660" s="445">
        <f>+ROUND(E660*Q660,10)</f>
        <v>0</v>
      </c>
      <c r="S660" s="542"/>
      <c r="T660" s="445">
        <f>+ROUND(E660*S660,10)</f>
        <v>0</v>
      </c>
      <c r="U660" s="552"/>
      <c r="V660" s="581"/>
      <c r="W660" s="582">
        <f>ROUND(V660*$D660,10)</f>
        <v>0</v>
      </c>
      <c r="X660" s="581"/>
      <c r="Y660" s="582">
        <f>ROUND(X660*$D660,10)</f>
        <v>0</v>
      </c>
      <c r="Z660" s="581"/>
      <c r="AA660" s="582">
        <f>ROUND(Z660*$D660,10)</f>
        <v>0</v>
      </c>
      <c r="AB660" s="581"/>
      <c r="AC660" s="582">
        <f>ROUND(AB660*$D660,10)</f>
        <v>0</v>
      </c>
      <c r="AD660" s="912"/>
      <c r="AE660" s="769">
        <f t="shared" si="481"/>
        <v>0</v>
      </c>
    </row>
    <row r="661" spans="1:31" s="595" customFormat="1" ht="15.75" hidden="1" customHeight="1" thickBot="1" x14ac:dyDescent="0.25">
      <c r="A661" s="611" t="s">
        <v>1725</v>
      </c>
      <c r="B661" s="601" t="s">
        <v>1726</v>
      </c>
      <c r="C661" s="611" t="s">
        <v>114</v>
      </c>
      <c r="D661" s="576">
        <f>+I661+K661+M661+O661+Q661+S661</f>
        <v>0</v>
      </c>
      <c r="E661" s="577">
        <f t="shared" si="480"/>
        <v>0</v>
      </c>
      <c r="F661" s="577">
        <f>ROUND(D661*E661,10)</f>
        <v>0</v>
      </c>
      <c r="G661" s="578"/>
      <c r="H661" s="552"/>
      <c r="I661" s="602"/>
      <c r="J661" s="603">
        <f>+ROUND(E661*I661,10)</f>
        <v>0</v>
      </c>
      <c r="K661" s="537"/>
      <c r="L661" s="445">
        <f>+ROUND(E661*K661,10)</f>
        <v>0</v>
      </c>
      <c r="M661" s="542"/>
      <c r="N661" s="445">
        <f>+ROUND(E661*M661,10)</f>
        <v>0</v>
      </c>
      <c r="O661" s="542"/>
      <c r="P661" s="445">
        <f>+ROUND(E661*O661,10)</f>
        <v>0</v>
      </c>
      <c r="Q661" s="542"/>
      <c r="R661" s="445">
        <f>+ROUND(E661*Q661,10)</f>
        <v>0</v>
      </c>
      <c r="S661" s="542"/>
      <c r="T661" s="445">
        <f>+ROUND(E661*S661,10)</f>
        <v>0</v>
      </c>
      <c r="U661" s="552"/>
      <c r="V661" s="581"/>
      <c r="W661" s="582">
        <f>ROUND(V661*$D661,10)</f>
        <v>0</v>
      </c>
      <c r="X661" s="581"/>
      <c r="Y661" s="582">
        <f>ROUND(X661*$D661,10)</f>
        <v>0</v>
      </c>
      <c r="Z661" s="581"/>
      <c r="AA661" s="582">
        <f>ROUND(Z661*$D661,10)</f>
        <v>0</v>
      </c>
      <c r="AB661" s="581"/>
      <c r="AC661" s="582">
        <f>ROUND(AB661*$D661,10)</f>
        <v>0</v>
      </c>
      <c r="AD661" s="912"/>
      <c r="AE661" s="769">
        <f t="shared" si="481"/>
        <v>0</v>
      </c>
    </row>
    <row r="662" spans="1:31" s="595" customFormat="1" ht="15" hidden="1" customHeight="1" x14ac:dyDescent="0.2">
      <c r="A662" s="611"/>
      <c r="B662" s="601"/>
      <c r="C662" s="611"/>
      <c r="D662" s="576"/>
      <c r="E662" s="577"/>
      <c r="F662" s="577"/>
      <c r="G662" s="578"/>
      <c r="H662" s="552"/>
      <c r="I662" s="604"/>
      <c r="J662" s="635"/>
      <c r="K662" s="537"/>
      <c r="L662" s="445"/>
      <c r="M662" s="542"/>
      <c r="N662" s="445"/>
      <c r="O662" s="542"/>
      <c r="P662" s="445"/>
      <c r="Q662" s="542"/>
      <c r="R662" s="445"/>
      <c r="S662" s="542"/>
      <c r="T662" s="445"/>
      <c r="U662" s="552"/>
      <c r="V662" s="581"/>
      <c r="W662" s="582"/>
      <c r="X662" s="581"/>
      <c r="Y662" s="582"/>
      <c r="Z662" s="581"/>
      <c r="AA662" s="582"/>
      <c r="AB662" s="581"/>
      <c r="AC662" s="582"/>
      <c r="AD662" s="912"/>
      <c r="AE662" s="769">
        <f t="shared" si="481"/>
        <v>0</v>
      </c>
    </row>
    <row r="663" spans="1:31" s="666" customFormat="1" ht="6.75" customHeight="1" thickBot="1" x14ac:dyDescent="0.25">
      <c r="A663" s="919"/>
      <c r="B663" s="920"/>
      <c r="C663" s="919"/>
      <c r="D663" s="655"/>
      <c r="E663" s="656"/>
      <c r="F663" s="656"/>
      <c r="G663" s="656"/>
      <c r="H663" s="657"/>
      <c r="I663" s="658"/>
      <c r="J663" s="658"/>
      <c r="K663" s="659"/>
      <c r="L663" s="658"/>
      <c r="M663" s="174"/>
      <c r="N663" s="658"/>
      <c r="O663" s="174"/>
      <c r="P663" s="658"/>
      <c r="Q663" s="174"/>
      <c r="R663" s="658"/>
      <c r="S663" s="174"/>
      <c r="T663" s="658"/>
      <c r="U663" s="657"/>
      <c r="V663" s="667"/>
      <c r="W663" s="667"/>
      <c r="X663" s="667"/>
      <c r="Y663" s="667"/>
      <c r="Z663" s="667"/>
      <c r="AA663" s="667"/>
      <c r="AB663" s="667"/>
      <c r="AC663" s="667"/>
      <c r="AD663" s="921"/>
      <c r="AE663" s="769"/>
    </row>
    <row r="664" spans="1:31" ht="28.5" customHeight="1" thickTop="1" thickBot="1" x14ac:dyDescent="0.25">
      <c r="A664" s="564">
        <v>15</v>
      </c>
      <c r="B664" s="1045" t="s">
        <v>1727</v>
      </c>
      <c r="C664" s="1045"/>
      <c r="D664" s="1045"/>
      <c r="E664" s="1045"/>
      <c r="F664" s="1045"/>
      <c r="G664" s="180" t="e">
        <f>+F665+F672+F679+F687</f>
        <v>#REF!</v>
      </c>
      <c r="H664" s="568"/>
      <c r="I664" s="616"/>
      <c r="J664" s="439" t="e">
        <f>+ROUND(J665+J672+J679+J687,10)</f>
        <v>#REF!</v>
      </c>
      <c r="K664" s="617"/>
      <c r="L664" s="180" t="e">
        <f>+ROUND(L665+L672+L679+L687,10)</f>
        <v>#REF!</v>
      </c>
      <c r="M664" s="180"/>
      <c r="N664" s="180" t="e">
        <f>+ROUND(N665+N672+N679+N687,10)</f>
        <v>#REF!</v>
      </c>
      <c r="O664" s="180"/>
      <c r="P664" s="180" t="e">
        <f>+ROUND(P665+P672+P679+P687,10)</f>
        <v>#REF!</v>
      </c>
      <c r="Q664" s="180"/>
      <c r="R664" s="180" t="e">
        <f>+ROUND(R665+R672+R679+R687,10)</f>
        <v>#REF!</v>
      </c>
      <c r="S664" s="180"/>
      <c r="T664" s="180" t="e">
        <f>+ROUND(T665+T672+T679+T687,10)</f>
        <v>#REF!</v>
      </c>
      <c r="U664" s="568"/>
      <c r="V664" s="569" t="e">
        <f>W664/$G$664</f>
        <v>#REF!</v>
      </c>
      <c r="W664" s="570" t="e">
        <f>ROUND(W665+W672+W679+W687,10)</f>
        <v>#REF!</v>
      </c>
      <c r="X664" s="569" t="e">
        <f>Y664/$G$664</f>
        <v>#REF!</v>
      </c>
      <c r="Y664" s="570" t="e">
        <f>ROUND(Y665+Y672+Y679+Y687,10)</f>
        <v>#REF!</v>
      </c>
      <c r="Z664" s="569" t="e">
        <f>AA664/$G$664</f>
        <v>#REF!</v>
      </c>
      <c r="AA664" s="570" t="e">
        <f>ROUND(AA665+AA672+AA679+AA687,10)</f>
        <v>#REF!</v>
      </c>
      <c r="AB664" s="569" t="e">
        <f>AC664/$G$664</f>
        <v>#REF!</v>
      </c>
      <c r="AC664" s="570">
        <f>ROUND(AC665+AC672+AC679+AC687,10)</f>
        <v>0</v>
      </c>
      <c r="AE664" s="769" t="e">
        <f t="shared" si="481"/>
        <v>#REF!</v>
      </c>
    </row>
    <row r="665" spans="1:31" ht="15" customHeight="1" thickTop="1" x14ac:dyDescent="0.2">
      <c r="A665" s="572" t="s">
        <v>1728</v>
      </c>
      <c r="B665" s="573" t="s">
        <v>1729</v>
      </c>
      <c r="C665" s="846"/>
      <c r="D665" s="576"/>
      <c r="E665" s="180"/>
      <c r="F665" s="180" t="e">
        <f>+ROUND(SUM(F666:F671),10)</f>
        <v>#REF!</v>
      </c>
      <c r="G665" s="473"/>
      <c r="H665" s="568"/>
      <c r="I665" s="618"/>
      <c r="J665" s="439" t="e">
        <f>ROUND(SUM(J666:J671),10)</f>
        <v>#REF!</v>
      </c>
      <c r="K665" s="619"/>
      <c r="L665" s="180" t="e">
        <f>ROUND(SUM(L666:L671),10)</f>
        <v>#REF!</v>
      </c>
      <c r="M665" s="473"/>
      <c r="N665" s="180" t="e">
        <f>ROUND(SUM(N666:N671),10)</f>
        <v>#REF!</v>
      </c>
      <c r="O665" s="473"/>
      <c r="P665" s="180" t="e">
        <f>ROUND(SUM(P666:P671),10)</f>
        <v>#REF!</v>
      </c>
      <c r="Q665" s="473"/>
      <c r="R665" s="180" t="e">
        <f>ROUND(SUM(R666:R671),10)</f>
        <v>#REF!</v>
      </c>
      <c r="S665" s="473"/>
      <c r="T665" s="180" t="e">
        <f>ROUND(SUM(T666:T671),10)</f>
        <v>#REF!</v>
      </c>
      <c r="U665" s="568"/>
      <c r="V665" s="575"/>
      <c r="W665" s="570" t="e">
        <f>ROUND(SUM(W666:W671),10)</f>
        <v>#REF!</v>
      </c>
      <c r="X665" s="575"/>
      <c r="Y665" s="570" t="e">
        <f>ROUND(SUM(Y666:Y671),10)</f>
        <v>#REF!</v>
      </c>
      <c r="Z665" s="575"/>
      <c r="AA665" s="570" t="e">
        <f>ROUND(SUM(AA666:AA671),10)</f>
        <v>#REF!</v>
      </c>
      <c r="AB665" s="575"/>
      <c r="AC665" s="570">
        <f>ROUND(SUM(AC666:AC671),10)</f>
        <v>0</v>
      </c>
      <c r="AE665" s="769" t="e">
        <f t="shared" si="481"/>
        <v>#REF!</v>
      </c>
    </row>
    <row r="666" spans="1:31" ht="15" hidden="1" customHeight="1" x14ac:dyDescent="0.2">
      <c r="A666" s="611" t="s">
        <v>1730</v>
      </c>
      <c r="B666" s="601" t="s">
        <v>1731</v>
      </c>
      <c r="C666" s="611" t="s">
        <v>111</v>
      </c>
      <c r="D666" s="576">
        <f t="shared" ref="D666:D671" si="482">+I666+K666+M666+O666+Q666+S666</f>
        <v>0</v>
      </c>
      <c r="E666" s="577">
        <f t="shared" ref="E666:E689" si="483">V666+X666+Z666+AB666</f>
        <v>0</v>
      </c>
      <c r="F666" s="577">
        <f t="shared" ref="F666:F671" si="484">ROUND(D666*E666,10)</f>
        <v>0</v>
      </c>
      <c r="G666" s="578"/>
      <c r="I666" s="594"/>
      <c r="J666" s="580">
        <f t="shared" ref="J666:J671" si="485">+ROUND(E666*I666,10)</f>
        <v>0</v>
      </c>
      <c r="K666" s="537"/>
      <c r="L666" s="445">
        <f t="shared" ref="L666:L671" si="486">+ROUND(E666*K666,10)</f>
        <v>0</v>
      </c>
      <c r="M666" s="542"/>
      <c r="N666" s="445">
        <f t="shared" ref="N666:N671" si="487">+ROUND(E666*M666,10)</f>
        <v>0</v>
      </c>
      <c r="O666" s="542"/>
      <c r="P666" s="445">
        <f t="shared" ref="P666:P671" si="488">+ROUND(E666*O666,10)</f>
        <v>0</v>
      </c>
      <c r="Q666" s="542"/>
      <c r="R666" s="445">
        <f t="shared" ref="R666:R671" si="489">+ROUND(E666*Q666,10)</f>
        <v>0</v>
      </c>
      <c r="S666" s="542"/>
      <c r="T666" s="445">
        <f t="shared" ref="T666:T671" si="490">+ROUND(E666*S666,10)</f>
        <v>0</v>
      </c>
      <c r="V666" s="581"/>
      <c r="W666" s="582">
        <f t="shared" ref="W666:W671" si="491">ROUND(V666*$D666,10)</f>
        <v>0</v>
      </c>
      <c r="X666" s="581"/>
      <c r="Y666" s="582">
        <f t="shared" ref="Y666:Y671" si="492">ROUND(X666*$D666,10)</f>
        <v>0</v>
      </c>
      <c r="Z666" s="581"/>
      <c r="AA666" s="582">
        <f t="shared" ref="AA666:AA671" si="493">ROUND(Z666*$D666,10)</f>
        <v>0</v>
      </c>
      <c r="AB666" s="581"/>
      <c r="AC666" s="582">
        <f t="shared" ref="AC666:AC671" si="494">ROUND(AB666*$D666,10)</f>
        <v>0</v>
      </c>
      <c r="AE666" s="769">
        <f t="shared" si="481"/>
        <v>0</v>
      </c>
    </row>
    <row r="667" spans="1:31" ht="15" hidden="1" customHeight="1" x14ac:dyDescent="0.2">
      <c r="A667" s="611" t="s">
        <v>1732</v>
      </c>
      <c r="B667" s="601" t="s">
        <v>1733</v>
      </c>
      <c r="C667" s="611" t="s">
        <v>111</v>
      </c>
      <c r="D667" s="576">
        <f t="shared" si="482"/>
        <v>0</v>
      </c>
      <c r="E667" s="577">
        <f t="shared" si="483"/>
        <v>0</v>
      </c>
      <c r="F667" s="577">
        <f t="shared" si="484"/>
        <v>0</v>
      </c>
      <c r="G667" s="578"/>
      <c r="I667" s="584"/>
      <c r="J667" s="585">
        <f t="shared" si="485"/>
        <v>0</v>
      </c>
      <c r="K667" s="537"/>
      <c r="L667" s="445">
        <f t="shared" si="486"/>
        <v>0</v>
      </c>
      <c r="M667" s="542"/>
      <c r="N667" s="445">
        <f t="shared" si="487"/>
        <v>0</v>
      </c>
      <c r="O667" s="542"/>
      <c r="P667" s="445">
        <f t="shared" si="488"/>
        <v>0</v>
      </c>
      <c r="Q667" s="542"/>
      <c r="R667" s="445">
        <f t="shared" si="489"/>
        <v>0</v>
      </c>
      <c r="S667" s="542"/>
      <c r="T667" s="445">
        <f t="shared" si="490"/>
        <v>0</v>
      </c>
      <c r="V667" s="581"/>
      <c r="W667" s="582">
        <f t="shared" si="491"/>
        <v>0</v>
      </c>
      <c r="X667" s="581"/>
      <c r="Y667" s="582">
        <f t="shared" si="492"/>
        <v>0</v>
      </c>
      <c r="Z667" s="581"/>
      <c r="AA667" s="582">
        <f t="shared" si="493"/>
        <v>0</v>
      </c>
      <c r="AB667" s="581"/>
      <c r="AC667" s="582">
        <f t="shared" si="494"/>
        <v>0</v>
      </c>
      <c r="AE667" s="769">
        <f t="shared" si="481"/>
        <v>0</v>
      </c>
    </row>
    <row r="668" spans="1:31" ht="51" x14ac:dyDescent="0.2">
      <c r="A668" s="611" t="s">
        <v>1734</v>
      </c>
      <c r="B668" s="601" t="s">
        <v>1735</v>
      </c>
      <c r="C668" s="611" t="s">
        <v>111</v>
      </c>
      <c r="D668" s="576">
        <f t="shared" si="482"/>
        <v>90</v>
      </c>
      <c r="E668" s="577" t="e">
        <f t="shared" si="483"/>
        <v>#REF!</v>
      </c>
      <c r="F668" s="577" t="e">
        <f t="shared" si="484"/>
        <v>#REF!</v>
      </c>
      <c r="G668" s="578"/>
      <c r="I668" s="584"/>
      <c r="J668" s="585" t="e">
        <f t="shared" si="485"/>
        <v>#REF!</v>
      </c>
      <c r="K668" s="537">
        <v>81</v>
      </c>
      <c r="L668" s="445" t="e">
        <f t="shared" si="486"/>
        <v>#REF!</v>
      </c>
      <c r="M668" s="542">
        <v>9</v>
      </c>
      <c r="N668" s="445" t="e">
        <f t="shared" si="487"/>
        <v>#REF!</v>
      </c>
      <c r="O668" s="542"/>
      <c r="P668" s="445" t="e">
        <f t="shared" si="488"/>
        <v>#REF!</v>
      </c>
      <c r="Q668" s="542"/>
      <c r="R668" s="445" t="e">
        <f t="shared" si="489"/>
        <v>#REF!</v>
      </c>
      <c r="S668" s="542"/>
      <c r="T668" s="445" t="e">
        <f t="shared" si="490"/>
        <v>#REF!</v>
      </c>
      <c r="V668" s="581" t="e">
        <f>+#REF!</f>
        <v>#REF!</v>
      </c>
      <c r="W668" s="582" t="e">
        <f t="shared" si="491"/>
        <v>#REF!</v>
      </c>
      <c r="X668" s="581" t="e">
        <f>+#REF!</f>
        <v>#REF!</v>
      </c>
      <c r="Y668" s="582" t="e">
        <f t="shared" si="492"/>
        <v>#REF!</v>
      </c>
      <c r="Z668" s="581" t="e">
        <f>+#REF!</f>
        <v>#REF!</v>
      </c>
      <c r="AA668" s="582" t="e">
        <f t="shared" si="493"/>
        <v>#REF!</v>
      </c>
      <c r="AB668" s="581"/>
      <c r="AC668" s="582">
        <f t="shared" si="494"/>
        <v>0</v>
      </c>
      <c r="AE668" s="769" t="e">
        <f t="shared" si="481"/>
        <v>#REF!</v>
      </c>
    </row>
    <row r="669" spans="1:31" ht="25.5" hidden="1" customHeight="1" x14ac:dyDescent="0.2">
      <c r="A669" s="611" t="s">
        <v>1736</v>
      </c>
      <c r="B669" s="601" t="s">
        <v>1737</v>
      </c>
      <c r="C669" s="611" t="s">
        <v>111</v>
      </c>
      <c r="D669" s="576">
        <f t="shared" si="482"/>
        <v>0</v>
      </c>
      <c r="E669" s="577">
        <f t="shared" si="483"/>
        <v>0</v>
      </c>
      <c r="F669" s="577">
        <f t="shared" si="484"/>
        <v>0</v>
      </c>
      <c r="G669" s="578"/>
      <c r="I669" s="584"/>
      <c r="J669" s="585">
        <f t="shared" si="485"/>
        <v>0</v>
      </c>
      <c r="K669" s="537"/>
      <c r="L669" s="445">
        <f t="shared" si="486"/>
        <v>0</v>
      </c>
      <c r="M669" s="542"/>
      <c r="N669" s="445">
        <f t="shared" si="487"/>
        <v>0</v>
      </c>
      <c r="O669" s="542"/>
      <c r="P669" s="445">
        <f t="shared" si="488"/>
        <v>0</v>
      </c>
      <c r="Q669" s="542"/>
      <c r="R669" s="445">
        <f t="shared" si="489"/>
        <v>0</v>
      </c>
      <c r="S669" s="542"/>
      <c r="T669" s="445">
        <f t="shared" si="490"/>
        <v>0</v>
      </c>
      <c r="V669" s="581"/>
      <c r="W669" s="582">
        <f t="shared" si="491"/>
        <v>0</v>
      </c>
      <c r="X669" s="581"/>
      <c r="Y669" s="582">
        <f t="shared" si="492"/>
        <v>0</v>
      </c>
      <c r="Z669" s="581"/>
      <c r="AA669" s="582">
        <f t="shared" si="493"/>
        <v>0</v>
      </c>
      <c r="AB669" s="581"/>
      <c r="AC669" s="582">
        <f t="shared" si="494"/>
        <v>0</v>
      </c>
      <c r="AE669" s="769">
        <f t="shared" si="481"/>
        <v>0</v>
      </c>
    </row>
    <row r="670" spans="1:31" ht="15" hidden="1" customHeight="1" x14ac:dyDescent="0.2">
      <c r="A670" s="611" t="s">
        <v>1738</v>
      </c>
      <c r="B670" s="601" t="s">
        <v>1739</v>
      </c>
      <c r="C670" s="611" t="s">
        <v>111</v>
      </c>
      <c r="D670" s="576">
        <f t="shared" si="482"/>
        <v>0</v>
      </c>
      <c r="E670" s="577">
        <f t="shared" si="483"/>
        <v>0</v>
      </c>
      <c r="F670" s="577">
        <f t="shared" si="484"/>
        <v>0</v>
      </c>
      <c r="G670" s="578"/>
      <c r="I670" s="584"/>
      <c r="J670" s="585">
        <f t="shared" si="485"/>
        <v>0</v>
      </c>
      <c r="K670" s="537"/>
      <c r="L670" s="445">
        <f t="shared" si="486"/>
        <v>0</v>
      </c>
      <c r="M670" s="542"/>
      <c r="N670" s="445">
        <f t="shared" si="487"/>
        <v>0</v>
      </c>
      <c r="O670" s="542"/>
      <c r="P670" s="445">
        <f t="shared" si="488"/>
        <v>0</v>
      </c>
      <c r="Q670" s="542"/>
      <c r="R670" s="445">
        <f t="shared" si="489"/>
        <v>0</v>
      </c>
      <c r="S670" s="542"/>
      <c r="T670" s="445">
        <f t="shared" si="490"/>
        <v>0</v>
      </c>
      <c r="V670" s="581"/>
      <c r="W670" s="582">
        <f t="shared" si="491"/>
        <v>0</v>
      </c>
      <c r="X670" s="581"/>
      <c r="Y670" s="582">
        <f t="shared" si="492"/>
        <v>0</v>
      </c>
      <c r="Z670" s="581"/>
      <c r="AA670" s="582">
        <f t="shared" si="493"/>
        <v>0</v>
      </c>
      <c r="AB670" s="581"/>
      <c r="AC670" s="582">
        <f t="shared" si="494"/>
        <v>0</v>
      </c>
      <c r="AE670" s="769">
        <f t="shared" si="481"/>
        <v>0</v>
      </c>
    </row>
    <row r="671" spans="1:31" ht="15" hidden="1" customHeight="1" x14ac:dyDescent="0.2">
      <c r="A671" s="611" t="s">
        <v>1740</v>
      </c>
      <c r="B671" s="601" t="s">
        <v>1741</v>
      </c>
      <c r="C671" s="611" t="s">
        <v>111</v>
      </c>
      <c r="D671" s="576">
        <f t="shared" si="482"/>
        <v>0</v>
      </c>
      <c r="E671" s="577">
        <f t="shared" si="483"/>
        <v>0</v>
      </c>
      <c r="F671" s="577">
        <f t="shared" si="484"/>
        <v>0</v>
      </c>
      <c r="G671" s="578"/>
      <c r="I671" s="597"/>
      <c r="J671" s="598">
        <f t="shared" si="485"/>
        <v>0</v>
      </c>
      <c r="K671" s="537"/>
      <c r="L671" s="445">
        <f t="shared" si="486"/>
        <v>0</v>
      </c>
      <c r="M671" s="542"/>
      <c r="N671" s="445">
        <f t="shared" si="487"/>
        <v>0</v>
      </c>
      <c r="O671" s="542"/>
      <c r="P671" s="445">
        <f t="shared" si="488"/>
        <v>0</v>
      </c>
      <c r="Q671" s="542"/>
      <c r="R671" s="445">
        <f t="shared" si="489"/>
        <v>0</v>
      </c>
      <c r="S671" s="542"/>
      <c r="T671" s="445">
        <f t="shared" si="490"/>
        <v>0</v>
      </c>
      <c r="V671" s="581"/>
      <c r="W671" s="582">
        <f t="shared" si="491"/>
        <v>0</v>
      </c>
      <c r="X671" s="581"/>
      <c r="Y671" s="582">
        <f t="shared" si="492"/>
        <v>0</v>
      </c>
      <c r="Z671" s="581"/>
      <c r="AA671" s="582">
        <f t="shared" si="493"/>
        <v>0</v>
      </c>
      <c r="AB671" s="581"/>
      <c r="AC671" s="582">
        <f t="shared" si="494"/>
        <v>0</v>
      </c>
      <c r="AE671" s="769">
        <f t="shared" si="481"/>
        <v>0</v>
      </c>
    </row>
    <row r="672" spans="1:31" ht="15" hidden="1" customHeight="1" x14ac:dyDescent="0.2">
      <c r="A672" s="572" t="s">
        <v>1742</v>
      </c>
      <c r="B672" s="573" t="s">
        <v>1743</v>
      </c>
      <c r="C672" s="846"/>
      <c r="D672" s="576"/>
      <c r="E672" s="577"/>
      <c r="F672" s="180">
        <f>+ROUND(SUM(F673:F678),10)</f>
        <v>0</v>
      </c>
      <c r="G672" s="473"/>
      <c r="H672" s="568"/>
      <c r="I672" s="613"/>
      <c r="J672" s="440">
        <f>ROUND(SUM(J673:J678),10)</f>
        <v>0</v>
      </c>
      <c r="K672" s="537"/>
      <c r="L672" s="180">
        <f>ROUND(SUM(L673:L678),10)</f>
        <v>0</v>
      </c>
      <c r="M672" s="542"/>
      <c r="N672" s="180">
        <f>ROUND(SUM(N673:N678),10)</f>
        <v>0</v>
      </c>
      <c r="O672" s="542"/>
      <c r="P672" s="180">
        <f>ROUND(SUM(P673:P678),10)</f>
        <v>0</v>
      </c>
      <c r="Q672" s="542"/>
      <c r="R672" s="180">
        <f>ROUND(SUM(R673:R678),10)</f>
        <v>0</v>
      </c>
      <c r="S672" s="542"/>
      <c r="T672" s="180">
        <f>ROUND(SUM(T673:T678),10)</f>
        <v>0</v>
      </c>
      <c r="U672" s="568"/>
      <c r="V672" s="575"/>
      <c r="W672" s="570">
        <f>ROUND(SUM(W673:W678),10)</f>
        <v>0</v>
      </c>
      <c r="X672" s="575"/>
      <c r="Y672" s="570">
        <f>ROUND(SUM(Y673:Y678),10)</f>
        <v>0</v>
      </c>
      <c r="Z672" s="575"/>
      <c r="AA672" s="570">
        <f>ROUND(SUM(AA673:AA678),10)</f>
        <v>0</v>
      </c>
      <c r="AB672" s="575"/>
      <c r="AC672" s="570">
        <f>ROUND(SUM(AC673:AC678),10)</f>
        <v>0</v>
      </c>
      <c r="AE672" s="769">
        <f t="shared" si="481"/>
        <v>0</v>
      </c>
    </row>
    <row r="673" spans="1:31" ht="15" hidden="1" customHeight="1" x14ac:dyDescent="0.2">
      <c r="A673" s="611" t="s">
        <v>1744</v>
      </c>
      <c r="B673" s="601" t="s">
        <v>1745</v>
      </c>
      <c r="C673" s="611" t="s">
        <v>111</v>
      </c>
      <c r="D673" s="576">
        <f t="shared" ref="D673:D678" si="495">+I673+K673+M673+O673+Q673+S673</f>
        <v>0</v>
      </c>
      <c r="E673" s="577">
        <f t="shared" si="483"/>
        <v>0</v>
      </c>
      <c r="F673" s="577">
        <f t="shared" ref="F673:F678" si="496">ROUND(D673*E673,10)</f>
        <v>0</v>
      </c>
      <c r="G673" s="578"/>
      <c r="I673" s="594"/>
      <c r="J673" s="580">
        <f t="shared" ref="J673:J678" si="497">+ROUND(E673*I673,10)</f>
        <v>0</v>
      </c>
      <c r="K673" s="537"/>
      <c r="L673" s="445">
        <f t="shared" ref="L673:L678" si="498">+ROUND(E673*K673,10)</f>
        <v>0</v>
      </c>
      <c r="M673" s="542"/>
      <c r="N673" s="445">
        <f t="shared" ref="N673:N678" si="499">+ROUND(E673*M673,10)</f>
        <v>0</v>
      </c>
      <c r="O673" s="542"/>
      <c r="P673" s="445">
        <f t="shared" ref="P673:P678" si="500">+ROUND(E673*O673,10)</f>
        <v>0</v>
      </c>
      <c r="Q673" s="542"/>
      <c r="R673" s="445">
        <f t="shared" ref="R673:R678" si="501">+ROUND(E673*Q673,10)</f>
        <v>0</v>
      </c>
      <c r="S673" s="542"/>
      <c r="T673" s="445">
        <f t="shared" ref="T673:T678" si="502">+ROUND(E673*S673,10)</f>
        <v>0</v>
      </c>
      <c r="V673" s="581"/>
      <c r="W673" s="582">
        <f t="shared" ref="W673:W678" si="503">ROUND(V673*$D673,10)</f>
        <v>0</v>
      </c>
      <c r="X673" s="581"/>
      <c r="Y673" s="582">
        <f t="shared" ref="Y673:Y678" si="504">ROUND(X673*$D673,10)</f>
        <v>0</v>
      </c>
      <c r="Z673" s="581"/>
      <c r="AA673" s="582">
        <f t="shared" ref="AA673:AA678" si="505">ROUND(Z673*$D673,10)</f>
        <v>0</v>
      </c>
      <c r="AB673" s="581"/>
      <c r="AC673" s="582">
        <f t="shared" ref="AC673:AC678" si="506">ROUND(AB673*$D673,10)</f>
        <v>0</v>
      </c>
      <c r="AE673" s="769">
        <f t="shared" si="481"/>
        <v>0</v>
      </c>
    </row>
    <row r="674" spans="1:31" ht="15" hidden="1" customHeight="1" x14ac:dyDescent="0.2">
      <c r="A674" s="611" t="s">
        <v>1746</v>
      </c>
      <c r="B674" s="601" t="s">
        <v>1747</v>
      </c>
      <c r="C674" s="611" t="s">
        <v>111</v>
      </c>
      <c r="D674" s="576">
        <f t="shared" si="495"/>
        <v>0</v>
      </c>
      <c r="E674" s="577">
        <f t="shared" si="483"/>
        <v>0</v>
      </c>
      <c r="F674" s="577">
        <f t="shared" si="496"/>
        <v>0</v>
      </c>
      <c r="G674" s="578"/>
      <c r="I674" s="584"/>
      <c r="J674" s="585">
        <f t="shared" si="497"/>
        <v>0</v>
      </c>
      <c r="K674" s="537"/>
      <c r="L674" s="445">
        <f t="shared" si="498"/>
        <v>0</v>
      </c>
      <c r="M674" s="542"/>
      <c r="N674" s="445">
        <f t="shared" si="499"/>
        <v>0</v>
      </c>
      <c r="O674" s="542"/>
      <c r="P674" s="445">
        <f t="shared" si="500"/>
        <v>0</v>
      </c>
      <c r="Q674" s="542"/>
      <c r="R674" s="445">
        <f t="shared" si="501"/>
        <v>0</v>
      </c>
      <c r="S674" s="542"/>
      <c r="T674" s="445">
        <f t="shared" si="502"/>
        <v>0</v>
      </c>
      <c r="V674" s="581"/>
      <c r="W674" s="582">
        <f t="shared" si="503"/>
        <v>0</v>
      </c>
      <c r="X674" s="581"/>
      <c r="Y674" s="582">
        <f t="shared" si="504"/>
        <v>0</v>
      </c>
      <c r="Z674" s="581"/>
      <c r="AA674" s="582">
        <f t="shared" si="505"/>
        <v>0</v>
      </c>
      <c r="AB674" s="581"/>
      <c r="AC674" s="582">
        <f t="shared" si="506"/>
        <v>0</v>
      </c>
      <c r="AE674" s="769">
        <f t="shared" si="481"/>
        <v>0</v>
      </c>
    </row>
    <row r="675" spans="1:31" ht="15" hidden="1" customHeight="1" x14ac:dyDescent="0.2">
      <c r="A675" s="611" t="s">
        <v>1748</v>
      </c>
      <c r="B675" s="601" t="s">
        <v>1749</v>
      </c>
      <c r="C675" s="611" t="s">
        <v>111</v>
      </c>
      <c r="D675" s="576">
        <f t="shared" si="495"/>
        <v>0</v>
      </c>
      <c r="E675" s="577">
        <f t="shared" si="483"/>
        <v>0</v>
      </c>
      <c r="F675" s="577">
        <f t="shared" si="496"/>
        <v>0</v>
      </c>
      <c r="G675" s="578"/>
      <c r="I675" s="584"/>
      <c r="J675" s="585">
        <f t="shared" si="497"/>
        <v>0</v>
      </c>
      <c r="K675" s="537"/>
      <c r="L675" s="445">
        <f t="shared" si="498"/>
        <v>0</v>
      </c>
      <c r="M675" s="542"/>
      <c r="N675" s="445">
        <f t="shared" si="499"/>
        <v>0</v>
      </c>
      <c r="O675" s="542"/>
      <c r="P675" s="445">
        <f t="shared" si="500"/>
        <v>0</v>
      </c>
      <c r="Q675" s="542"/>
      <c r="R675" s="445">
        <f t="shared" si="501"/>
        <v>0</v>
      </c>
      <c r="S675" s="542"/>
      <c r="T675" s="445">
        <f t="shared" si="502"/>
        <v>0</v>
      </c>
      <c r="V675" s="581"/>
      <c r="W675" s="582">
        <f t="shared" si="503"/>
        <v>0</v>
      </c>
      <c r="X675" s="581"/>
      <c r="Y675" s="582">
        <f t="shared" si="504"/>
        <v>0</v>
      </c>
      <c r="Z675" s="581"/>
      <c r="AA675" s="582">
        <f t="shared" si="505"/>
        <v>0</v>
      </c>
      <c r="AB675" s="581"/>
      <c r="AC675" s="582">
        <f t="shared" si="506"/>
        <v>0</v>
      </c>
      <c r="AE675" s="769">
        <f t="shared" si="481"/>
        <v>0</v>
      </c>
    </row>
    <row r="676" spans="1:31" ht="15" hidden="1" customHeight="1" x14ac:dyDescent="0.2">
      <c r="A676" s="611" t="s">
        <v>1750</v>
      </c>
      <c r="B676" s="601" t="s">
        <v>1751</v>
      </c>
      <c r="C676" s="611" t="s">
        <v>111</v>
      </c>
      <c r="D676" s="576">
        <f t="shared" si="495"/>
        <v>0</v>
      </c>
      <c r="E676" s="577">
        <f t="shared" si="483"/>
        <v>0</v>
      </c>
      <c r="F676" s="577">
        <f t="shared" si="496"/>
        <v>0</v>
      </c>
      <c r="G676" s="578"/>
      <c r="I676" s="584"/>
      <c r="J676" s="585">
        <f t="shared" si="497"/>
        <v>0</v>
      </c>
      <c r="K676" s="537"/>
      <c r="L676" s="445">
        <f t="shared" si="498"/>
        <v>0</v>
      </c>
      <c r="M676" s="542"/>
      <c r="N676" s="445">
        <f t="shared" si="499"/>
        <v>0</v>
      </c>
      <c r="O676" s="542"/>
      <c r="P676" s="445">
        <f t="shared" si="500"/>
        <v>0</v>
      </c>
      <c r="Q676" s="542"/>
      <c r="R676" s="445">
        <f t="shared" si="501"/>
        <v>0</v>
      </c>
      <c r="S676" s="542"/>
      <c r="T676" s="445">
        <f t="shared" si="502"/>
        <v>0</v>
      </c>
      <c r="V676" s="581"/>
      <c r="W676" s="582">
        <f t="shared" si="503"/>
        <v>0</v>
      </c>
      <c r="X676" s="581"/>
      <c r="Y676" s="582">
        <f t="shared" si="504"/>
        <v>0</v>
      </c>
      <c r="Z676" s="581"/>
      <c r="AA676" s="582">
        <f t="shared" si="505"/>
        <v>0</v>
      </c>
      <c r="AB676" s="581"/>
      <c r="AC676" s="582">
        <f t="shared" si="506"/>
        <v>0</v>
      </c>
      <c r="AE676" s="769">
        <f t="shared" si="481"/>
        <v>0</v>
      </c>
    </row>
    <row r="677" spans="1:31" ht="15" hidden="1" customHeight="1" x14ac:dyDescent="0.2">
      <c r="A677" s="611" t="s">
        <v>1752</v>
      </c>
      <c r="B677" s="601" t="s">
        <v>1753</v>
      </c>
      <c r="C677" s="611" t="s">
        <v>111</v>
      </c>
      <c r="D677" s="576">
        <f t="shared" si="495"/>
        <v>0</v>
      </c>
      <c r="E677" s="577">
        <f t="shared" si="483"/>
        <v>0</v>
      </c>
      <c r="F677" s="577">
        <f t="shared" si="496"/>
        <v>0</v>
      </c>
      <c r="G677" s="578"/>
      <c r="I677" s="584"/>
      <c r="J677" s="585">
        <f t="shared" si="497"/>
        <v>0</v>
      </c>
      <c r="K677" s="537"/>
      <c r="L677" s="445">
        <f t="shared" si="498"/>
        <v>0</v>
      </c>
      <c r="M677" s="542"/>
      <c r="N677" s="445">
        <f t="shared" si="499"/>
        <v>0</v>
      </c>
      <c r="O677" s="542"/>
      <c r="P677" s="445">
        <f t="shared" si="500"/>
        <v>0</v>
      </c>
      <c r="Q677" s="542"/>
      <c r="R677" s="445">
        <f t="shared" si="501"/>
        <v>0</v>
      </c>
      <c r="S677" s="542"/>
      <c r="T677" s="445">
        <f t="shared" si="502"/>
        <v>0</v>
      </c>
      <c r="V677" s="581"/>
      <c r="W677" s="582">
        <f t="shared" si="503"/>
        <v>0</v>
      </c>
      <c r="X677" s="581"/>
      <c r="Y677" s="582">
        <f t="shared" si="504"/>
        <v>0</v>
      </c>
      <c r="Z677" s="581"/>
      <c r="AA677" s="582">
        <f t="shared" si="505"/>
        <v>0</v>
      </c>
      <c r="AB677" s="581"/>
      <c r="AC677" s="582">
        <f t="shared" si="506"/>
        <v>0</v>
      </c>
      <c r="AE677" s="769">
        <f t="shared" si="481"/>
        <v>0</v>
      </c>
    </row>
    <row r="678" spans="1:31" ht="15" hidden="1" customHeight="1" x14ac:dyDescent="0.2">
      <c r="A678" s="611" t="s">
        <v>1754</v>
      </c>
      <c r="B678" s="601" t="s">
        <v>1755</v>
      </c>
      <c r="C678" s="611" t="s">
        <v>111</v>
      </c>
      <c r="D678" s="576">
        <f t="shared" si="495"/>
        <v>0</v>
      </c>
      <c r="E678" s="577">
        <f t="shared" si="483"/>
        <v>0</v>
      </c>
      <c r="F678" s="577">
        <f t="shared" si="496"/>
        <v>0</v>
      </c>
      <c r="G678" s="578"/>
      <c r="I678" s="597"/>
      <c r="J678" s="598">
        <f t="shared" si="497"/>
        <v>0</v>
      </c>
      <c r="K678" s="537"/>
      <c r="L678" s="445">
        <f t="shared" si="498"/>
        <v>0</v>
      </c>
      <c r="M678" s="542"/>
      <c r="N678" s="445">
        <f t="shared" si="499"/>
        <v>0</v>
      </c>
      <c r="O678" s="542"/>
      <c r="P678" s="445">
        <f t="shared" si="500"/>
        <v>0</v>
      </c>
      <c r="Q678" s="542"/>
      <c r="R678" s="445">
        <f t="shared" si="501"/>
        <v>0</v>
      </c>
      <c r="S678" s="542"/>
      <c r="T678" s="445">
        <f t="shared" si="502"/>
        <v>0</v>
      </c>
      <c r="V678" s="581"/>
      <c r="W678" s="582">
        <f t="shared" si="503"/>
        <v>0</v>
      </c>
      <c r="X678" s="581"/>
      <c r="Y678" s="582">
        <f t="shared" si="504"/>
        <v>0</v>
      </c>
      <c r="Z678" s="581"/>
      <c r="AA678" s="582">
        <f t="shared" si="505"/>
        <v>0</v>
      </c>
      <c r="AB678" s="581"/>
      <c r="AC678" s="582">
        <f t="shared" si="506"/>
        <v>0</v>
      </c>
      <c r="AE678" s="769">
        <f t="shared" si="481"/>
        <v>0</v>
      </c>
    </row>
    <row r="679" spans="1:31" ht="15" hidden="1" customHeight="1" x14ac:dyDescent="0.2">
      <c r="A679" s="572" t="s">
        <v>1756</v>
      </c>
      <c r="B679" s="573" t="s">
        <v>1757</v>
      </c>
      <c r="C679" s="846"/>
      <c r="D679" s="576"/>
      <c r="E679" s="577"/>
      <c r="F679" s="180">
        <f>+ROUND(SUM(F680:F686),10)</f>
        <v>0</v>
      </c>
      <c r="G679" s="473"/>
      <c r="H679" s="568"/>
      <c r="I679" s="613"/>
      <c r="J679" s="440">
        <f>ROUND(SUM(J680:J686),10)</f>
        <v>0</v>
      </c>
      <c r="K679" s="537"/>
      <c r="L679" s="180">
        <f>ROUND(SUM(L680:L686),10)</f>
        <v>0</v>
      </c>
      <c r="M679" s="542"/>
      <c r="N679" s="180">
        <f>ROUND(SUM(N680:N686),10)</f>
        <v>0</v>
      </c>
      <c r="O679" s="542"/>
      <c r="P679" s="180">
        <f>ROUND(SUM(P680:P686),10)</f>
        <v>0</v>
      </c>
      <c r="Q679" s="542"/>
      <c r="R679" s="180">
        <f>ROUND(SUM(R680:R686),10)</f>
        <v>0</v>
      </c>
      <c r="S679" s="542"/>
      <c r="T679" s="180">
        <f>ROUND(SUM(T680:T686),10)</f>
        <v>0</v>
      </c>
      <c r="U679" s="568"/>
      <c r="V679" s="575"/>
      <c r="W679" s="570">
        <f>ROUND(SUM(W680:W686),10)</f>
        <v>0</v>
      </c>
      <c r="X679" s="575"/>
      <c r="Y679" s="570">
        <f>ROUND(SUM(Y680:Y686),10)</f>
        <v>0</v>
      </c>
      <c r="Z679" s="575"/>
      <c r="AA679" s="570">
        <f>ROUND(SUM(AA680:AA686),10)</f>
        <v>0</v>
      </c>
      <c r="AB679" s="575"/>
      <c r="AC679" s="570">
        <f>ROUND(SUM(AC680:AC686),10)</f>
        <v>0</v>
      </c>
      <c r="AE679" s="769">
        <f t="shared" si="481"/>
        <v>0</v>
      </c>
    </row>
    <row r="680" spans="1:31" ht="15" hidden="1" customHeight="1" x14ac:dyDescent="0.2">
      <c r="A680" s="611" t="s">
        <v>1758</v>
      </c>
      <c r="B680" s="601" t="s">
        <v>1759</v>
      </c>
      <c r="C680" s="611" t="s">
        <v>111</v>
      </c>
      <c r="D680" s="576">
        <f t="shared" ref="D680:D686" si="507">+I680+K680+M680+O680+Q680+S680</f>
        <v>0</v>
      </c>
      <c r="E680" s="577">
        <f t="shared" si="483"/>
        <v>0</v>
      </c>
      <c r="F680" s="577">
        <f t="shared" ref="F680:F686" si="508">ROUND(D680*E680,10)</f>
        <v>0</v>
      </c>
      <c r="G680" s="578"/>
      <c r="I680" s="594"/>
      <c r="J680" s="580">
        <f t="shared" ref="J680:J686" si="509">+ROUND(E680*I680,10)</f>
        <v>0</v>
      </c>
      <c r="K680" s="537"/>
      <c r="L680" s="445">
        <f t="shared" ref="L680:L686" si="510">+ROUND(E680*K680,10)</f>
        <v>0</v>
      </c>
      <c r="M680" s="542"/>
      <c r="N680" s="445">
        <f t="shared" ref="N680:N686" si="511">+ROUND(E680*M680,10)</f>
        <v>0</v>
      </c>
      <c r="O680" s="542"/>
      <c r="P680" s="445">
        <f t="shared" ref="P680:P686" si="512">+ROUND(E680*O680,10)</f>
        <v>0</v>
      </c>
      <c r="Q680" s="542"/>
      <c r="R680" s="445">
        <f t="shared" ref="R680:R686" si="513">+ROUND(E680*Q680,10)</f>
        <v>0</v>
      </c>
      <c r="S680" s="542"/>
      <c r="T680" s="445">
        <f t="shared" ref="T680:T686" si="514">+ROUND(E680*S680,10)</f>
        <v>0</v>
      </c>
      <c r="V680" s="581"/>
      <c r="W680" s="582">
        <f t="shared" ref="W680:W686" si="515">ROUND(V680*$D680,10)</f>
        <v>0</v>
      </c>
      <c r="X680" s="581"/>
      <c r="Y680" s="582">
        <f t="shared" ref="Y680:Y686" si="516">ROUND(X680*$D680,10)</f>
        <v>0</v>
      </c>
      <c r="Z680" s="581"/>
      <c r="AA680" s="582">
        <f t="shared" ref="AA680:AA686" si="517">ROUND(Z680*$D680,10)</f>
        <v>0</v>
      </c>
      <c r="AB680" s="581"/>
      <c r="AC680" s="582">
        <f t="shared" ref="AC680:AC686" si="518">ROUND(AB680*$D680,10)</f>
        <v>0</v>
      </c>
      <c r="AE680" s="769">
        <f t="shared" si="481"/>
        <v>0</v>
      </c>
    </row>
    <row r="681" spans="1:31" ht="15" hidden="1" customHeight="1" x14ac:dyDescent="0.2">
      <c r="A681" s="611" t="s">
        <v>1760</v>
      </c>
      <c r="B681" s="601" t="s">
        <v>1761</v>
      </c>
      <c r="C681" s="611" t="s">
        <v>111</v>
      </c>
      <c r="D681" s="576">
        <f t="shared" si="507"/>
        <v>0</v>
      </c>
      <c r="E681" s="577">
        <f t="shared" si="483"/>
        <v>0</v>
      </c>
      <c r="F681" s="577">
        <f t="shared" si="508"/>
        <v>0</v>
      </c>
      <c r="G681" s="578"/>
      <c r="I681" s="584"/>
      <c r="J681" s="585">
        <f t="shared" si="509"/>
        <v>0</v>
      </c>
      <c r="K681" s="537"/>
      <c r="L681" s="445">
        <f t="shared" si="510"/>
        <v>0</v>
      </c>
      <c r="M681" s="542"/>
      <c r="N681" s="445">
        <f t="shared" si="511"/>
        <v>0</v>
      </c>
      <c r="O681" s="542"/>
      <c r="P681" s="445">
        <f t="shared" si="512"/>
        <v>0</v>
      </c>
      <c r="Q681" s="542"/>
      <c r="R681" s="445">
        <f t="shared" si="513"/>
        <v>0</v>
      </c>
      <c r="S681" s="542"/>
      <c r="T681" s="445">
        <f t="shared" si="514"/>
        <v>0</v>
      </c>
      <c r="V681" s="581"/>
      <c r="W681" s="582">
        <f t="shared" si="515"/>
        <v>0</v>
      </c>
      <c r="X681" s="581"/>
      <c r="Y681" s="582">
        <f t="shared" si="516"/>
        <v>0</v>
      </c>
      <c r="Z681" s="581"/>
      <c r="AA681" s="582">
        <f t="shared" si="517"/>
        <v>0</v>
      </c>
      <c r="AB681" s="581"/>
      <c r="AC681" s="582">
        <f t="shared" si="518"/>
        <v>0</v>
      </c>
      <c r="AE681" s="769">
        <f t="shared" si="481"/>
        <v>0</v>
      </c>
    </row>
    <row r="682" spans="1:31" ht="15" hidden="1" customHeight="1" x14ac:dyDescent="0.2">
      <c r="A682" s="611" t="s">
        <v>1762</v>
      </c>
      <c r="B682" s="601" t="s">
        <v>1763</v>
      </c>
      <c r="C682" s="611" t="s">
        <v>111</v>
      </c>
      <c r="D682" s="576">
        <f t="shared" si="507"/>
        <v>0</v>
      </c>
      <c r="E682" s="577">
        <f t="shared" si="483"/>
        <v>0</v>
      </c>
      <c r="F682" s="577">
        <f t="shared" si="508"/>
        <v>0</v>
      </c>
      <c r="G682" s="578"/>
      <c r="I682" s="584"/>
      <c r="J682" s="585">
        <f t="shared" si="509"/>
        <v>0</v>
      </c>
      <c r="K682" s="537"/>
      <c r="L682" s="445">
        <f t="shared" si="510"/>
        <v>0</v>
      </c>
      <c r="M682" s="542"/>
      <c r="N682" s="445">
        <f t="shared" si="511"/>
        <v>0</v>
      </c>
      <c r="O682" s="542"/>
      <c r="P682" s="445">
        <f t="shared" si="512"/>
        <v>0</v>
      </c>
      <c r="Q682" s="542"/>
      <c r="R682" s="445">
        <f t="shared" si="513"/>
        <v>0</v>
      </c>
      <c r="S682" s="542"/>
      <c r="T682" s="445">
        <f t="shared" si="514"/>
        <v>0</v>
      </c>
      <c r="V682" s="581"/>
      <c r="W682" s="582">
        <f t="shared" si="515"/>
        <v>0</v>
      </c>
      <c r="X682" s="581"/>
      <c r="Y682" s="582">
        <f t="shared" si="516"/>
        <v>0</v>
      </c>
      <c r="Z682" s="581"/>
      <c r="AA682" s="582">
        <f t="shared" si="517"/>
        <v>0</v>
      </c>
      <c r="AB682" s="581"/>
      <c r="AC682" s="582">
        <f t="shared" si="518"/>
        <v>0</v>
      </c>
      <c r="AE682" s="769">
        <f t="shared" si="481"/>
        <v>0</v>
      </c>
    </row>
    <row r="683" spans="1:31" ht="15" hidden="1" customHeight="1" x14ac:dyDescent="0.2">
      <c r="A683" s="611" t="s">
        <v>1764</v>
      </c>
      <c r="B683" s="601" t="s">
        <v>1765</v>
      </c>
      <c r="C683" s="611" t="s">
        <v>111</v>
      </c>
      <c r="D683" s="576">
        <f t="shared" si="507"/>
        <v>0</v>
      </c>
      <c r="E683" s="577">
        <f t="shared" si="483"/>
        <v>0</v>
      </c>
      <c r="F683" s="577">
        <f t="shared" si="508"/>
        <v>0</v>
      </c>
      <c r="G683" s="578"/>
      <c r="I683" s="584"/>
      <c r="J683" s="585">
        <f t="shared" si="509"/>
        <v>0</v>
      </c>
      <c r="K683" s="537"/>
      <c r="L683" s="445">
        <f t="shared" si="510"/>
        <v>0</v>
      </c>
      <c r="M683" s="542"/>
      <c r="N683" s="445">
        <f t="shared" si="511"/>
        <v>0</v>
      </c>
      <c r="O683" s="542"/>
      <c r="P683" s="445">
        <f t="shared" si="512"/>
        <v>0</v>
      </c>
      <c r="Q683" s="542"/>
      <c r="R683" s="445">
        <f t="shared" si="513"/>
        <v>0</v>
      </c>
      <c r="S683" s="542"/>
      <c r="T683" s="445">
        <f t="shared" si="514"/>
        <v>0</v>
      </c>
      <c r="V683" s="581"/>
      <c r="W683" s="582">
        <f t="shared" si="515"/>
        <v>0</v>
      </c>
      <c r="X683" s="581"/>
      <c r="Y683" s="582">
        <f t="shared" si="516"/>
        <v>0</v>
      </c>
      <c r="Z683" s="581"/>
      <c r="AA683" s="582">
        <f t="shared" si="517"/>
        <v>0</v>
      </c>
      <c r="AB683" s="581"/>
      <c r="AC683" s="582">
        <f t="shared" si="518"/>
        <v>0</v>
      </c>
      <c r="AE683" s="769">
        <f t="shared" si="481"/>
        <v>0</v>
      </c>
    </row>
    <row r="684" spans="1:31" ht="15" hidden="1" customHeight="1" x14ac:dyDescent="0.2">
      <c r="A684" s="611" t="s">
        <v>1766</v>
      </c>
      <c r="B684" s="601" t="s">
        <v>1767</v>
      </c>
      <c r="C684" s="611" t="s">
        <v>111</v>
      </c>
      <c r="D684" s="576">
        <f t="shared" si="507"/>
        <v>0</v>
      </c>
      <c r="E684" s="577">
        <f t="shared" si="483"/>
        <v>0</v>
      </c>
      <c r="F684" s="577">
        <f t="shared" si="508"/>
        <v>0</v>
      </c>
      <c r="G684" s="578"/>
      <c r="I684" s="584"/>
      <c r="J684" s="585">
        <f t="shared" si="509"/>
        <v>0</v>
      </c>
      <c r="K684" s="537"/>
      <c r="L684" s="445">
        <f t="shared" si="510"/>
        <v>0</v>
      </c>
      <c r="M684" s="542"/>
      <c r="N684" s="445">
        <f t="shared" si="511"/>
        <v>0</v>
      </c>
      <c r="O684" s="542"/>
      <c r="P684" s="445">
        <f t="shared" si="512"/>
        <v>0</v>
      </c>
      <c r="Q684" s="542"/>
      <c r="R684" s="445">
        <f t="shared" si="513"/>
        <v>0</v>
      </c>
      <c r="S684" s="542"/>
      <c r="T684" s="445">
        <f t="shared" si="514"/>
        <v>0</v>
      </c>
      <c r="V684" s="581"/>
      <c r="W684" s="582">
        <f t="shared" si="515"/>
        <v>0</v>
      </c>
      <c r="X684" s="581"/>
      <c r="Y684" s="582">
        <f t="shared" si="516"/>
        <v>0</v>
      </c>
      <c r="Z684" s="581"/>
      <c r="AA684" s="582">
        <f t="shared" si="517"/>
        <v>0</v>
      </c>
      <c r="AB684" s="581"/>
      <c r="AC684" s="582">
        <f t="shared" si="518"/>
        <v>0</v>
      </c>
      <c r="AE684" s="769">
        <f t="shared" si="481"/>
        <v>0</v>
      </c>
    </row>
    <row r="685" spans="1:31" ht="15" hidden="1" customHeight="1" x14ac:dyDescent="0.2">
      <c r="A685" s="611" t="s">
        <v>1768</v>
      </c>
      <c r="B685" s="601" t="s">
        <v>1769</v>
      </c>
      <c r="C685" s="611" t="s">
        <v>111</v>
      </c>
      <c r="D685" s="576">
        <f t="shared" si="507"/>
        <v>0</v>
      </c>
      <c r="E685" s="577">
        <f t="shared" si="483"/>
        <v>0</v>
      </c>
      <c r="F685" s="577">
        <f t="shared" si="508"/>
        <v>0</v>
      </c>
      <c r="G685" s="578"/>
      <c r="I685" s="584"/>
      <c r="J685" s="585">
        <f t="shared" si="509"/>
        <v>0</v>
      </c>
      <c r="K685" s="537"/>
      <c r="L685" s="445">
        <f t="shared" si="510"/>
        <v>0</v>
      </c>
      <c r="M685" s="542"/>
      <c r="N685" s="445">
        <f t="shared" si="511"/>
        <v>0</v>
      </c>
      <c r="O685" s="542"/>
      <c r="P685" s="445">
        <f t="shared" si="512"/>
        <v>0</v>
      </c>
      <c r="Q685" s="542"/>
      <c r="R685" s="445">
        <f t="shared" si="513"/>
        <v>0</v>
      </c>
      <c r="S685" s="542"/>
      <c r="T685" s="445">
        <f t="shared" si="514"/>
        <v>0</v>
      </c>
      <c r="V685" s="581"/>
      <c r="W685" s="582">
        <f t="shared" si="515"/>
        <v>0</v>
      </c>
      <c r="X685" s="581"/>
      <c r="Y685" s="582">
        <f t="shared" si="516"/>
        <v>0</v>
      </c>
      <c r="Z685" s="581"/>
      <c r="AA685" s="582">
        <f t="shared" si="517"/>
        <v>0</v>
      </c>
      <c r="AB685" s="581"/>
      <c r="AC685" s="582">
        <f t="shared" si="518"/>
        <v>0</v>
      </c>
      <c r="AE685" s="769">
        <f t="shared" si="481"/>
        <v>0</v>
      </c>
    </row>
    <row r="686" spans="1:31" ht="15" hidden="1" customHeight="1" x14ac:dyDescent="0.2">
      <c r="A686" s="611" t="s">
        <v>1770</v>
      </c>
      <c r="B686" s="601" t="s">
        <v>1771</v>
      </c>
      <c r="C686" s="611" t="s">
        <v>111</v>
      </c>
      <c r="D686" s="576">
        <f t="shared" si="507"/>
        <v>0</v>
      </c>
      <c r="E686" s="577">
        <f t="shared" si="483"/>
        <v>0</v>
      </c>
      <c r="F686" s="577">
        <f t="shared" si="508"/>
        <v>0</v>
      </c>
      <c r="G686" s="578"/>
      <c r="I686" s="597"/>
      <c r="J686" s="598">
        <f t="shared" si="509"/>
        <v>0</v>
      </c>
      <c r="K686" s="537"/>
      <c r="L686" s="445">
        <f t="shared" si="510"/>
        <v>0</v>
      </c>
      <c r="M686" s="542"/>
      <c r="N686" s="445">
        <f t="shared" si="511"/>
        <v>0</v>
      </c>
      <c r="O686" s="542"/>
      <c r="P686" s="445">
        <f t="shared" si="512"/>
        <v>0</v>
      </c>
      <c r="Q686" s="542"/>
      <c r="R686" s="445">
        <f t="shared" si="513"/>
        <v>0</v>
      </c>
      <c r="S686" s="542"/>
      <c r="T686" s="445">
        <f t="shared" si="514"/>
        <v>0</v>
      </c>
      <c r="V686" s="581"/>
      <c r="W686" s="582">
        <f t="shared" si="515"/>
        <v>0</v>
      </c>
      <c r="X686" s="581"/>
      <c r="Y686" s="582">
        <f t="shared" si="516"/>
        <v>0</v>
      </c>
      <c r="Z686" s="581"/>
      <c r="AA686" s="582">
        <f t="shared" si="517"/>
        <v>0</v>
      </c>
      <c r="AB686" s="581"/>
      <c r="AC686" s="582">
        <f t="shared" si="518"/>
        <v>0</v>
      </c>
      <c r="AE686" s="769">
        <f t="shared" si="481"/>
        <v>0</v>
      </c>
    </row>
    <row r="687" spans="1:31" ht="15" hidden="1" customHeight="1" x14ac:dyDescent="0.2">
      <c r="A687" s="572" t="s">
        <v>1772</v>
      </c>
      <c r="B687" s="573" t="s">
        <v>598</v>
      </c>
      <c r="C687" s="611"/>
      <c r="D687" s="576"/>
      <c r="E687" s="577"/>
      <c r="F687" s="626">
        <f>+ROUND(SUM(F688:F689),10)</f>
        <v>0</v>
      </c>
      <c r="G687" s="578"/>
      <c r="I687" s="613"/>
      <c r="J687" s="440">
        <f>ROUND(SUM(J688:J689),10)</f>
        <v>0</v>
      </c>
      <c r="K687" s="537"/>
      <c r="L687" s="180">
        <f>ROUND(SUM(L688:L689),10)</f>
        <v>0</v>
      </c>
      <c r="M687" s="542"/>
      <c r="N687" s="180">
        <f>ROUND(SUM(N688:N689),10)</f>
        <v>0</v>
      </c>
      <c r="O687" s="542"/>
      <c r="P687" s="180">
        <f>ROUND(SUM(P688:P689),10)</f>
        <v>0</v>
      </c>
      <c r="Q687" s="542"/>
      <c r="R687" s="180">
        <f>ROUND(SUM(R688:R689),10)</f>
        <v>0</v>
      </c>
      <c r="S687" s="542"/>
      <c r="T687" s="180">
        <f>ROUND(SUM(T688:T689),10)</f>
        <v>0</v>
      </c>
      <c r="V687" s="581"/>
      <c r="W687" s="570">
        <f>ROUND(SUM(W688:W689),10)</f>
        <v>0</v>
      </c>
      <c r="X687" s="581"/>
      <c r="Y687" s="570">
        <f>ROUND(SUM(Y688:Y689),10)</f>
        <v>0</v>
      </c>
      <c r="Z687" s="581"/>
      <c r="AA687" s="570">
        <f>ROUND(SUM(AA688:AA689),10)</f>
        <v>0</v>
      </c>
      <c r="AB687" s="581"/>
      <c r="AC687" s="570">
        <f>ROUND(SUM(AC688:AC689),10)</f>
        <v>0</v>
      </c>
      <c r="AE687" s="769">
        <f t="shared" si="481"/>
        <v>0</v>
      </c>
    </row>
    <row r="688" spans="1:31" ht="15" hidden="1" customHeight="1" x14ac:dyDescent="0.2">
      <c r="A688" s="611" t="s">
        <v>1773</v>
      </c>
      <c r="B688" s="601" t="s">
        <v>1774</v>
      </c>
      <c r="C688" s="611" t="s">
        <v>111</v>
      </c>
      <c r="D688" s="576">
        <f>+I688+K688+M688+O688+Q688+S688</f>
        <v>0</v>
      </c>
      <c r="E688" s="577">
        <f t="shared" si="483"/>
        <v>0</v>
      </c>
      <c r="F688" s="577">
        <f>ROUND(D688*E688,10)</f>
        <v>0</v>
      </c>
      <c r="G688" s="578"/>
      <c r="I688" s="594"/>
      <c r="J688" s="580">
        <f>+ROUND(E688*I688,10)</f>
        <v>0</v>
      </c>
      <c r="K688" s="537"/>
      <c r="L688" s="445">
        <f>+ROUND(E688*K688,10)</f>
        <v>0</v>
      </c>
      <c r="M688" s="542"/>
      <c r="N688" s="445">
        <f>+ROUND(E688*M688,10)</f>
        <v>0</v>
      </c>
      <c r="O688" s="542"/>
      <c r="P688" s="445">
        <f>+ROUND(E688*O688,10)</f>
        <v>0</v>
      </c>
      <c r="Q688" s="542"/>
      <c r="R688" s="445">
        <f>+ROUND(E688*Q688,10)</f>
        <v>0</v>
      </c>
      <c r="S688" s="542"/>
      <c r="T688" s="445">
        <f>+ROUND(E688*S688,10)</f>
        <v>0</v>
      </c>
      <c r="V688" s="581"/>
      <c r="W688" s="582">
        <f>ROUND(V688*$D688,10)</f>
        <v>0</v>
      </c>
      <c r="X688" s="581"/>
      <c r="Y688" s="582">
        <f>ROUND(X688*$D688,10)</f>
        <v>0</v>
      </c>
      <c r="Z688" s="581"/>
      <c r="AA688" s="582">
        <f>ROUND(Z688*$D688,10)</f>
        <v>0</v>
      </c>
      <c r="AB688" s="581"/>
      <c r="AC688" s="582">
        <f>ROUND(AB688*$D688,10)</f>
        <v>0</v>
      </c>
      <c r="AE688" s="769">
        <f t="shared" si="481"/>
        <v>0</v>
      </c>
    </row>
    <row r="689" spans="1:31" ht="15" hidden="1" customHeight="1" thickBot="1" x14ac:dyDescent="0.25">
      <c r="A689" s="611" t="s">
        <v>1775</v>
      </c>
      <c r="B689" s="601" t="s">
        <v>1776</v>
      </c>
      <c r="C689" s="611" t="s">
        <v>111</v>
      </c>
      <c r="D689" s="576">
        <f>+I689+K689+M689+O689+Q689+S689</f>
        <v>0</v>
      </c>
      <c r="E689" s="577">
        <f t="shared" si="483"/>
        <v>0</v>
      </c>
      <c r="F689" s="577">
        <f>ROUND(D689*E689,10)</f>
        <v>0</v>
      </c>
      <c r="G689" s="578"/>
      <c r="I689" s="602"/>
      <c r="J689" s="603">
        <f>+ROUND(E689*I689,10)</f>
        <v>0</v>
      </c>
      <c r="K689" s="537"/>
      <c r="L689" s="445">
        <f>+ROUND(E689*K689,10)</f>
        <v>0</v>
      </c>
      <c r="M689" s="542"/>
      <c r="N689" s="445">
        <f>+ROUND(E689*M689,10)</f>
        <v>0</v>
      </c>
      <c r="O689" s="542"/>
      <c r="P689" s="445">
        <f>+ROUND(E689*O689,10)</f>
        <v>0</v>
      </c>
      <c r="Q689" s="542"/>
      <c r="R689" s="445">
        <f>+ROUND(E689*Q689,10)</f>
        <v>0</v>
      </c>
      <c r="S689" s="542"/>
      <c r="T689" s="445">
        <f>+ROUND(E689*S689,10)</f>
        <v>0</v>
      </c>
      <c r="V689" s="581"/>
      <c r="W689" s="582">
        <f>ROUND(V689*$D689,10)</f>
        <v>0</v>
      </c>
      <c r="X689" s="581"/>
      <c r="Y689" s="582">
        <f>ROUND(X689*$D689,10)</f>
        <v>0</v>
      </c>
      <c r="Z689" s="581"/>
      <c r="AA689" s="582">
        <f>ROUND(Z689*$D689,10)</f>
        <v>0</v>
      </c>
      <c r="AB689" s="581"/>
      <c r="AC689" s="582">
        <f>ROUND(AB689*$D689,10)</f>
        <v>0</v>
      </c>
      <c r="AE689" s="769">
        <f t="shared" si="481"/>
        <v>0</v>
      </c>
    </row>
    <row r="690" spans="1:31" ht="15" hidden="1" customHeight="1" thickTop="1" x14ac:dyDescent="0.2">
      <c r="A690" s="611"/>
      <c r="B690" s="601"/>
      <c r="C690" s="611"/>
      <c r="D690" s="576"/>
      <c r="E690" s="577"/>
      <c r="F690" s="577"/>
      <c r="G690" s="578"/>
      <c r="I690" s="604"/>
      <c r="J690" s="635"/>
      <c r="K690" s="537"/>
      <c r="L690" s="445"/>
      <c r="M690" s="542"/>
      <c r="N690" s="445"/>
      <c r="O690" s="542"/>
      <c r="P690" s="445"/>
      <c r="Q690" s="542"/>
      <c r="R690" s="445"/>
      <c r="S690" s="542"/>
      <c r="T690" s="445"/>
      <c r="V690" s="581"/>
      <c r="W690" s="582"/>
      <c r="X690" s="581"/>
      <c r="Y690" s="582"/>
      <c r="Z690" s="581"/>
      <c r="AA690" s="582"/>
      <c r="AB690" s="581"/>
      <c r="AC690" s="582"/>
      <c r="AE690" s="769">
        <f t="shared" si="481"/>
        <v>0</v>
      </c>
    </row>
    <row r="691" spans="1:31" s="657" customFormat="1" ht="6.75" customHeight="1" thickBot="1" x14ac:dyDescent="0.25">
      <c r="A691" s="919"/>
      <c r="B691" s="920"/>
      <c r="C691" s="919"/>
      <c r="D691" s="655"/>
      <c r="E691" s="656"/>
      <c r="F691" s="656"/>
      <c r="G691" s="656"/>
      <c r="I691" s="658"/>
      <c r="J691" s="658"/>
      <c r="K691" s="659"/>
      <c r="L691" s="658"/>
      <c r="M691" s="174"/>
      <c r="N691" s="658"/>
      <c r="O691" s="174"/>
      <c r="P691" s="658"/>
      <c r="Q691" s="174"/>
      <c r="R691" s="658"/>
      <c r="S691" s="174"/>
      <c r="T691" s="658"/>
      <c r="V691" s="667"/>
      <c r="W691" s="667"/>
      <c r="X691" s="667"/>
      <c r="Y691" s="667"/>
      <c r="Z691" s="667"/>
      <c r="AA691" s="667"/>
      <c r="AB691" s="667"/>
      <c r="AC691" s="667"/>
      <c r="AE691" s="769">
        <f t="shared" si="481"/>
        <v>0</v>
      </c>
    </row>
    <row r="692" spans="1:31" ht="30" customHeight="1" thickTop="1" thickBot="1" x14ac:dyDescent="0.25">
      <c r="A692" s="564">
        <v>16</v>
      </c>
      <c r="B692" s="1045" t="s">
        <v>1777</v>
      </c>
      <c r="C692" s="1045"/>
      <c r="D692" s="1045"/>
      <c r="E692" s="1045"/>
      <c r="F692" s="1045"/>
      <c r="G692" s="180" t="e">
        <f>+F693+F705</f>
        <v>#REF!</v>
      </c>
      <c r="H692" s="568"/>
      <c r="I692" s="616"/>
      <c r="J692" s="439" t="e">
        <f>+ROUND(J693+J705,10)</f>
        <v>#REF!</v>
      </c>
      <c r="K692" s="617"/>
      <c r="L692" s="180" t="e">
        <f>+ROUND(L693+L705,10)</f>
        <v>#REF!</v>
      </c>
      <c r="M692" s="180"/>
      <c r="N692" s="180" t="e">
        <f>+ROUND(N693+N705,10)</f>
        <v>#REF!</v>
      </c>
      <c r="O692" s="180"/>
      <c r="P692" s="180" t="e">
        <f>+ROUND(P693+P705,10)</f>
        <v>#REF!</v>
      </c>
      <c r="Q692" s="180"/>
      <c r="R692" s="180" t="e">
        <f>+ROUND(R693+R705,10)</f>
        <v>#REF!</v>
      </c>
      <c r="S692" s="180"/>
      <c r="T692" s="180" t="e">
        <f>+ROUND(T693+T705,10)</f>
        <v>#REF!</v>
      </c>
      <c r="U692" s="568"/>
      <c r="V692" s="569" t="e">
        <f>W692/$G$692</f>
        <v>#REF!</v>
      </c>
      <c r="W692" s="570" t="e">
        <f>ROUND(W693+W705,10)</f>
        <v>#REF!</v>
      </c>
      <c r="X692" s="569" t="e">
        <f>Y692/$G$692</f>
        <v>#REF!</v>
      </c>
      <c r="Y692" s="570" t="e">
        <f>ROUND(Y693+Y705,10)</f>
        <v>#REF!</v>
      </c>
      <c r="Z692" s="569" t="e">
        <f>AA692/$G$692</f>
        <v>#REF!</v>
      </c>
      <c r="AA692" s="570" t="e">
        <f>ROUND(AA693+AA705,10)</f>
        <v>#REF!</v>
      </c>
      <c r="AB692" s="569" t="e">
        <f>AC692/$G$692</f>
        <v>#REF!</v>
      </c>
      <c r="AC692" s="570" t="e">
        <f>ROUND(AC693+AC705,10)</f>
        <v>#REF!</v>
      </c>
      <c r="AE692" s="769" t="e">
        <f t="shared" si="481"/>
        <v>#REF!</v>
      </c>
    </row>
    <row r="693" spans="1:31" ht="15" customHeight="1" thickTop="1" x14ac:dyDescent="0.2">
      <c r="A693" s="572" t="s">
        <v>1778</v>
      </c>
      <c r="B693" s="573" t="s">
        <v>1779</v>
      </c>
      <c r="C693" s="846"/>
      <c r="D693" s="576"/>
      <c r="E693" s="180"/>
      <c r="F693" s="626" t="e">
        <f>+ROUND(SUM(F694:F704),10)</f>
        <v>#REF!</v>
      </c>
      <c r="G693" s="473"/>
      <c r="H693" s="568"/>
      <c r="I693" s="618"/>
      <c r="J693" s="439" t="e">
        <f>ROUND(SUM(J694:J704),10)</f>
        <v>#REF!</v>
      </c>
      <c r="K693" s="539"/>
      <c r="L693" s="180" t="e">
        <f>ROUND(SUM(L694:L704),10)</f>
        <v>#REF!</v>
      </c>
      <c r="M693" s="541"/>
      <c r="N693" s="180" t="e">
        <f>ROUND(SUM(N694:N704),10)</f>
        <v>#REF!</v>
      </c>
      <c r="O693" s="541"/>
      <c r="P693" s="180" t="e">
        <f>ROUND(SUM(P694:P704),10)</f>
        <v>#REF!</v>
      </c>
      <c r="Q693" s="541"/>
      <c r="R693" s="180" t="e">
        <f>ROUND(SUM(R694:R704),10)</f>
        <v>#REF!</v>
      </c>
      <c r="S693" s="541"/>
      <c r="T693" s="180" t="e">
        <f>ROUND(SUM(T694:T704),10)</f>
        <v>#REF!</v>
      </c>
      <c r="U693" s="568"/>
      <c r="V693" s="575"/>
      <c r="W693" s="570" t="e">
        <f>ROUND(SUM(W694:W704),10)</f>
        <v>#REF!</v>
      </c>
      <c r="X693" s="575"/>
      <c r="Y693" s="570" t="e">
        <f>ROUND(SUM(Y694:Y704),10)</f>
        <v>#REF!</v>
      </c>
      <c r="Z693" s="575"/>
      <c r="AA693" s="570" t="e">
        <f>ROUND(SUM(AA694:AA704),10)</f>
        <v>#REF!</v>
      </c>
      <c r="AB693" s="575"/>
      <c r="AC693" s="570" t="e">
        <f>ROUND(SUM(AC694:AC704),10)</f>
        <v>#REF!</v>
      </c>
      <c r="AE693" s="769" t="e">
        <f t="shared" si="481"/>
        <v>#REF!</v>
      </c>
    </row>
    <row r="694" spans="1:31" ht="15" hidden="1" customHeight="1" x14ac:dyDescent="0.2">
      <c r="A694" s="611" t="s">
        <v>1780</v>
      </c>
      <c r="B694" s="601" t="s">
        <v>1781</v>
      </c>
      <c r="C694" s="611" t="s">
        <v>111</v>
      </c>
      <c r="D694" s="576">
        <f t="shared" ref="D694:D704" si="519">+I694+K694+M694+O694+Q694+S694</f>
        <v>0</v>
      </c>
      <c r="E694" s="577">
        <f t="shared" ref="E694:E712" si="520">V694+X694+Z694+AB694</f>
        <v>0</v>
      </c>
      <c r="F694" s="577">
        <f t="shared" ref="F694:F704" si="521">ROUND(D694*E694,10)</f>
        <v>0</v>
      </c>
      <c r="G694" s="578"/>
      <c r="I694" s="594"/>
      <c r="J694" s="580">
        <f t="shared" ref="J694:J704" si="522">+ROUND(E694*I694,10)</f>
        <v>0</v>
      </c>
      <c r="K694" s="538"/>
      <c r="L694" s="445">
        <f t="shared" ref="L694:L704" si="523">+ROUND(E694*K694,10)</f>
        <v>0</v>
      </c>
      <c r="M694" s="542"/>
      <c r="N694" s="445">
        <f t="shared" ref="N694:N704" si="524">+ROUND(E694*M694,10)</f>
        <v>0</v>
      </c>
      <c r="O694" s="542"/>
      <c r="P694" s="445">
        <f t="shared" ref="P694:P704" si="525">+ROUND(E694*O694,10)</f>
        <v>0</v>
      </c>
      <c r="Q694" s="542"/>
      <c r="R694" s="445">
        <f t="shared" ref="R694:R704" si="526">+ROUND(E694*Q694,10)</f>
        <v>0</v>
      </c>
      <c r="S694" s="542"/>
      <c r="T694" s="445">
        <f t="shared" ref="T694:T704" si="527">+ROUND(E694*S694,10)</f>
        <v>0</v>
      </c>
      <c r="V694" s="581"/>
      <c r="W694" s="582">
        <f t="shared" ref="W694:W704" si="528">ROUND(V694*$D694,10)</f>
        <v>0</v>
      </c>
      <c r="X694" s="581"/>
      <c r="Y694" s="582">
        <f t="shared" ref="Y694:Y704" si="529">ROUND(X694*$D694,10)</f>
        <v>0</v>
      </c>
      <c r="Z694" s="581"/>
      <c r="AA694" s="582">
        <f t="shared" ref="AA694:AA704" si="530">ROUND(Z694*$D694,10)</f>
        <v>0</v>
      </c>
      <c r="AB694" s="581"/>
      <c r="AC694" s="582">
        <f t="shared" ref="AC694:AC704" si="531">ROUND(AB694*$D694,10)</f>
        <v>0</v>
      </c>
      <c r="AE694" s="769">
        <f t="shared" si="481"/>
        <v>0</v>
      </c>
    </row>
    <row r="695" spans="1:31" ht="15" hidden="1" customHeight="1" x14ac:dyDescent="0.2">
      <c r="A695" s="611" t="s">
        <v>1782</v>
      </c>
      <c r="B695" s="601" t="s">
        <v>1783</v>
      </c>
      <c r="C695" s="611" t="s">
        <v>111</v>
      </c>
      <c r="D695" s="576">
        <f t="shared" si="519"/>
        <v>0</v>
      </c>
      <c r="E695" s="577">
        <f t="shared" si="520"/>
        <v>0</v>
      </c>
      <c r="F695" s="577">
        <f t="shared" si="521"/>
        <v>0</v>
      </c>
      <c r="G695" s="578"/>
      <c r="I695" s="584"/>
      <c r="J695" s="585">
        <f t="shared" si="522"/>
        <v>0</v>
      </c>
      <c r="K695" s="537"/>
      <c r="L695" s="445">
        <f t="shared" si="523"/>
        <v>0</v>
      </c>
      <c r="M695" s="542"/>
      <c r="N695" s="445">
        <f t="shared" si="524"/>
        <v>0</v>
      </c>
      <c r="O695" s="542"/>
      <c r="P695" s="445">
        <f t="shared" si="525"/>
        <v>0</v>
      </c>
      <c r="Q695" s="542"/>
      <c r="R695" s="445">
        <f t="shared" si="526"/>
        <v>0</v>
      </c>
      <c r="S695" s="542"/>
      <c r="T695" s="445">
        <f t="shared" si="527"/>
        <v>0</v>
      </c>
      <c r="V695" s="581"/>
      <c r="W695" s="582">
        <f t="shared" si="528"/>
        <v>0</v>
      </c>
      <c r="X695" s="581"/>
      <c r="Y695" s="582">
        <f t="shared" si="529"/>
        <v>0</v>
      </c>
      <c r="Z695" s="581"/>
      <c r="AA695" s="582">
        <f t="shared" si="530"/>
        <v>0</v>
      </c>
      <c r="AB695" s="581"/>
      <c r="AC695" s="582">
        <f t="shared" si="531"/>
        <v>0</v>
      </c>
      <c r="AE695" s="769">
        <f t="shared" si="481"/>
        <v>0</v>
      </c>
    </row>
    <row r="696" spans="1:31" ht="32.25" customHeight="1" x14ac:dyDescent="0.2">
      <c r="A696" s="611" t="s">
        <v>1784</v>
      </c>
      <c r="B696" s="601" t="s">
        <v>1785</v>
      </c>
      <c r="C696" s="611" t="s">
        <v>111</v>
      </c>
      <c r="D696" s="576">
        <f t="shared" si="519"/>
        <v>17</v>
      </c>
      <c r="E696" s="577" t="e">
        <f t="shared" si="520"/>
        <v>#REF!</v>
      </c>
      <c r="F696" s="577" t="e">
        <f t="shared" si="521"/>
        <v>#REF!</v>
      </c>
      <c r="G696" s="578"/>
      <c r="I696" s="584"/>
      <c r="J696" s="585" t="e">
        <f t="shared" si="522"/>
        <v>#REF!</v>
      </c>
      <c r="K696" s="537"/>
      <c r="L696" s="445" t="e">
        <f t="shared" si="523"/>
        <v>#REF!</v>
      </c>
      <c r="M696" s="542"/>
      <c r="N696" s="445" t="e">
        <f t="shared" si="524"/>
        <v>#REF!</v>
      </c>
      <c r="O696" s="542">
        <v>17</v>
      </c>
      <c r="P696" s="445" t="e">
        <f t="shared" si="525"/>
        <v>#REF!</v>
      </c>
      <c r="Q696" s="542"/>
      <c r="R696" s="445" t="e">
        <f t="shared" si="526"/>
        <v>#REF!</v>
      </c>
      <c r="S696" s="542"/>
      <c r="T696" s="445" t="e">
        <f t="shared" si="527"/>
        <v>#REF!</v>
      </c>
      <c r="V696" s="581" t="e">
        <f>+#REF!</f>
        <v>#REF!</v>
      </c>
      <c r="W696" s="582" t="e">
        <f t="shared" si="528"/>
        <v>#REF!</v>
      </c>
      <c r="X696" s="581" t="e">
        <f>+#REF!</f>
        <v>#REF!</v>
      </c>
      <c r="Y696" s="582" t="e">
        <f t="shared" si="529"/>
        <v>#REF!</v>
      </c>
      <c r="Z696" s="581" t="e">
        <f>+#REF!</f>
        <v>#REF!</v>
      </c>
      <c r="AA696" s="582" t="e">
        <f t="shared" si="530"/>
        <v>#REF!</v>
      </c>
      <c r="AB696" s="581"/>
      <c r="AC696" s="582">
        <f t="shared" si="531"/>
        <v>0</v>
      </c>
      <c r="AE696" s="769" t="e">
        <f t="shared" si="481"/>
        <v>#REF!</v>
      </c>
    </row>
    <row r="697" spans="1:31" ht="15" customHeight="1" x14ac:dyDescent="0.2">
      <c r="A697" s="611" t="s">
        <v>1786</v>
      </c>
      <c r="B697" s="601" t="s">
        <v>1787</v>
      </c>
      <c r="C697" s="611" t="s">
        <v>111</v>
      </c>
      <c r="D697" s="576">
        <f t="shared" si="519"/>
        <v>6</v>
      </c>
      <c r="E697" s="577" t="e">
        <f t="shared" si="520"/>
        <v>#REF!</v>
      </c>
      <c r="F697" s="577" t="e">
        <f t="shared" si="521"/>
        <v>#REF!</v>
      </c>
      <c r="G697" s="578"/>
      <c r="I697" s="584"/>
      <c r="J697" s="585" t="e">
        <f t="shared" si="522"/>
        <v>#REF!</v>
      </c>
      <c r="K697" s="537"/>
      <c r="L697" s="445" t="e">
        <f t="shared" si="523"/>
        <v>#REF!</v>
      </c>
      <c r="M697" s="542"/>
      <c r="N697" s="445" t="e">
        <f t="shared" si="524"/>
        <v>#REF!</v>
      </c>
      <c r="O697" s="542">
        <v>6</v>
      </c>
      <c r="P697" s="445" t="e">
        <f t="shared" si="525"/>
        <v>#REF!</v>
      </c>
      <c r="Q697" s="542"/>
      <c r="R697" s="445" t="e">
        <f t="shared" si="526"/>
        <v>#REF!</v>
      </c>
      <c r="S697" s="542"/>
      <c r="T697" s="445" t="e">
        <f t="shared" si="527"/>
        <v>#REF!</v>
      </c>
      <c r="V697" s="581" t="e">
        <f>+#REF!</f>
        <v>#REF!</v>
      </c>
      <c r="W697" s="582" t="e">
        <f t="shared" si="528"/>
        <v>#REF!</v>
      </c>
      <c r="X697" s="581" t="e">
        <f>+#REF!</f>
        <v>#REF!</v>
      </c>
      <c r="Y697" s="582" t="e">
        <f t="shared" si="529"/>
        <v>#REF!</v>
      </c>
      <c r="Z697" s="581" t="e">
        <f>+#REF!</f>
        <v>#REF!</v>
      </c>
      <c r="AA697" s="582" t="e">
        <f t="shared" si="530"/>
        <v>#REF!</v>
      </c>
      <c r="AB697" s="581"/>
      <c r="AC697" s="582">
        <f t="shared" si="531"/>
        <v>0</v>
      </c>
      <c r="AE697" s="769" t="e">
        <f t="shared" si="481"/>
        <v>#REF!</v>
      </c>
    </row>
    <row r="698" spans="1:31" ht="15" customHeight="1" x14ac:dyDescent="0.2">
      <c r="A698" s="611" t="s">
        <v>1788</v>
      </c>
      <c r="B698" s="610" t="s">
        <v>1789</v>
      </c>
      <c r="C698" s="611" t="s">
        <v>111</v>
      </c>
      <c r="D698" s="576">
        <f t="shared" si="519"/>
        <v>22</v>
      </c>
      <c r="E698" s="577" t="e">
        <f t="shared" si="520"/>
        <v>#REF!</v>
      </c>
      <c r="F698" s="577" t="e">
        <f t="shared" si="521"/>
        <v>#REF!</v>
      </c>
      <c r="G698" s="578"/>
      <c r="I698" s="584"/>
      <c r="J698" s="585" t="e">
        <f t="shared" si="522"/>
        <v>#REF!</v>
      </c>
      <c r="K698" s="537"/>
      <c r="L698" s="445" t="e">
        <f t="shared" si="523"/>
        <v>#REF!</v>
      </c>
      <c r="M698" s="542"/>
      <c r="N698" s="445" t="e">
        <f t="shared" si="524"/>
        <v>#REF!</v>
      </c>
      <c r="O698" s="542">
        <v>22</v>
      </c>
      <c r="P698" s="445" t="e">
        <f t="shared" si="525"/>
        <v>#REF!</v>
      </c>
      <c r="Q698" s="542"/>
      <c r="R698" s="445" t="e">
        <f t="shared" si="526"/>
        <v>#REF!</v>
      </c>
      <c r="S698" s="542"/>
      <c r="T698" s="445" t="e">
        <f t="shared" si="527"/>
        <v>#REF!</v>
      </c>
      <c r="V698" s="581" t="e">
        <f>+#REF!</f>
        <v>#REF!</v>
      </c>
      <c r="W698" s="582" t="e">
        <f t="shared" si="528"/>
        <v>#REF!</v>
      </c>
      <c r="X698" s="581" t="e">
        <f>+#REF!</f>
        <v>#REF!</v>
      </c>
      <c r="Y698" s="582" t="e">
        <f t="shared" si="529"/>
        <v>#REF!</v>
      </c>
      <c r="Z698" s="581" t="e">
        <f>+#REF!</f>
        <v>#REF!</v>
      </c>
      <c r="AA698" s="582" t="e">
        <f t="shared" si="530"/>
        <v>#REF!</v>
      </c>
      <c r="AB698" s="581" t="e">
        <f>+#REF!</f>
        <v>#REF!</v>
      </c>
      <c r="AC698" s="582" t="e">
        <f t="shared" si="531"/>
        <v>#REF!</v>
      </c>
      <c r="AE698" s="769" t="e">
        <f t="shared" si="481"/>
        <v>#REF!</v>
      </c>
    </row>
    <row r="699" spans="1:31" ht="15" hidden="1" customHeight="1" x14ac:dyDescent="0.2">
      <c r="A699" s="611" t="s">
        <v>1790</v>
      </c>
      <c r="B699" s="601" t="s">
        <v>1791</v>
      </c>
      <c r="C699" s="611" t="s">
        <v>111</v>
      </c>
      <c r="D699" s="576">
        <f t="shared" si="519"/>
        <v>0</v>
      </c>
      <c r="E699" s="577">
        <f t="shared" si="520"/>
        <v>0</v>
      </c>
      <c r="F699" s="577">
        <f t="shared" si="521"/>
        <v>0</v>
      </c>
      <c r="G699" s="578"/>
      <c r="I699" s="584"/>
      <c r="J699" s="585">
        <f t="shared" si="522"/>
        <v>0</v>
      </c>
      <c r="K699" s="537"/>
      <c r="L699" s="445">
        <f t="shared" si="523"/>
        <v>0</v>
      </c>
      <c r="M699" s="542"/>
      <c r="N699" s="445">
        <f t="shared" si="524"/>
        <v>0</v>
      </c>
      <c r="O699" s="542"/>
      <c r="P699" s="445">
        <f t="shared" si="525"/>
        <v>0</v>
      </c>
      <c r="Q699" s="542"/>
      <c r="R699" s="445">
        <f t="shared" si="526"/>
        <v>0</v>
      </c>
      <c r="S699" s="542"/>
      <c r="T699" s="445">
        <f t="shared" si="527"/>
        <v>0</v>
      </c>
      <c r="V699" s="581"/>
      <c r="W699" s="582">
        <f t="shared" si="528"/>
        <v>0</v>
      </c>
      <c r="X699" s="581"/>
      <c r="Y699" s="582">
        <f t="shared" si="529"/>
        <v>0</v>
      </c>
      <c r="Z699" s="581"/>
      <c r="AA699" s="582">
        <f t="shared" si="530"/>
        <v>0</v>
      </c>
      <c r="AB699" s="581"/>
      <c r="AC699" s="582">
        <f t="shared" si="531"/>
        <v>0</v>
      </c>
      <c r="AE699" s="769">
        <f t="shared" si="481"/>
        <v>0</v>
      </c>
    </row>
    <row r="700" spans="1:31" ht="15" customHeight="1" x14ac:dyDescent="0.2">
      <c r="A700" s="611" t="s">
        <v>1792</v>
      </c>
      <c r="B700" s="601" t="s">
        <v>1793</v>
      </c>
      <c r="C700" s="611" t="s">
        <v>111</v>
      </c>
      <c r="D700" s="576">
        <f t="shared" si="519"/>
        <v>1</v>
      </c>
      <c r="E700" s="577" t="e">
        <f t="shared" si="520"/>
        <v>#REF!</v>
      </c>
      <c r="F700" s="577" t="e">
        <f t="shared" si="521"/>
        <v>#REF!</v>
      </c>
      <c r="G700" s="578"/>
      <c r="I700" s="584"/>
      <c r="J700" s="585" t="e">
        <f t="shared" si="522"/>
        <v>#REF!</v>
      </c>
      <c r="K700" s="537"/>
      <c r="L700" s="445" t="e">
        <f t="shared" si="523"/>
        <v>#REF!</v>
      </c>
      <c r="M700" s="542"/>
      <c r="N700" s="445" t="e">
        <f t="shared" si="524"/>
        <v>#REF!</v>
      </c>
      <c r="O700" s="542">
        <v>1</v>
      </c>
      <c r="P700" s="445" t="e">
        <f t="shared" si="525"/>
        <v>#REF!</v>
      </c>
      <c r="Q700" s="542"/>
      <c r="R700" s="445" t="e">
        <f t="shared" si="526"/>
        <v>#REF!</v>
      </c>
      <c r="S700" s="542"/>
      <c r="T700" s="445" t="e">
        <f t="shared" si="527"/>
        <v>#REF!</v>
      </c>
      <c r="V700" s="581" t="e">
        <f>+#REF!</f>
        <v>#REF!</v>
      </c>
      <c r="W700" s="582" t="e">
        <f t="shared" si="528"/>
        <v>#REF!</v>
      </c>
      <c r="X700" s="581" t="e">
        <f>+#REF!</f>
        <v>#REF!</v>
      </c>
      <c r="Y700" s="582" t="e">
        <f t="shared" si="529"/>
        <v>#REF!</v>
      </c>
      <c r="Z700" s="581" t="e">
        <f>+#REF!</f>
        <v>#REF!</v>
      </c>
      <c r="AA700" s="582" t="e">
        <f t="shared" si="530"/>
        <v>#REF!</v>
      </c>
      <c r="AB700" s="581"/>
      <c r="AC700" s="582">
        <f t="shared" si="531"/>
        <v>0</v>
      </c>
      <c r="AE700" s="769" t="e">
        <f t="shared" si="481"/>
        <v>#REF!</v>
      </c>
    </row>
    <row r="701" spans="1:31" ht="15" customHeight="1" x14ac:dyDescent="0.2">
      <c r="A701" s="611" t="s">
        <v>1794</v>
      </c>
      <c r="B701" s="601" t="s">
        <v>1795</v>
      </c>
      <c r="C701" s="611" t="s">
        <v>111</v>
      </c>
      <c r="D701" s="576">
        <f t="shared" si="519"/>
        <v>1</v>
      </c>
      <c r="E701" s="577" t="e">
        <f t="shared" si="520"/>
        <v>#REF!</v>
      </c>
      <c r="F701" s="577" t="e">
        <f t="shared" si="521"/>
        <v>#REF!</v>
      </c>
      <c r="G701" s="578"/>
      <c r="I701" s="584"/>
      <c r="J701" s="585" t="e">
        <f t="shared" si="522"/>
        <v>#REF!</v>
      </c>
      <c r="K701" s="537"/>
      <c r="L701" s="445" t="e">
        <f t="shared" si="523"/>
        <v>#REF!</v>
      </c>
      <c r="M701" s="542"/>
      <c r="N701" s="445" t="e">
        <f t="shared" si="524"/>
        <v>#REF!</v>
      </c>
      <c r="O701" s="542">
        <v>1</v>
      </c>
      <c r="P701" s="445" t="e">
        <f t="shared" si="525"/>
        <v>#REF!</v>
      </c>
      <c r="Q701" s="542"/>
      <c r="R701" s="445" t="e">
        <f t="shared" si="526"/>
        <v>#REF!</v>
      </c>
      <c r="S701" s="542"/>
      <c r="T701" s="445" t="e">
        <f t="shared" si="527"/>
        <v>#REF!</v>
      </c>
      <c r="V701" s="581" t="e">
        <f>+#REF!</f>
        <v>#REF!</v>
      </c>
      <c r="W701" s="582" t="e">
        <f t="shared" si="528"/>
        <v>#REF!</v>
      </c>
      <c r="X701" s="581" t="e">
        <f>+#REF!</f>
        <v>#REF!</v>
      </c>
      <c r="Y701" s="582" t="e">
        <f t="shared" si="529"/>
        <v>#REF!</v>
      </c>
      <c r="Z701" s="581" t="e">
        <f>+#REF!</f>
        <v>#REF!</v>
      </c>
      <c r="AA701" s="582" t="e">
        <f t="shared" si="530"/>
        <v>#REF!</v>
      </c>
      <c r="AB701" s="581" t="e">
        <f>+#REF!</f>
        <v>#REF!</v>
      </c>
      <c r="AC701" s="582" t="e">
        <f t="shared" si="531"/>
        <v>#REF!</v>
      </c>
      <c r="AE701" s="769" t="e">
        <f t="shared" si="481"/>
        <v>#REF!</v>
      </c>
    </row>
    <row r="702" spans="1:31" ht="15" customHeight="1" x14ac:dyDescent="0.2">
      <c r="A702" s="611" t="s">
        <v>1796</v>
      </c>
      <c r="B702" s="601" t="s">
        <v>1797</v>
      </c>
      <c r="C702" s="611" t="s">
        <v>111</v>
      </c>
      <c r="D702" s="576">
        <f t="shared" si="519"/>
        <v>1</v>
      </c>
      <c r="E702" s="577" t="e">
        <f t="shared" si="520"/>
        <v>#REF!</v>
      </c>
      <c r="F702" s="577" t="e">
        <f t="shared" si="521"/>
        <v>#REF!</v>
      </c>
      <c r="G702" s="578"/>
      <c r="I702" s="584"/>
      <c r="J702" s="585" t="e">
        <f t="shared" si="522"/>
        <v>#REF!</v>
      </c>
      <c r="K702" s="537"/>
      <c r="L702" s="445" t="e">
        <f t="shared" si="523"/>
        <v>#REF!</v>
      </c>
      <c r="M702" s="542">
        <v>1</v>
      </c>
      <c r="N702" s="445" t="e">
        <f t="shared" si="524"/>
        <v>#REF!</v>
      </c>
      <c r="O702" s="542"/>
      <c r="P702" s="445" t="e">
        <f t="shared" si="525"/>
        <v>#REF!</v>
      </c>
      <c r="Q702" s="542"/>
      <c r="R702" s="445" t="e">
        <f t="shared" si="526"/>
        <v>#REF!</v>
      </c>
      <c r="S702" s="542"/>
      <c r="T702" s="445" t="e">
        <f t="shared" si="527"/>
        <v>#REF!</v>
      </c>
      <c r="V702" s="581" t="e">
        <f>+'16,1,9 Duchas'!I19</f>
        <v>#REF!</v>
      </c>
      <c r="W702" s="582" t="e">
        <f t="shared" si="528"/>
        <v>#REF!</v>
      </c>
      <c r="X702" s="581">
        <f>+'16,1,9 Duchas'!I50</f>
        <v>32210.74</v>
      </c>
      <c r="Y702" s="582">
        <f t="shared" si="529"/>
        <v>32210.74</v>
      </c>
      <c r="Z702" s="581">
        <f>+'16,1,9 Duchas'!I30</f>
        <v>742</v>
      </c>
      <c r="AA702" s="582">
        <f t="shared" si="530"/>
        <v>742</v>
      </c>
      <c r="AB702" s="581">
        <f>+'16,1,9 Duchas'!I41</f>
        <v>0</v>
      </c>
      <c r="AC702" s="582">
        <f t="shared" si="531"/>
        <v>0</v>
      </c>
      <c r="AE702" s="769" t="e">
        <f t="shared" si="481"/>
        <v>#REF!</v>
      </c>
    </row>
    <row r="703" spans="1:31" ht="15" hidden="1" customHeight="1" x14ac:dyDescent="0.2">
      <c r="A703" s="611" t="s">
        <v>1798</v>
      </c>
      <c r="B703" s="601" t="s">
        <v>1799</v>
      </c>
      <c r="C703" s="611" t="s">
        <v>111</v>
      </c>
      <c r="D703" s="576">
        <f t="shared" si="519"/>
        <v>0</v>
      </c>
      <c r="E703" s="577">
        <f t="shared" si="520"/>
        <v>0</v>
      </c>
      <c r="F703" s="577">
        <f t="shared" si="521"/>
        <v>0</v>
      </c>
      <c r="G703" s="578"/>
      <c r="I703" s="584"/>
      <c r="J703" s="585">
        <f t="shared" si="522"/>
        <v>0</v>
      </c>
      <c r="K703" s="537"/>
      <c r="L703" s="445">
        <f t="shared" si="523"/>
        <v>0</v>
      </c>
      <c r="M703" s="542"/>
      <c r="N703" s="445">
        <f t="shared" si="524"/>
        <v>0</v>
      </c>
      <c r="O703" s="542"/>
      <c r="P703" s="445">
        <f t="shared" si="525"/>
        <v>0</v>
      </c>
      <c r="Q703" s="542"/>
      <c r="R703" s="445">
        <f t="shared" si="526"/>
        <v>0</v>
      </c>
      <c r="S703" s="542"/>
      <c r="T703" s="445">
        <f t="shared" si="527"/>
        <v>0</v>
      </c>
      <c r="V703" s="581"/>
      <c r="W703" s="582">
        <f t="shared" si="528"/>
        <v>0</v>
      </c>
      <c r="X703" s="581"/>
      <c r="Y703" s="582">
        <f t="shared" si="529"/>
        <v>0</v>
      </c>
      <c r="Z703" s="581"/>
      <c r="AA703" s="582">
        <f t="shared" si="530"/>
        <v>0</v>
      </c>
      <c r="AB703" s="581"/>
      <c r="AC703" s="582">
        <f t="shared" si="531"/>
        <v>0</v>
      </c>
      <c r="AE703" s="769">
        <f t="shared" si="481"/>
        <v>0</v>
      </c>
    </row>
    <row r="704" spans="1:31" ht="15" customHeight="1" x14ac:dyDescent="0.2">
      <c r="A704" s="611" t="s">
        <v>1800</v>
      </c>
      <c r="B704" s="601" t="s">
        <v>1801</v>
      </c>
      <c r="C704" s="611" t="s">
        <v>111</v>
      </c>
      <c r="D704" s="576">
        <f t="shared" si="519"/>
        <v>8</v>
      </c>
      <c r="E704" s="577" t="e">
        <f t="shared" si="520"/>
        <v>#REF!</v>
      </c>
      <c r="F704" s="577" t="e">
        <f t="shared" si="521"/>
        <v>#REF!</v>
      </c>
      <c r="G704" s="578"/>
      <c r="I704" s="597"/>
      <c r="J704" s="598" t="e">
        <f t="shared" si="522"/>
        <v>#REF!</v>
      </c>
      <c r="K704" s="537"/>
      <c r="L704" s="445" t="e">
        <f t="shared" si="523"/>
        <v>#REF!</v>
      </c>
      <c r="M704" s="542">
        <v>8</v>
      </c>
      <c r="N704" s="445" t="e">
        <f t="shared" si="524"/>
        <v>#REF!</v>
      </c>
      <c r="O704" s="542"/>
      <c r="P704" s="445" t="e">
        <f t="shared" si="525"/>
        <v>#REF!</v>
      </c>
      <c r="Q704" s="542"/>
      <c r="R704" s="445" t="e">
        <f t="shared" si="526"/>
        <v>#REF!</v>
      </c>
      <c r="S704" s="542"/>
      <c r="T704" s="445" t="e">
        <f t="shared" si="527"/>
        <v>#REF!</v>
      </c>
      <c r="V704" s="581" t="e">
        <f>+'16,1,11 POCETA'!I19</f>
        <v>#REF!</v>
      </c>
      <c r="W704" s="582" t="e">
        <f t="shared" si="528"/>
        <v>#REF!</v>
      </c>
      <c r="X704" s="581">
        <f>+'16,1,11 POCETA'!I50</f>
        <v>29909.98</v>
      </c>
      <c r="Y704" s="582">
        <f t="shared" si="529"/>
        <v>239279.84</v>
      </c>
      <c r="Z704" s="581">
        <f>+'16,1,11 POCETA'!I30</f>
        <v>185.5</v>
      </c>
      <c r="AA704" s="582">
        <f t="shared" si="530"/>
        <v>1484</v>
      </c>
      <c r="AB704" s="581">
        <f>+'16,1,11 POCETA'!I41</f>
        <v>0</v>
      </c>
      <c r="AC704" s="582">
        <f t="shared" si="531"/>
        <v>0</v>
      </c>
      <c r="AE704" s="769" t="e">
        <f t="shared" si="481"/>
        <v>#REF!</v>
      </c>
    </row>
    <row r="705" spans="1:32" ht="15" customHeight="1" x14ac:dyDescent="0.2">
      <c r="A705" s="572" t="s">
        <v>1802</v>
      </c>
      <c r="B705" s="573" t="s">
        <v>1803</v>
      </c>
      <c r="C705" s="846"/>
      <c r="D705" s="576"/>
      <c r="E705" s="577"/>
      <c r="F705" s="626" t="e">
        <f>+ROUND(SUM(F706:F712),10)</f>
        <v>#REF!</v>
      </c>
      <c r="G705" s="473"/>
      <c r="H705" s="568"/>
      <c r="I705" s="613"/>
      <c r="J705" s="440" t="e">
        <f>ROUND(SUM(J706:J712),10)</f>
        <v>#REF!</v>
      </c>
      <c r="K705" s="537"/>
      <c r="L705" s="180" t="e">
        <f>ROUND(SUM(L706:L712),10)</f>
        <v>#REF!</v>
      </c>
      <c r="M705" s="542"/>
      <c r="N705" s="180" t="e">
        <f>ROUND(SUM(N706:N712),10)</f>
        <v>#REF!</v>
      </c>
      <c r="O705" s="542"/>
      <c r="P705" s="180" t="e">
        <f>ROUND(SUM(P706:P712),10)</f>
        <v>#REF!</v>
      </c>
      <c r="Q705" s="542"/>
      <c r="R705" s="180" t="e">
        <f>ROUND(SUM(R706:R712),10)</f>
        <v>#REF!</v>
      </c>
      <c r="S705" s="542"/>
      <c r="T705" s="180" t="e">
        <f>ROUND(SUM(T706:T712),10)</f>
        <v>#REF!</v>
      </c>
      <c r="U705" s="568"/>
      <c r="V705" s="575"/>
      <c r="W705" s="570" t="e">
        <f>ROUND(SUM(W706:W712),10)</f>
        <v>#REF!</v>
      </c>
      <c r="X705" s="575"/>
      <c r="Y705" s="570" t="e">
        <f>ROUND(SUM(Y706:Y712),10)</f>
        <v>#REF!</v>
      </c>
      <c r="Z705" s="575"/>
      <c r="AA705" s="570" t="e">
        <f>ROUND(SUM(AA706:AA712),10)</f>
        <v>#REF!</v>
      </c>
      <c r="AB705" s="575"/>
      <c r="AC705" s="570" t="e">
        <f>ROUND(SUM(AC706:AC712),10)</f>
        <v>#REF!</v>
      </c>
      <c r="AE705" s="769" t="e">
        <f t="shared" si="481"/>
        <v>#REF!</v>
      </c>
    </row>
    <row r="706" spans="1:32" ht="25.5" hidden="1" customHeight="1" x14ac:dyDescent="0.2">
      <c r="A706" s="611" t="s">
        <v>1804</v>
      </c>
      <c r="B706" s="610" t="s">
        <v>1805</v>
      </c>
      <c r="C706" s="611" t="s">
        <v>111</v>
      </c>
      <c r="D706" s="576">
        <f t="shared" ref="D706:D712" si="532">+I706+K706+M706+O706+Q706+S706</f>
        <v>0</v>
      </c>
      <c r="E706" s="577" t="e">
        <f t="shared" si="520"/>
        <v>#REF!</v>
      </c>
      <c r="F706" s="577" t="e">
        <f t="shared" ref="F706:F712" si="533">ROUND(D706*E706,10)</f>
        <v>#REF!</v>
      </c>
      <c r="G706" s="578"/>
      <c r="I706" s="594"/>
      <c r="J706" s="580" t="e">
        <f t="shared" ref="J706:J712" si="534">+ROUND(E706*I706,10)</f>
        <v>#REF!</v>
      </c>
      <c r="K706" s="537"/>
      <c r="L706" s="445" t="e">
        <f t="shared" ref="L706:L712" si="535">+ROUND(E706*K706,10)</f>
        <v>#REF!</v>
      </c>
      <c r="M706" s="542"/>
      <c r="N706" s="445" t="e">
        <f t="shared" ref="N706:N712" si="536">+ROUND(E706*M706,10)</f>
        <v>#REF!</v>
      </c>
      <c r="O706" s="542"/>
      <c r="P706" s="445" t="e">
        <f t="shared" ref="P706:P712" si="537">+ROUND(E706*O706,10)</f>
        <v>#REF!</v>
      </c>
      <c r="Q706" s="542"/>
      <c r="R706" s="445" t="e">
        <f t="shared" ref="R706:R712" si="538">+ROUND(E706*Q706,10)</f>
        <v>#REF!</v>
      </c>
      <c r="S706" s="542"/>
      <c r="T706" s="445" t="e">
        <f t="shared" ref="T706:T712" si="539">+ROUND(E706*S706,10)</f>
        <v>#REF!</v>
      </c>
      <c r="V706" s="581" t="e">
        <f>+'16,2,1 Pocetas Aseo'!I19</f>
        <v>#REF!</v>
      </c>
      <c r="W706" s="582" t="e">
        <f t="shared" ref="W706:W712" si="540">ROUND(V706*$D706,10)</f>
        <v>#REF!</v>
      </c>
      <c r="X706" s="581">
        <f>+'16,2,1 Pocetas Aseo'!I50</f>
        <v>114201.73</v>
      </c>
      <c r="Y706" s="582">
        <f t="shared" ref="Y706:Y712" si="541">ROUND(X706*$D706,10)</f>
        <v>0</v>
      </c>
      <c r="Z706" s="581">
        <f>+'16,2,1 Pocetas Aseo'!I30</f>
        <v>2040.5</v>
      </c>
      <c r="AA706" s="582">
        <f t="shared" ref="AA706:AA712" si="542">ROUND(Z706*$D706,10)</f>
        <v>0</v>
      </c>
      <c r="AB706" s="581">
        <f>+'16,2,1 Pocetas Aseo'!I41</f>
        <v>0</v>
      </c>
      <c r="AC706" s="582">
        <f t="shared" ref="AC706:AC712" si="543">ROUND(AB706*$D706,10)</f>
        <v>0</v>
      </c>
      <c r="AE706" s="769" t="e">
        <f t="shared" si="481"/>
        <v>#REF!</v>
      </c>
    </row>
    <row r="707" spans="1:32" ht="15" hidden="1" customHeight="1" x14ac:dyDescent="0.2">
      <c r="A707" s="611" t="s">
        <v>1806</v>
      </c>
      <c r="B707" s="601"/>
      <c r="C707" s="611" t="s">
        <v>111</v>
      </c>
      <c r="D707" s="576">
        <f t="shared" si="532"/>
        <v>0</v>
      </c>
      <c r="E707" s="577">
        <f t="shared" si="520"/>
        <v>0</v>
      </c>
      <c r="F707" s="577">
        <f t="shared" si="533"/>
        <v>0</v>
      </c>
      <c r="G707" s="578"/>
      <c r="I707" s="584"/>
      <c r="J707" s="585">
        <f t="shared" si="534"/>
        <v>0</v>
      </c>
      <c r="K707" s="537"/>
      <c r="L707" s="445">
        <f t="shared" si="535"/>
        <v>0</v>
      </c>
      <c r="M707" s="542"/>
      <c r="N707" s="445">
        <f t="shared" si="536"/>
        <v>0</v>
      </c>
      <c r="O707" s="542"/>
      <c r="P707" s="445">
        <f t="shared" si="537"/>
        <v>0</v>
      </c>
      <c r="Q707" s="542"/>
      <c r="R707" s="445">
        <f t="shared" si="538"/>
        <v>0</v>
      </c>
      <c r="S707" s="542"/>
      <c r="T707" s="445">
        <f t="shared" si="539"/>
        <v>0</v>
      </c>
      <c r="V707" s="581"/>
      <c r="W707" s="582">
        <f t="shared" si="540"/>
        <v>0</v>
      </c>
      <c r="X707" s="581"/>
      <c r="Y707" s="582">
        <f t="shared" si="541"/>
        <v>0</v>
      </c>
      <c r="Z707" s="581"/>
      <c r="AA707" s="582">
        <f t="shared" si="542"/>
        <v>0</v>
      </c>
      <c r="AB707" s="581"/>
      <c r="AC707" s="582">
        <f t="shared" si="543"/>
        <v>0</v>
      </c>
      <c r="AE707" s="769">
        <f t="shared" si="481"/>
        <v>0</v>
      </c>
    </row>
    <row r="708" spans="1:32" ht="15" hidden="1" customHeight="1" x14ac:dyDescent="0.2">
      <c r="A708" s="611" t="s">
        <v>1807</v>
      </c>
      <c r="B708" s="601" t="s">
        <v>1808</v>
      </c>
      <c r="C708" s="611" t="s">
        <v>111</v>
      </c>
      <c r="D708" s="576">
        <f t="shared" si="532"/>
        <v>0</v>
      </c>
      <c r="E708" s="577">
        <f t="shared" si="520"/>
        <v>0</v>
      </c>
      <c r="F708" s="577">
        <f t="shared" si="533"/>
        <v>0</v>
      </c>
      <c r="G708" s="578"/>
      <c r="I708" s="584"/>
      <c r="J708" s="585">
        <f t="shared" si="534"/>
        <v>0</v>
      </c>
      <c r="K708" s="537"/>
      <c r="L708" s="445">
        <f t="shared" si="535"/>
        <v>0</v>
      </c>
      <c r="M708" s="542"/>
      <c r="N708" s="445">
        <f t="shared" si="536"/>
        <v>0</v>
      </c>
      <c r="O708" s="542"/>
      <c r="P708" s="445">
        <f t="shared" si="537"/>
        <v>0</v>
      </c>
      <c r="Q708" s="542"/>
      <c r="R708" s="445">
        <f t="shared" si="538"/>
        <v>0</v>
      </c>
      <c r="S708" s="542"/>
      <c r="T708" s="445">
        <f t="shared" si="539"/>
        <v>0</v>
      </c>
      <c r="V708" s="581"/>
      <c r="W708" s="582">
        <f t="shared" si="540"/>
        <v>0</v>
      </c>
      <c r="X708" s="581"/>
      <c r="Y708" s="582">
        <f t="shared" si="541"/>
        <v>0</v>
      </c>
      <c r="Z708" s="581"/>
      <c r="AA708" s="582">
        <f t="shared" si="542"/>
        <v>0</v>
      </c>
      <c r="AB708" s="581"/>
      <c r="AC708" s="582">
        <f t="shared" si="543"/>
        <v>0</v>
      </c>
      <c r="AE708" s="769">
        <f t="shared" si="481"/>
        <v>0</v>
      </c>
    </row>
    <row r="709" spans="1:32" ht="15" hidden="1" customHeight="1" x14ac:dyDescent="0.2">
      <c r="A709" s="611" t="s">
        <v>1809</v>
      </c>
      <c r="B709" s="601" t="s">
        <v>1810</v>
      </c>
      <c r="C709" s="611" t="s">
        <v>111</v>
      </c>
      <c r="D709" s="576">
        <f t="shared" si="532"/>
        <v>0</v>
      </c>
      <c r="E709" s="577">
        <f t="shared" si="520"/>
        <v>0</v>
      </c>
      <c r="F709" s="577">
        <f t="shared" si="533"/>
        <v>0</v>
      </c>
      <c r="G709" s="578"/>
      <c r="I709" s="584"/>
      <c r="J709" s="585">
        <f t="shared" si="534"/>
        <v>0</v>
      </c>
      <c r="K709" s="537"/>
      <c r="L709" s="445">
        <f t="shared" si="535"/>
        <v>0</v>
      </c>
      <c r="M709" s="542"/>
      <c r="N709" s="445">
        <f t="shared" si="536"/>
        <v>0</v>
      </c>
      <c r="O709" s="542"/>
      <c r="P709" s="445">
        <f t="shared" si="537"/>
        <v>0</v>
      </c>
      <c r="Q709" s="542"/>
      <c r="R709" s="445">
        <f t="shared" si="538"/>
        <v>0</v>
      </c>
      <c r="S709" s="542"/>
      <c r="T709" s="445">
        <f t="shared" si="539"/>
        <v>0</v>
      </c>
      <c r="V709" s="581"/>
      <c r="W709" s="582">
        <f t="shared" si="540"/>
        <v>0</v>
      </c>
      <c r="X709" s="581"/>
      <c r="Y709" s="582">
        <f t="shared" si="541"/>
        <v>0</v>
      </c>
      <c r="Z709" s="581"/>
      <c r="AA709" s="582">
        <f t="shared" si="542"/>
        <v>0</v>
      </c>
      <c r="AB709" s="581"/>
      <c r="AC709" s="582">
        <f t="shared" si="543"/>
        <v>0</v>
      </c>
      <c r="AE709" s="769">
        <f t="shared" si="481"/>
        <v>0</v>
      </c>
    </row>
    <row r="710" spans="1:32" ht="15" hidden="1" customHeight="1" x14ac:dyDescent="0.2">
      <c r="A710" s="611" t="s">
        <v>1811</v>
      </c>
      <c r="B710" s="601" t="s">
        <v>1812</v>
      </c>
      <c r="C710" s="611" t="s">
        <v>111</v>
      </c>
      <c r="D710" s="576">
        <f t="shared" si="532"/>
        <v>0</v>
      </c>
      <c r="E710" s="577" t="e">
        <f t="shared" si="520"/>
        <v>#REF!</v>
      </c>
      <c r="F710" s="577" t="e">
        <f t="shared" si="533"/>
        <v>#REF!</v>
      </c>
      <c r="G710" s="578"/>
      <c r="I710" s="584"/>
      <c r="J710" s="585" t="e">
        <f t="shared" si="534"/>
        <v>#REF!</v>
      </c>
      <c r="K710" s="537"/>
      <c r="L710" s="445" t="e">
        <f t="shared" si="535"/>
        <v>#REF!</v>
      </c>
      <c r="M710" s="542"/>
      <c r="N710" s="445" t="e">
        <f t="shared" si="536"/>
        <v>#REF!</v>
      </c>
      <c r="O710" s="542"/>
      <c r="P710" s="445" t="e">
        <f t="shared" si="537"/>
        <v>#REF!</v>
      </c>
      <c r="Q710" s="542"/>
      <c r="R710" s="445" t="e">
        <f t="shared" si="538"/>
        <v>#REF!</v>
      </c>
      <c r="S710" s="542"/>
      <c r="T710" s="445" t="e">
        <f t="shared" si="539"/>
        <v>#REF!</v>
      </c>
      <c r="V710" s="581" t="e">
        <f>+'16,2,5 Llave Terminal'!I19</f>
        <v>#REF!</v>
      </c>
      <c r="W710" s="582" t="e">
        <f t="shared" si="540"/>
        <v>#REF!</v>
      </c>
      <c r="X710" s="581">
        <f>+'16,2,5 Llave Terminal'!I50</f>
        <v>4187.3999999999996</v>
      </c>
      <c r="Y710" s="582">
        <f t="shared" si="541"/>
        <v>0</v>
      </c>
      <c r="Z710" s="581">
        <f>+'16,2,5 Llave Terminal'!I30</f>
        <v>371</v>
      </c>
      <c r="AA710" s="582">
        <f t="shared" si="542"/>
        <v>0</v>
      </c>
      <c r="AB710" s="581"/>
      <c r="AC710" s="582">
        <f t="shared" si="543"/>
        <v>0</v>
      </c>
      <c r="AE710" s="769" t="e">
        <f t="shared" si="481"/>
        <v>#REF!</v>
      </c>
    </row>
    <row r="711" spans="1:32" ht="15" customHeight="1" x14ac:dyDescent="0.2">
      <c r="A711" s="611" t="s">
        <v>1813</v>
      </c>
      <c r="B711" s="610" t="s">
        <v>1814</v>
      </c>
      <c r="C711" s="611" t="s">
        <v>111</v>
      </c>
      <c r="D711" s="576">
        <f>SUM(K711,O711,Q711,S711)</f>
        <v>23</v>
      </c>
      <c r="E711" s="577" t="e">
        <f t="shared" si="520"/>
        <v>#REF!</v>
      </c>
      <c r="F711" s="577" t="e">
        <f t="shared" si="533"/>
        <v>#REF!</v>
      </c>
      <c r="G711" s="578"/>
      <c r="I711" s="584"/>
      <c r="J711" s="585" t="e">
        <f t="shared" si="534"/>
        <v>#REF!</v>
      </c>
      <c r="K711" s="537"/>
      <c r="L711" s="445" t="e">
        <f t="shared" si="535"/>
        <v>#REF!</v>
      </c>
      <c r="M711" s="542"/>
      <c r="N711" s="445" t="e">
        <f t="shared" si="536"/>
        <v>#REF!</v>
      </c>
      <c r="O711" s="542">
        <v>23</v>
      </c>
      <c r="P711" s="445" t="e">
        <f t="shared" si="537"/>
        <v>#REF!</v>
      </c>
      <c r="Q711" s="542"/>
      <c r="R711" s="445" t="e">
        <f t="shared" si="538"/>
        <v>#REF!</v>
      </c>
      <c r="S711" s="542"/>
      <c r="T711" s="445" t="e">
        <f t="shared" si="539"/>
        <v>#REF!</v>
      </c>
      <c r="V711" s="581" t="e">
        <f>+#REF!</f>
        <v>#REF!</v>
      </c>
      <c r="W711" s="582" t="e">
        <f t="shared" si="540"/>
        <v>#REF!</v>
      </c>
      <c r="X711" s="581" t="e">
        <f>+#REF!</f>
        <v>#REF!</v>
      </c>
      <c r="Y711" s="582" t="e">
        <f t="shared" si="541"/>
        <v>#REF!</v>
      </c>
      <c r="Z711" s="581" t="e">
        <f>+#REF!</f>
        <v>#REF!</v>
      </c>
      <c r="AA711" s="582" t="e">
        <f>ROUND(Z711*$D711,10)</f>
        <v>#REF!</v>
      </c>
      <c r="AB711" s="581" t="e">
        <f>#REF!</f>
        <v>#REF!</v>
      </c>
      <c r="AC711" s="582" t="e">
        <f t="shared" si="543"/>
        <v>#REF!</v>
      </c>
      <c r="AE711" s="769" t="e">
        <f>SUM(AC711,AA711,Y711,W711)-SUM(T711,R711,P711,N711,L711)</f>
        <v>#REF!</v>
      </c>
      <c r="AF711" s="555"/>
    </row>
    <row r="712" spans="1:32" ht="15" customHeight="1" thickBot="1" x14ac:dyDescent="0.25">
      <c r="A712" s="611" t="s">
        <v>1815</v>
      </c>
      <c r="B712" s="601" t="s">
        <v>1816</v>
      </c>
      <c r="C712" s="611" t="s">
        <v>111</v>
      </c>
      <c r="D712" s="576">
        <f t="shared" si="532"/>
        <v>1</v>
      </c>
      <c r="E712" s="577" t="e">
        <f t="shared" si="520"/>
        <v>#REF!</v>
      </c>
      <c r="F712" s="577" t="e">
        <f t="shared" si="533"/>
        <v>#REF!</v>
      </c>
      <c r="G712" s="578"/>
      <c r="I712" s="602"/>
      <c r="J712" s="603" t="e">
        <f t="shared" si="534"/>
        <v>#REF!</v>
      </c>
      <c r="K712" s="537"/>
      <c r="L712" s="445" t="e">
        <f t="shared" si="535"/>
        <v>#REF!</v>
      </c>
      <c r="M712" s="542"/>
      <c r="N712" s="445" t="e">
        <f t="shared" si="536"/>
        <v>#REF!</v>
      </c>
      <c r="O712" s="542">
        <v>1</v>
      </c>
      <c r="P712" s="445" t="e">
        <f t="shared" si="537"/>
        <v>#REF!</v>
      </c>
      <c r="Q712" s="542"/>
      <c r="R712" s="445" t="e">
        <f t="shared" si="538"/>
        <v>#REF!</v>
      </c>
      <c r="S712" s="542"/>
      <c r="T712" s="445" t="e">
        <f t="shared" si="539"/>
        <v>#REF!</v>
      </c>
      <c r="V712" s="581" t="e">
        <f>+#REF!</f>
        <v>#REF!</v>
      </c>
      <c r="W712" s="582" t="e">
        <f t="shared" si="540"/>
        <v>#REF!</v>
      </c>
      <c r="X712" s="581" t="e">
        <f>+#REF!</f>
        <v>#REF!</v>
      </c>
      <c r="Y712" s="582" t="e">
        <f t="shared" si="541"/>
        <v>#REF!</v>
      </c>
      <c r="Z712" s="581" t="e">
        <f>+#REF!</f>
        <v>#REF!</v>
      </c>
      <c r="AA712" s="582" t="e">
        <f t="shared" si="542"/>
        <v>#REF!</v>
      </c>
      <c r="AB712" s="581" t="e">
        <f>#REF!</f>
        <v>#REF!</v>
      </c>
      <c r="AC712" s="582" t="e">
        <f t="shared" si="543"/>
        <v>#REF!</v>
      </c>
      <c r="AE712" s="769" t="e">
        <f t="shared" si="481"/>
        <v>#REF!</v>
      </c>
      <c r="AF712" s="555"/>
    </row>
    <row r="713" spans="1:32" ht="15" hidden="1" customHeight="1" thickTop="1" x14ac:dyDescent="0.2">
      <c r="A713" s="611"/>
      <c r="B713" s="601"/>
      <c r="C713" s="611"/>
      <c r="D713" s="576"/>
      <c r="E713" s="577"/>
      <c r="F713" s="577"/>
      <c r="G713" s="578"/>
      <c r="I713" s="604"/>
      <c r="J713" s="635"/>
      <c r="K713" s="537"/>
      <c r="L713" s="445"/>
      <c r="M713" s="542"/>
      <c r="N713" s="445"/>
      <c r="O713" s="542"/>
      <c r="P713" s="445"/>
      <c r="Q713" s="542"/>
      <c r="R713" s="445"/>
      <c r="S713" s="542"/>
      <c r="T713" s="445"/>
      <c r="V713" s="581"/>
      <c r="W713" s="582"/>
      <c r="X713" s="581"/>
      <c r="Y713" s="582"/>
      <c r="Z713" s="581"/>
      <c r="AA713" s="582"/>
      <c r="AB713" s="581"/>
      <c r="AC713" s="582"/>
      <c r="AE713" s="769">
        <f t="shared" si="481"/>
        <v>0</v>
      </c>
    </row>
    <row r="714" spans="1:32" s="657" customFormat="1" ht="6.75" customHeight="1" thickTop="1" x14ac:dyDescent="0.2">
      <c r="A714" s="919"/>
      <c r="B714" s="920"/>
      <c r="C714" s="919"/>
      <c r="D714" s="655"/>
      <c r="E714" s="656"/>
      <c r="F714" s="656"/>
      <c r="G714" s="656"/>
      <c r="I714" s="658"/>
      <c r="J714" s="658"/>
      <c r="K714" s="659"/>
      <c r="L714" s="658"/>
      <c r="M714" s="174"/>
      <c r="N714" s="658"/>
      <c r="O714" s="174"/>
      <c r="P714" s="658"/>
      <c r="Q714" s="174"/>
      <c r="R714" s="658"/>
      <c r="S714" s="174"/>
      <c r="T714" s="658"/>
      <c r="V714" s="667"/>
      <c r="W714" s="667"/>
      <c r="X714" s="667"/>
      <c r="Y714" s="667"/>
      <c r="Z714" s="667"/>
      <c r="AA714" s="667"/>
      <c r="AB714" s="667"/>
      <c r="AC714" s="667"/>
      <c r="AE714" s="769">
        <f t="shared" si="481"/>
        <v>0</v>
      </c>
    </row>
    <row r="715" spans="1:32" ht="30" hidden="1" customHeight="1" thickTop="1" thickBot="1" x14ac:dyDescent="0.25">
      <c r="A715" s="564">
        <v>17</v>
      </c>
      <c r="B715" s="1045" t="s">
        <v>1817</v>
      </c>
      <c r="C715" s="1045"/>
      <c r="D715" s="1045"/>
      <c r="E715" s="1045"/>
      <c r="F715" s="1045"/>
      <c r="G715" s="180" t="e">
        <f>+F716+F721</f>
        <v>#REF!</v>
      </c>
      <c r="H715" s="568"/>
      <c r="I715" s="616"/>
      <c r="J715" s="439" t="e">
        <f>+ROUND(J716+J721,10)</f>
        <v>#REF!</v>
      </c>
      <c r="K715" s="617"/>
      <c r="L715" s="180" t="e">
        <f>+ROUND(L716+L721,10)</f>
        <v>#REF!</v>
      </c>
      <c r="M715" s="180"/>
      <c r="N715" s="180" t="e">
        <f>+ROUND(N716+N721,10)</f>
        <v>#REF!</v>
      </c>
      <c r="O715" s="180"/>
      <c r="P715" s="180" t="e">
        <f>+ROUND(P716+P721,10)</f>
        <v>#REF!</v>
      </c>
      <c r="Q715" s="180"/>
      <c r="R715" s="180" t="e">
        <f>+ROUND(R716+R721,10)</f>
        <v>#REF!</v>
      </c>
      <c r="S715" s="180"/>
      <c r="T715" s="180" t="e">
        <f>+ROUND(T716+T721,10)</f>
        <v>#REF!</v>
      </c>
      <c r="U715" s="568"/>
      <c r="V715" s="569" t="e">
        <f>W715/$G$715</f>
        <v>#REF!</v>
      </c>
      <c r="W715" s="570" t="e">
        <f>ROUND(W716+W721,10)</f>
        <v>#REF!</v>
      </c>
      <c r="X715" s="569" t="e">
        <f>Y715/$G$715</f>
        <v>#REF!</v>
      </c>
      <c r="Y715" s="570">
        <f>ROUND(Y716+Y721,10)</f>
        <v>0</v>
      </c>
      <c r="Z715" s="569" t="e">
        <f>AA715/$G$715</f>
        <v>#REF!</v>
      </c>
      <c r="AA715" s="570">
        <f>ROUND(AA716+AA721,10)</f>
        <v>0</v>
      </c>
      <c r="AB715" s="569" t="e">
        <f>AC715/$G$715</f>
        <v>#REF!</v>
      </c>
      <c r="AC715" s="570">
        <f>ROUND(AC716+AC721,10)</f>
        <v>0</v>
      </c>
      <c r="AE715" s="769" t="e">
        <f t="shared" si="481"/>
        <v>#REF!</v>
      </c>
    </row>
    <row r="716" spans="1:32" s="595" customFormat="1" ht="16.5" hidden="1" customHeight="1" thickTop="1" x14ac:dyDescent="0.2">
      <c r="A716" s="572" t="s">
        <v>1818</v>
      </c>
      <c r="B716" s="573" t="s">
        <v>1819</v>
      </c>
      <c r="C716" s="846"/>
      <c r="D716" s="576"/>
      <c r="E716" s="180"/>
      <c r="F716" s="180">
        <f>+ROUND(SUM(F717:F720),10)</f>
        <v>0</v>
      </c>
      <c r="G716" s="473"/>
      <c r="H716" s="568"/>
      <c r="I716" s="618"/>
      <c r="J716" s="439">
        <f>ROUND(SUM(J717:J720),10)</f>
        <v>0</v>
      </c>
      <c r="K716" s="539"/>
      <c r="L716" s="180">
        <f>ROUND(SUM(L717:L720),10)</f>
        <v>0</v>
      </c>
      <c r="M716" s="541"/>
      <c r="N716" s="180">
        <f>ROUND(SUM(N717:N720),10)</f>
        <v>0</v>
      </c>
      <c r="O716" s="541"/>
      <c r="P716" s="180">
        <f>ROUND(SUM(P717:P720),10)</f>
        <v>0</v>
      </c>
      <c r="Q716" s="541"/>
      <c r="R716" s="180">
        <f>ROUND(SUM(R717:R720),10)</f>
        <v>0</v>
      </c>
      <c r="S716" s="541"/>
      <c r="T716" s="180">
        <f>ROUND(SUM(T717:T720),10)</f>
        <v>0</v>
      </c>
      <c r="U716" s="568"/>
      <c r="V716" s="575"/>
      <c r="W716" s="570">
        <f>ROUND(SUM(W717:W720),10)</f>
        <v>0</v>
      </c>
      <c r="X716" s="575"/>
      <c r="Y716" s="570">
        <f>ROUND(SUM(Y717:Y720),10)</f>
        <v>0</v>
      </c>
      <c r="Z716" s="575"/>
      <c r="AA716" s="570">
        <f>ROUND(SUM(AA717:AA720),10)</f>
        <v>0</v>
      </c>
      <c r="AB716" s="575"/>
      <c r="AC716" s="570">
        <f>ROUND(SUM(AC717:AC720),10)</f>
        <v>0</v>
      </c>
      <c r="AD716" s="912"/>
      <c r="AE716" s="769">
        <f t="shared" si="481"/>
        <v>0</v>
      </c>
      <c r="AF716" s="912"/>
    </row>
    <row r="717" spans="1:32" s="595" customFormat="1" ht="15" hidden="1" customHeight="1" x14ac:dyDescent="0.2">
      <c r="A717" s="611" t="s">
        <v>1820</v>
      </c>
      <c r="B717" s="601" t="s">
        <v>1821</v>
      </c>
      <c r="C717" s="611" t="s">
        <v>130</v>
      </c>
      <c r="D717" s="576">
        <f>+I717+K717+M717+O717+Q717+S717</f>
        <v>0</v>
      </c>
      <c r="E717" s="577">
        <f t="shared" ref="E717:E724" si="544">V717+X717+Z717+AB717</f>
        <v>0</v>
      </c>
      <c r="F717" s="577">
        <f>ROUND(D717*E717,10)</f>
        <v>0</v>
      </c>
      <c r="G717" s="578"/>
      <c r="H717" s="552"/>
      <c r="I717" s="594"/>
      <c r="J717" s="580">
        <f>+ROUND(E717*I717,10)</f>
        <v>0</v>
      </c>
      <c r="K717" s="538"/>
      <c r="L717" s="445">
        <f>+ROUND(E717*K717,10)</f>
        <v>0</v>
      </c>
      <c r="M717" s="542"/>
      <c r="N717" s="445">
        <f>+ROUND(E717*M717,10)</f>
        <v>0</v>
      </c>
      <c r="O717" s="542"/>
      <c r="P717" s="445">
        <f>+ROUND(E717*O717,10)</f>
        <v>0</v>
      </c>
      <c r="Q717" s="542"/>
      <c r="R717" s="445">
        <f>+ROUND(E717*Q717,10)</f>
        <v>0</v>
      </c>
      <c r="S717" s="542"/>
      <c r="T717" s="445">
        <f>+ROUND(E717*S717,10)</f>
        <v>0</v>
      </c>
      <c r="U717" s="552"/>
      <c r="V717" s="581"/>
      <c r="W717" s="582">
        <f>ROUND(V717*$D717,10)</f>
        <v>0</v>
      </c>
      <c r="X717" s="581"/>
      <c r="Y717" s="582">
        <f>ROUND(X717*$D717,10)</f>
        <v>0</v>
      </c>
      <c r="Z717" s="581"/>
      <c r="AA717" s="582">
        <f>ROUND(Z717*$D717,10)</f>
        <v>0</v>
      </c>
      <c r="AB717" s="581"/>
      <c r="AC717" s="582">
        <f>ROUND(AB717*$D717,10)</f>
        <v>0</v>
      </c>
      <c r="AD717" s="912"/>
      <c r="AE717" s="769">
        <f t="shared" si="481"/>
        <v>0</v>
      </c>
      <c r="AF717" s="912"/>
    </row>
    <row r="718" spans="1:32" s="595" customFormat="1" ht="15" hidden="1" customHeight="1" x14ac:dyDescent="0.2">
      <c r="A718" s="611" t="s">
        <v>1822</v>
      </c>
      <c r="B718" s="601" t="s">
        <v>1823</v>
      </c>
      <c r="C718" s="611" t="s">
        <v>130</v>
      </c>
      <c r="D718" s="576">
        <f>+I718+K718+M718+O718+Q718+S718</f>
        <v>0</v>
      </c>
      <c r="E718" s="577">
        <f t="shared" si="544"/>
        <v>0</v>
      </c>
      <c r="F718" s="577">
        <f>ROUND(D718*E718,10)</f>
        <v>0</v>
      </c>
      <c r="G718" s="578"/>
      <c r="H718" s="552"/>
      <c r="I718" s="584"/>
      <c r="J718" s="585">
        <f>+ROUND(E718*I718,10)</f>
        <v>0</v>
      </c>
      <c r="K718" s="537"/>
      <c r="L718" s="445">
        <f>+ROUND(E718*K718,10)</f>
        <v>0</v>
      </c>
      <c r="M718" s="542"/>
      <c r="N718" s="445">
        <f>+ROUND(E718*M718,10)</f>
        <v>0</v>
      </c>
      <c r="O718" s="542"/>
      <c r="P718" s="445">
        <f>+ROUND(E718*O718,10)</f>
        <v>0</v>
      </c>
      <c r="Q718" s="542"/>
      <c r="R718" s="445">
        <f>+ROUND(E718*Q718,10)</f>
        <v>0</v>
      </c>
      <c r="S718" s="542"/>
      <c r="T718" s="445">
        <f>+ROUND(E718*S718,10)</f>
        <v>0</v>
      </c>
      <c r="U718" s="552"/>
      <c r="V718" s="581"/>
      <c r="W718" s="582">
        <f>ROUND(V718*$D718,10)</f>
        <v>0</v>
      </c>
      <c r="X718" s="581"/>
      <c r="Y718" s="582">
        <f>ROUND(X718*$D718,10)</f>
        <v>0</v>
      </c>
      <c r="Z718" s="581"/>
      <c r="AA718" s="582">
        <f>ROUND(Z718*$D718,10)</f>
        <v>0</v>
      </c>
      <c r="AB718" s="581"/>
      <c r="AC718" s="582">
        <f>ROUND(AB718*$D718,10)</f>
        <v>0</v>
      </c>
      <c r="AD718" s="912"/>
      <c r="AE718" s="769">
        <f t="shared" si="481"/>
        <v>0</v>
      </c>
      <c r="AF718" s="912"/>
    </row>
    <row r="719" spans="1:32" s="595" customFormat="1" ht="15" hidden="1" customHeight="1" x14ac:dyDescent="0.2">
      <c r="A719" s="611" t="s">
        <v>1824</v>
      </c>
      <c r="B719" s="601" t="s">
        <v>1825</v>
      </c>
      <c r="C719" s="611" t="s">
        <v>130</v>
      </c>
      <c r="D719" s="576">
        <f>+I719+K719+M719+O719+Q719+S719</f>
        <v>0</v>
      </c>
      <c r="E719" s="577">
        <f t="shared" si="544"/>
        <v>0</v>
      </c>
      <c r="F719" s="577">
        <f>ROUND(D719*E719,10)</f>
        <v>0</v>
      </c>
      <c r="G719" s="578"/>
      <c r="H719" s="552"/>
      <c r="I719" s="584"/>
      <c r="J719" s="585">
        <f>+ROUND(E719*I719,10)</f>
        <v>0</v>
      </c>
      <c r="K719" s="537"/>
      <c r="L719" s="445">
        <f>+ROUND(E719*K719,10)</f>
        <v>0</v>
      </c>
      <c r="M719" s="542"/>
      <c r="N719" s="445">
        <f>+ROUND(E719*M719,10)</f>
        <v>0</v>
      </c>
      <c r="O719" s="542"/>
      <c r="P719" s="445">
        <f>+ROUND(E719*O719,10)</f>
        <v>0</v>
      </c>
      <c r="Q719" s="542"/>
      <c r="R719" s="445">
        <f>+ROUND(E719*Q719,10)</f>
        <v>0</v>
      </c>
      <c r="S719" s="542"/>
      <c r="T719" s="445">
        <f>+ROUND(E719*S719,10)</f>
        <v>0</v>
      </c>
      <c r="U719" s="552"/>
      <c r="V719" s="581"/>
      <c r="W719" s="582">
        <f>ROUND(V719*$D719,10)</f>
        <v>0</v>
      </c>
      <c r="X719" s="581"/>
      <c r="Y719" s="582">
        <f>ROUND(X719*$D719,10)</f>
        <v>0</v>
      </c>
      <c r="Z719" s="581"/>
      <c r="AA719" s="582">
        <f>ROUND(Z719*$D719,10)</f>
        <v>0</v>
      </c>
      <c r="AB719" s="581"/>
      <c r="AC719" s="582">
        <f>ROUND(AB719*$D719,10)</f>
        <v>0</v>
      </c>
      <c r="AD719" s="912"/>
      <c r="AE719" s="769">
        <f t="shared" si="481"/>
        <v>0</v>
      </c>
      <c r="AF719" s="912"/>
    </row>
    <row r="720" spans="1:32" s="595" customFormat="1" ht="15" hidden="1" customHeight="1" x14ac:dyDescent="0.2">
      <c r="A720" s="611" t="s">
        <v>1826</v>
      </c>
      <c r="B720" s="601" t="s">
        <v>1827</v>
      </c>
      <c r="C720" s="611" t="s">
        <v>130</v>
      </c>
      <c r="D720" s="576">
        <f>+I720+K720+M720+O720+Q720+S720</f>
        <v>0</v>
      </c>
      <c r="E720" s="577">
        <f t="shared" si="544"/>
        <v>0</v>
      </c>
      <c r="F720" s="577">
        <f>ROUND(D720*E720,10)</f>
        <v>0</v>
      </c>
      <c r="G720" s="578"/>
      <c r="H720" s="552"/>
      <c r="I720" s="597"/>
      <c r="J720" s="598">
        <f>+ROUND(E720*I720,10)</f>
        <v>0</v>
      </c>
      <c r="K720" s="537"/>
      <c r="L720" s="445">
        <f>+ROUND(E720*K720,10)</f>
        <v>0</v>
      </c>
      <c r="M720" s="542"/>
      <c r="N720" s="445">
        <f>+ROUND(E720*M720,10)</f>
        <v>0</v>
      </c>
      <c r="O720" s="542"/>
      <c r="P720" s="445">
        <f>+ROUND(E720*O720,10)</f>
        <v>0</v>
      </c>
      <c r="Q720" s="542"/>
      <c r="R720" s="445">
        <f>+ROUND(E720*Q720,10)</f>
        <v>0</v>
      </c>
      <c r="S720" s="542"/>
      <c r="T720" s="445">
        <f>+ROUND(E720*S720,10)</f>
        <v>0</v>
      </c>
      <c r="U720" s="552"/>
      <c r="V720" s="581"/>
      <c r="W720" s="582">
        <f>ROUND(V720*$D720,10)</f>
        <v>0</v>
      </c>
      <c r="X720" s="581"/>
      <c r="Y720" s="582">
        <f>ROUND(X720*$D720,10)</f>
        <v>0</v>
      </c>
      <c r="Z720" s="581"/>
      <c r="AA720" s="582">
        <f>ROUND(Z720*$D720,10)</f>
        <v>0</v>
      </c>
      <c r="AB720" s="581"/>
      <c r="AC720" s="582">
        <f>ROUND(AB720*$D720,10)</f>
        <v>0</v>
      </c>
      <c r="AD720" s="912"/>
      <c r="AE720" s="769">
        <f t="shared" si="481"/>
        <v>0</v>
      </c>
      <c r="AF720" s="912"/>
    </row>
    <row r="721" spans="1:31" s="595" customFormat="1" ht="15.75" hidden="1" customHeight="1" x14ac:dyDescent="0.2">
      <c r="A721" s="572" t="s">
        <v>1828</v>
      </c>
      <c r="B721" s="573" t="s">
        <v>1829</v>
      </c>
      <c r="C721" s="846"/>
      <c r="D721" s="576"/>
      <c r="E721" s="577"/>
      <c r="F721" s="180" t="e">
        <f>+ROUND(SUM(F722:F724),10)</f>
        <v>#REF!</v>
      </c>
      <c r="G721" s="473"/>
      <c r="H721" s="568"/>
      <c r="I721" s="613"/>
      <c r="J721" s="440" t="e">
        <f>ROUND(SUM(J722:J724),10)</f>
        <v>#REF!</v>
      </c>
      <c r="K721" s="537"/>
      <c r="L721" s="180" t="e">
        <f>ROUND(SUM(L722:L724),10)</f>
        <v>#REF!</v>
      </c>
      <c r="M721" s="542"/>
      <c r="N721" s="180" t="e">
        <f>ROUND(SUM(N722:N724),10)</f>
        <v>#REF!</v>
      </c>
      <c r="O721" s="542"/>
      <c r="P721" s="180" t="e">
        <f>ROUND(SUM(P722:P724),10)</f>
        <v>#REF!</v>
      </c>
      <c r="Q721" s="542"/>
      <c r="R721" s="180" t="e">
        <f>ROUND(SUM(R722:R724),10)</f>
        <v>#REF!</v>
      </c>
      <c r="S721" s="542"/>
      <c r="T721" s="180" t="e">
        <f>ROUND(SUM(T722:T724),10)</f>
        <v>#REF!</v>
      </c>
      <c r="U721" s="568"/>
      <c r="V721" s="575"/>
      <c r="W721" s="570" t="e">
        <f>ROUND(SUM(W722:W724),10)</f>
        <v>#REF!</v>
      </c>
      <c r="X721" s="575"/>
      <c r="Y721" s="570">
        <f>ROUND(SUM(Y722:Y724),10)</f>
        <v>0</v>
      </c>
      <c r="Z721" s="575"/>
      <c r="AA721" s="570">
        <f>ROUND(SUM(AA722:AA724),10)</f>
        <v>0</v>
      </c>
      <c r="AB721" s="575"/>
      <c r="AC721" s="570">
        <f>ROUND(SUM(AC722:AC724),10)</f>
        <v>0</v>
      </c>
      <c r="AD721" s="912"/>
      <c r="AE721" s="769" t="e">
        <f t="shared" si="481"/>
        <v>#REF!</v>
      </c>
    </row>
    <row r="722" spans="1:31" ht="33" hidden="1" customHeight="1" x14ac:dyDescent="0.2">
      <c r="A722" s="611" t="s">
        <v>1830</v>
      </c>
      <c r="B722" s="610" t="s">
        <v>1831</v>
      </c>
      <c r="C722" s="611" t="s">
        <v>111</v>
      </c>
      <c r="D722" s="576">
        <f>+I722+K722+M722+O722+Q722+S722</f>
        <v>0</v>
      </c>
      <c r="E722" s="577" t="e">
        <f t="shared" si="544"/>
        <v>#REF!</v>
      </c>
      <c r="F722" s="577" t="e">
        <f>ROUND(D722*E722,10)</f>
        <v>#REF!</v>
      </c>
      <c r="G722" s="578"/>
      <c r="I722" s="594"/>
      <c r="J722" s="580" t="e">
        <f>+ROUND(E722*I722,10)</f>
        <v>#REF!</v>
      </c>
      <c r="K722" s="537"/>
      <c r="L722" s="445" t="e">
        <f>+ROUND(E722*K722,10)</f>
        <v>#REF!</v>
      </c>
      <c r="M722" s="542"/>
      <c r="N722" s="445" t="e">
        <f>+ROUND(E722*M722,10)</f>
        <v>#REF!</v>
      </c>
      <c r="O722" s="542"/>
      <c r="P722" s="445" t="e">
        <f>+ROUND(E722*O722,10)</f>
        <v>#REF!</v>
      </c>
      <c r="Q722" s="542"/>
      <c r="R722" s="445" t="e">
        <f>+ROUND(E722*Q722,10)</f>
        <v>#REF!</v>
      </c>
      <c r="S722" s="542"/>
      <c r="T722" s="445" t="e">
        <f>+ROUND(E722*S722,10)</f>
        <v>#REF!</v>
      </c>
      <c r="V722" s="581" t="e">
        <f>+'17,2,1 Puerta Vidrio'!I19</f>
        <v>#REF!</v>
      </c>
      <c r="W722" s="582" t="e">
        <f>ROUND(V722*$D722,10)</f>
        <v>#REF!</v>
      </c>
      <c r="X722" s="581">
        <f>+'17,2,1 Puerta Vidrio'!I50</f>
        <v>32924.9</v>
      </c>
      <c r="Y722" s="582">
        <f>ROUND(X722*$D722,10)</f>
        <v>0</v>
      </c>
      <c r="Z722" s="581">
        <f>+'17,2,1 Puerta Vidrio'!I30</f>
        <v>742</v>
      </c>
      <c r="AA722" s="582">
        <f>ROUND(Z722*$D722,10)</f>
        <v>0</v>
      </c>
      <c r="AB722" s="581"/>
      <c r="AC722" s="582">
        <f>ROUND(AB722*$D722,10)</f>
        <v>0</v>
      </c>
      <c r="AE722" s="769" t="e">
        <f t="shared" ref="AE722:AE785" si="545">SUM(AC722,AA722,Y722,W722)-SUM(T722,R722,P722,N722,L722)</f>
        <v>#REF!</v>
      </c>
    </row>
    <row r="723" spans="1:31" ht="25.5" hidden="1" customHeight="1" x14ac:dyDescent="0.2">
      <c r="A723" s="611" t="s">
        <v>1832</v>
      </c>
      <c r="B723" s="601" t="s">
        <v>1833</v>
      </c>
      <c r="C723" s="611" t="s">
        <v>111</v>
      </c>
      <c r="D723" s="576">
        <f>+I723+K723+M723+O723+Q723+S723</f>
        <v>0</v>
      </c>
      <c r="E723" s="577" t="e">
        <f t="shared" si="544"/>
        <v>#REF!</v>
      </c>
      <c r="F723" s="577" t="e">
        <f>ROUND(D723*E723,10)</f>
        <v>#REF!</v>
      </c>
      <c r="G723" s="578"/>
      <c r="I723" s="584"/>
      <c r="J723" s="585" t="e">
        <f>+ROUND(E723*I723,10)</f>
        <v>#REF!</v>
      </c>
      <c r="K723" s="537"/>
      <c r="L723" s="445" t="e">
        <f>+ROUND(E723*K723,10)</f>
        <v>#REF!</v>
      </c>
      <c r="M723" s="542"/>
      <c r="N723" s="445" t="e">
        <f>+ROUND(E723*M723,10)</f>
        <v>#REF!</v>
      </c>
      <c r="O723" s="542"/>
      <c r="P723" s="445" t="e">
        <f>+ROUND(E723*O723,10)</f>
        <v>#REF!</v>
      </c>
      <c r="Q723" s="542"/>
      <c r="R723" s="445" t="e">
        <f>+ROUND(E723*Q723,10)</f>
        <v>#REF!</v>
      </c>
      <c r="S723" s="542"/>
      <c r="T723" s="445" t="e">
        <f>+ROUND(E723*S723,10)</f>
        <v>#REF!</v>
      </c>
      <c r="V723" s="581" t="e">
        <f>+'17,2,2 Puerta PVC Baterias'!I19</f>
        <v>#REF!</v>
      </c>
      <c r="W723" s="582" t="e">
        <f>ROUND(V723*$D723,10)</f>
        <v>#REF!</v>
      </c>
      <c r="X723" s="581">
        <f>+'17,2,2 Puerta PVC Baterias'!I50</f>
        <v>32924.9</v>
      </c>
      <c r="Y723" s="582">
        <f>ROUND(X723*$D723,10)</f>
        <v>0</v>
      </c>
      <c r="Z723" s="581">
        <f>+'17,2,2 Puerta PVC Baterias'!I30</f>
        <v>742</v>
      </c>
      <c r="AA723" s="582">
        <f>ROUND(Z723*$D723,10)</f>
        <v>0</v>
      </c>
      <c r="AB723" s="581"/>
      <c r="AC723" s="582">
        <f>ROUND(AB723*$D723,10)</f>
        <v>0</v>
      </c>
      <c r="AE723" s="769" t="e">
        <f t="shared" si="545"/>
        <v>#REF!</v>
      </c>
    </row>
    <row r="724" spans="1:31" s="595" customFormat="1" ht="26.25" hidden="1" customHeight="1" thickBot="1" x14ac:dyDescent="0.25">
      <c r="A724" s="611" t="s">
        <v>1834</v>
      </c>
      <c r="B724" s="610" t="s">
        <v>1835</v>
      </c>
      <c r="C724" s="611" t="s">
        <v>130</v>
      </c>
      <c r="D724" s="576">
        <f>+I724+K724+M724+O724+Q724+S724</f>
        <v>0</v>
      </c>
      <c r="E724" s="577" t="e">
        <f t="shared" si="544"/>
        <v>#REF!</v>
      </c>
      <c r="F724" s="577" t="e">
        <f>ROUND(D724*E724,10)</f>
        <v>#REF!</v>
      </c>
      <c r="G724" s="578"/>
      <c r="H724" s="552"/>
      <c r="I724" s="602"/>
      <c r="J724" s="603" t="e">
        <f>+ROUND(E724*I724,10)</f>
        <v>#REF!</v>
      </c>
      <c r="K724" s="537"/>
      <c r="L724" s="445" t="e">
        <f>+ROUND(E724*K724,10)</f>
        <v>#REF!</v>
      </c>
      <c r="M724" s="542"/>
      <c r="N724" s="445" t="e">
        <f>+ROUND(E724*M724,10)</f>
        <v>#REF!</v>
      </c>
      <c r="O724" s="542"/>
      <c r="P724" s="445" t="e">
        <f>+ROUND(E724*O724,10)</f>
        <v>#REF!</v>
      </c>
      <c r="Q724" s="542"/>
      <c r="R724" s="445" t="e">
        <f>+ROUND(E724*Q724,10)</f>
        <v>#REF!</v>
      </c>
      <c r="S724" s="542"/>
      <c r="T724" s="445" t="e">
        <f>+ROUND(E724*S724,10)</f>
        <v>#REF!</v>
      </c>
      <c r="U724" s="552"/>
      <c r="V724" s="581" t="e">
        <f>+'17,2,4 Divisiones baños '!I19</f>
        <v>#REF!</v>
      </c>
      <c r="W724" s="582" t="e">
        <f>ROUND(V724*$D724,10)</f>
        <v>#REF!</v>
      </c>
      <c r="X724" s="581">
        <f>+'17,2,4 Divisiones baños '!I50</f>
        <v>8898.6200000000008</v>
      </c>
      <c r="Y724" s="582">
        <f>ROUND(X724*$D724,10)</f>
        <v>0</v>
      </c>
      <c r="Z724" s="581">
        <f>+'17,2,4 Divisiones baños '!I30</f>
        <v>359.34000000000003</v>
      </c>
      <c r="AA724" s="582">
        <f>ROUND(Z724*$D724,10)</f>
        <v>0</v>
      </c>
      <c r="AB724" s="581"/>
      <c r="AC724" s="582">
        <f>ROUND(AB724*$D724,10)</f>
        <v>0</v>
      </c>
      <c r="AD724" s="912"/>
      <c r="AE724" s="769" t="e">
        <f t="shared" si="545"/>
        <v>#REF!</v>
      </c>
    </row>
    <row r="725" spans="1:31" s="595" customFormat="1" ht="15" hidden="1" customHeight="1" x14ac:dyDescent="0.2">
      <c r="A725" s="611"/>
      <c r="B725" s="610"/>
      <c r="C725" s="611"/>
      <c r="D725" s="576"/>
      <c r="E725" s="577"/>
      <c r="F725" s="577"/>
      <c r="G725" s="578"/>
      <c r="H725" s="552"/>
      <c r="I725" s="604"/>
      <c r="J725" s="635"/>
      <c r="K725" s="537"/>
      <c r="L725" s="445"/>
      <c r="M725" s="542"/>
      <c r="N725" s="445"/>
      <c r="O725" s="542"/>
      <c r="P725" s="445"/>
      <c r="Q725" s="542"/>
      <c r="R725" s="445"/>
      <c r="S725" s="542"/>
      <c r="T725" s="445"/>
      <c r="U725" s="552"/>
      <c r="V725" s="581"/>
      <c r="W725" s="582"/>
      <c r="X725" s="581"/>
      <c r="Y725" s="582"/>
      <c r="Z725" s="581"/>
      <c r="AA725" s="582"/>
      <c r="AB725" s="581"/>
      <c r="AC725" s="582"/>
      <c r="AD725" s="912"/>
      <c r="AE725" s="769">
        <f t="shared" si="545"/>
        <v>0</v>
      </c>
    </row>
    <row r="726" spans="1:31" s="595" customFormat="1" ht="6.75" customHeight="1" thickBot="1" x14ac:dyDescent="0.25">
      <c r="A726" s="919"/>
      <c r="B726" s="920"/>
      <c r="C726" s="919"/>
      <c r="D726" s="655"/>
      <c r="E726" s="656"/>
      <c r="F726" s="656"/>
      <c r="G726" s="656"/>
      <c r="H726" s="657"/>
      <c r="I726" s="658"/>
      <c r="J726" s="658"/>
      <c r="K726" s="659"/>
      <c r="L726" s="658"/>
      <c r="M726" s="174"/>
      <c r="N726" s="658"/>
      <c r="O726" s="174"/>
      <c r="P726" s="658"/>
      <c r="Q726" s="174"/>
      <c r="R726" s="658"/>
      <c r="S726" s="174"/>
      <c r="T726" s="658"/>
      <c r="U726" s="657"/>
      <c r="V726" s="667"/>
      <c r="W726" s="667"/>
      <c r="X726" s="667"/>
      <c r="Y726" s="667"/>
      <c r="Z726" s="667"/>
      <c r="AA726" s="667"/>
      <c r="AB726" s="667"/>
      <c r="AC726" s="667"/>
      <c r="AD726" s="912"/>
      <c r="AE726" s="769">
        <f t="shared" si="545"/>
        <v>0</v>
      </c>
    </row>
    <row r="727" spans="1:31" s="571" customFormat="1" ht="30" customHeight="1" thickTop="1" thickBot="1" x14ac:dyDescent="0.25">
      <c r="A727" s="564">
        <v>18</v>
      </c>
      <c r="B727" s="1045" t="s">
        <v>1836</v>
      </c>
      <c r="C727" s="1045"/>
      <c r="D727" s="1045"/>
      <c r="E727" s="1045"/>
      <c r="F727" s="1045"/>
      <c r="G727" s="180" t="e">
        <f>+ROUND(F728+F734+F744+F752,10)</f>
        <v>#REF!</v>
      </c>
      <c r="H727" s="568"/>
      <c r="I727" s="616"/>
      <c r="J727" s="439" t="e">
        <f>+ROUND(J728+J734+J744+J752,10)</f>
        <v>#REF!</v>
      </c>
      <c r="K727" s="617"/>
      <c r="L727" s="180" t="e">
        <f>+ROUND(L728+L734+L744+L752,10)</f>
        <v>#REF!</v>
      </c>
      <c r="M727" s="180"/>
      <c r="N727" s="180" t="e">
        <f>+ROUND(N728+N734+N744+N752,10)</f>
        <v>#REF!</v>
      </c>
      <c r="O727" s="180"/>
      <c r="P727" s="180" t="e">
        <f>+ROUND(P728+P734+P744+P752,10)</f>
        <v>#REF!</v>
      </c>
      <c r="Q727" s="180"/>
      <c r="R727" s="180" t="e">
        <f>+ROUND(R728+R734+R744+R752,10)</f>
        <v>#REF!</v>
      </c>
      <c r="S727" s="180"/>
      <c r="T727" s="180" t="e">
        <f>+ROUND(T728+T734+T744+T752,10)</f>
        <v>#REF!</v>
      </c>
      <c r="U727" s="568"/>
      <c r="V727" s="569" t="e">
        <f>W727/$G$727</f>
        <v>#REF!</v>
      </c>
      <c r="W727" s="570" t="e">
        <f>ROUND(W728+W734+W744+W752,10)</f>
        <v>#REF!</v>
      </c>
      <c r="X727" s="569" t="e">
        <f>Y727/$G$727</f>
        <v>#REF!</v>
      </c>
      <c r="Y727" s="570" t="e">
        <f>ROUND(Y728+Y734+Y744+Y752,10)</f>
        <v>#REF!</v>
      </c>
      <c r="Z727" s="569" t="e">
        <f>AA727/$G$727</f>
        <v>#REF!</v>
      </c>
      <c r="AA727" s="570" t="e">
        <f>ROUND(AA728+AA734+AA744+AA752,10)</f>
        <v>#REF!</v>
      </c>
      <c r="AB727" s="569" t="e">
        <f>AC727/$G$727</f>
        <v>#REF!</v>
      </c>
      <c r="AC727" s="570">
        <f>ROUND(AC728+AC734+AC744+AC752,10)</f>
        <v>0</v>
      </c>
      <c r="AE727" s="769" t="e">
        <f t="shared" si="545"/>
        <v>#REF!</v>
      </c>
    </row>
    <row r="728" spans="1:31" s="571" customFormat="1" ht="18" customHeight="1" thickTop="1" x14ac:dyDescent="0.2">
      <c r="A728" s="572" t="s">
        <v>1837</v>
      </c>
      <c r="B728" s="573" t="s">
        <v>1838</v>
      </c>
      <c r="C728" s="846"/>
      <c r="D728" s="576"/>
      <c r="E728" s="180"/>
      <c r="F728" s="180" t="e">
        <f>+ROUND(SUM(F729:F733),10)</f>
        <v>#REF!</v>
      </c>
      <c r="G728" s="473"/>
      <c r="H728" s="568"/>
      <c r="I728" s="618"/>
      <c r="J728" s="439" t="e">
        <f>ROUND(SUM(J729:J733),10)</f>
        <v>#REF!</v>
      </c>
      <c r="K728" s="619"/>
      <c r="L728" s="180" t="e">
        <f>ROUND(SUM(L729:L733),10)</f>
        <v>#REF!</v>
      </c>
      <c r="M728" s="473"/>
      <c r="N728" s="180" t="e">
        <f>ROUND(SUM(N729:N733),10)</f>
        <v>#REF!</v>
      </c>
      <c r="O728" s="473"/>
      <c r="P728" s="180" t="e">
        <f>ROUND(SUM(P729:P733),10)</f>
        <v>#REF!</v>
      </c>
      <c r="Q728" s="473"/>
      <c r="R728" s="180" t="e">
        <f>ROUND(SUM(R729:R733),10)</f>
        <v>#REF!</v>
      </c>
      <c r="S728" s="473"/>
      <c r="T728" s="180" t="e">
        <f>ROUND(SUM(T729:T733),10)</f>
        <v>#REF!</v>
      </c>
      <c r="U728" s="568"/>
      <c r="V728" s="575"/>
      <c r="W728" s="570" t="e">
        <f>ROUND(SUM(W729:W733),10)</f>
        <v>#REF!</v>
      </c>
      <c r="X728" s="575"/>
      <c r="Y728" s="570" t="e">
        <f>ROUND(SUM(Y729:Y733),10)</f>
        <v>#REF!</v>
      </c>
      <c r="Z728" s="575"/>
      <c r="AA728" s="570" t="e">
        <f>ROUND(SUM(AA729:AA733),10)</f>
        <v>#REF!</v>
      </c>
      <c r="AB728" s="575"/>
      <c r="AC728" s="570">
        <f>ROUND(SUM(AC729:AC733),10)</f>
        <v>0</v>
      </c>
      <c r="AE728" s="769" t="e">
        <f t="shared" si="545"/>
        <v>#REF!</v>
      </c>
    </row>
    <row r="729" spans="1:31" ht="29.25" customHeight="1" x14ac:dyDescent="0.2">
      <c r="A729" s="611" t="s">
        <v>1839</v>
      </c>
      <c r="B729" s="601" t="s">
        <v>1840</v>
      </c>
      <c r="C729" s="611" t="s">
        <v>130</v>
      </c>
      <c r="D729" s="576">
        <f>+I729+K729+M729+O729+Q729+S729</f>
        <v>671.5</v>
      </c>
      <c r="E729" s="577" t="e">
        <f t="shared" ref="E729:E754" si="546">V729+X729+Z729+AB729</f>
        <v>#REF!</v>
      </c>
      <c r="F729" s="577" t="e">
        <f>ROUND(D729*E729,10)</f>
        <v>#REF!</v>
      </c>
      <c r="G729" s="578"/>
      <c r="I729" s="594"/>
      <c r="J729" s="580" t="e">
        <f>+ROUND(E729*I729,10)</f>
        <v>#REF!</v>
      </c>
      <c r="K729" s="537">
        <f>116.51+28.08+57.8+73.35+22.46+38.24+42.04+9.44</f>
        <v>387.92</v>
      </c>
      <c r="L729" s="445" t="e">
        <f>+ROUND(E729*K729,10)</f>
        <v>#REF!</v>
      </c>
      <c r="M729" s="542">
        <f>10.51+28.17+1.3</f>
        <v>39.979999999999997</v>
      </c>
      <c r="N729" s="445" t="e">
        <f>+ROUND(E729*M729,10)</f>
        <v>#REF!</v>
      </c>
      <c r="O729" s="537">
        <f>4.72+10.51</f>
        <v>15.23</v>
      </c>
      <c r="P729" s="445" t="e">
        <f>+ROUND(E729*O729,10)</f>
        <v>#REF!</v>
      </c>
      <c r="Q729" s="537">
        <v>121.98</v>
      </c>
      <c r="R729" s="445" t="e">
        <f>+ROUND(E729*Q729,10)</f>
        <v>#REF!</v>
      </c>
      <c r="S729" s="537">
        <f>61.72+44.67</f>
        <v>106.39</v>
      </c>
      <c r="T729" s="445" t="e">
        <f>+ROUND(E729*S729,10)</f>
        <v>#REF!</v>
      </c>
      <c r="V729" s="581" t="e">
        <f>+#REF!</f>
        <v>#REF!</v>
      </c>
      <c r="W729" s="582" t="e">
        <f>ROUND(V729*$D729,10)</f>
        <v>#REF!</v>
      </c>
      <c r="X729" s="581" t="e">
        <f>+#REF!</f>
        <v>#REF!</v>
      </c>
      <c r="Y729" s="582" t="e">
        <f>ROUND(X729*$D729,10)</f>
        <v>#REF!</v>
      </c>
      <c r="Z729" s="581" t="e">
        <f>+#REF!</f>
        <v>#REF!</v>
      </c>
      <c r="AA729" s="582" t="e">
        <f>ROUND(Z729*$D729,10)</f>
        <v>#REF!</v>
      </c>
      <c r="AB729" s="581"/>
      <c r="AC729" s="582">
        <f>ROUND(AB729*$D729,10)</f>
        <v>0</v>
      </c>
      <c r="AE729" s="769" t="e">
        <f t="shared" si="545"/>
        <v>#REF!</v>
      </c>
    </row>
    <row r="730" spans="1:31" ht="15" hidden="1" customHeight="1" x14ac:dyDescent="0.2">
      <c r="A730" s="611" t="s">
        <v>1841</v>
      </c>
      <c r="B730" s="601" t="s">
        <v>1842</v>
      </c>
      <c r="C730" s="611" t="s">
        <v>130</v>
      </c>
      <c r="D730" s="576">
        <f>+I730+K730+M730+O730+Q730+S730</f>
        <v>0</v>
      </c>
      <c r="E730" s="577" t="e">
        <f t="shared" si="546"/>
        <v>#REF!</v>
      </c>
      <c r="F730" s="577" t="e">
        <f>ROUND(D730*E730,10)</f>
        <v>#REF!</v>
      </c>
      <c r="G730" s="578"/>
      <c r="I730" s="584"/>
      <c r="J730" s="585" t="e">
        <f>+ROUND(E730*I730,10)</f>
        <v>#REF!</v>
      </c>
      <c r="K730" s="537"/>
      <c r="L730" s="445" t="e">
        <f>+ROUND(E730*K730,10)</f>
        <v>#REF!</v>
      </c>
      <c r="M730" s="542"/>
      <c r="N730" s="445" t="e">
        <f>+ROUND(E730*M730,10)</f>
        <v>#REF!</v>
      </c>
      <c r="O730" s="542"/>
      <c r="P730" s="445" t="e">
        <f>+ROUND(E730*O730,10)</f>
        <v>#REF!</v>
      </c>
      <c r="Q730" s="542"/>
      <c r="R730" s="445" t="e">
        <f>+ROUND(E730*Q730,10)</f>
        <v>#REF!</v>
      </c>
      <c r="S730" s="542"/>
      <c r="T730" s="445" t="e">
        <f>+ROUND(E730*S730,10)</f>
        <v>#REF!</v>
      </c>
      <c r="V730" s="581" t="e">
        <f>+'18,1,2 pintura plastica'!I19</f>
        <v>#REF!</v>
      </c>
      <c r="W730" s="582" t="e">
        <f>ROUND(V730*$D730,10)</f>
        <v>#REF!</v>
      </c>
      <c r="X730" s="581">
        <f>+'18,1,2 pintura plastica'!I50</f>
        <v>5048.49</v>
      </c>
      <c r="Y730" s="582">
        <f>ROUND(X730*$D730,10)</f>
        <v>0</v>
      </c>
      <c r="Z730" s="581">
        <f>+'18,1,2 pintura plastica'!I30</f>
        <v>501.88</v>
      </c>
      <c r="AA730" s="582">
        <f>ROUND(Z730*$D730,10)</f>
        <v>0</v>
      </c>
      <c r="AB730" s="581"/>
      <c r="AC730" s="582">
        <f>ROUND(AB730*$D730,10)</f>
        <v>0</v>
      </c>
      <c r="AE730" s="769" t="e">
        <f t="shared" si="545"/>
        <v>#REF!</v>
      </c>
    </row>
    <row r="731" spans="1:31" ht="25.5" x14ac:dyDescent="0.2">
      <c r="A731" s="611" t="s">
        <v>1843</v>
      </c>
      <c r="B731" s="649" t="s">
        <v>1844</v>
      </c>
      <c r="C731" s="611" t="s">
        <v>130</v>
      </c>
      <c r="D731" s="576">
        <f>+I731+K731+M731+O731+Q731+S731</f>
        <v>1268.42</v>
      </c>
      <c r="E731" s="577" t="e">
        <f t="shared" si="546"/>
        <v>#REF!</v>
      </c>
      <c r="F731" s="577" t="e">
        <f>ROUND(D731*E731,10)</f>
        <v>#REF!</v>
      </c>
      <c r="G731" s="578"/>
      <c r="I731" s="584"/>
      <c r="J731" s="585" t="e">
        <f>+ROUND(E731*I731,10)</f>
        <v>#REF!</v>
      </c>
      <c r="K731" s="537">
        <f>309.27+24.34+57.8+214.97+19.47+38.24+18.88+42.04+283.61</f>
        <v>1008.62</v>
      </c>
      <c r="L731" s="445" t="e">
        <f>+ROUND(E731*K731,10)</f>
        <v>#REF!</v>
      </c>
      <c r="M731" s="542">
        <f>9.44+10.51+73.96</f>
        <v>93.91</v>
      </c>
      <c r="N731" s="445" t="e">
        <f>+ROUND(E731*M731,10)</f>
        <v>#REF!</v>
      </c>
      <c r="O731" s="537">
        <f>9.44+7.11+30.96</f>
        <v>47.510000000000005</v>
      </c>
      <c r="P731" s="445" t="e">
        <f>+ROUND(E731*O731,10)</f>
        <v>#REF!</v>
      </c>
      <c r="Q731" s="537">
        <v>118.38</v>
      </c>
      <c r="R731" s="445" t="e">
        <f>+ROUND(E731*Q731,10)</f>
        <v>#REF!</v>
      </c>
      <c r="S731" s="537"/>
      <c r="T731" s="445" t="e">
        <f>+ROUND(E731*S731,10)</f>
        <v>#REF!</v>
      </c>
      <c r="V731" s="581" t="e">
        <f>+#REF!</f>
        <v>#REF!</v>
      </c>
      <c r="W731" s="582" t="e">
        <f>ROUND(V731*$D731,10)</f>
        <v>#REF!</v>
      </c>
      <c r="X731" s="581" t="e">
        <f>+#REF!</f>
        <v>#REF!</v>
      </c>
      <c r="Y731" s="582" t="e">
        <f>ROUND(X731*$D731,10)</f>
        <v>#REF!</v>
      </c>
      <c r="Z731" s="581" t="e">
        <f>+#REF!</f>
        <v>#REF!</v>
      </c>
      <c r="AA731" s="582" t="e">
        <f>ROUND(Z731*$D731,10)</f>
        <v>#REF!</v>
      </c>
      <c r="AB731" s="581"/>
      <c r="AC731" s="582">
        <f>ROUND(AB731*$D731,10)</f>
        <v>0</v>
      </c>
      <c r="AE731" s="769" t="e">
        <f t="shared" si="545"/>
        <v>#REF!</v>
      </c>
    </row>
    <row r="732" spans="1:31" ht="25.5" hidden="1" customHeight="1" x14ac:dyDescent="0.2">
      <c r="A732" s="611" t="s">
        <v>1845</v>
      </c>
      <c r="B732" s="601" t="s">
        <v>1846</v>
      </c>
      <c r="C732" s="611" t="s">
        <v>130</v>
      </c>
      <c r="D732" s="576">
        <f>+I732+K732+M732+O732+Q732+S732</f>
        <v>0</v>
      </c>
      <c r="E732" s="577" t="e">
        <f t="shared" si="546"/>
        <v>#REF!</v>
      </c>
      <c r="F732" s="577" t="e">
        <f>ROUND(D732*E732,10)</f>
        <v>#REF!</v>
      </c>
      <c r="G732" s="578"/>
      <c r="I732" s="584"/>
      <c r="J732" s="585" t="e">
        <f>+ROUND(E732*I732,10)</f>
        <v>#REF!</v>
      </c>
      <c r="K732" s="537"/>
      <c r="L732" s="445" t="e">
        <f>+ROUND(E732*K732,10)</f>
        <v>#REF!</v>
      </c>
      <c r="M732" s="542"/>
      <c r="N732" s="445" t="e">
        <f>+ROUND(E732*M732,10)</f>
        <v>#REF!</v>
      </c>
      <c r="O732" s="542"/>
      <c r="P732" s="445" t="e">
        <f>+ROUND(E732*O732,10)</f>
        <v>#REF!</v>
      </c>
      <c r="Q732" s="542"/>
      <c r="R732" s="445" t="e">
        <f>+ROUND(E732*Q732,10)</f>
        <v>#REF!</v>
      </c>
      <c r="S732" s="542"/>
      <c r="T732" s="445" t="e">
        <f>+ROUND(E732*S732,10)</f>
        <v>#REF!</v>
      </c>
      <c r="V732" s="581" t="e">
        <f>+'18,1,4 Vinilo sin estuco '!I19</f>
        <v>#REF!</v>
      </c>
      <c r="W732" s="582" t="e">
        <f>ROUND(V732*$D732,10)</f>
        <v>#REF!</v>
      </c>
      <c r="X732" s="581">
        <f>+'18,1,4 Vinilo sin estuco '!I50</f>
        <v>5048.49</v>
      </c>
      <c r="Y732" s="582">
        <f>ROUND(X732*$D732,10)</f>
        <v>0</v>
      </c>
      <c r="Z732" s="581">
        <f>+'18,1,4 Vinilo sin estuco '!I30</f>
        <v>485.52</v>
      </c>
      <c r="AA732" s="582">
        <f>ROUND(Z732*$D732,10)</f>
        <v>0</v>
      </c>
      <c r="AB732" s="581"/>
      <c r="AC732" s="582">
        <f>ROUND(AB732*$D732,10)</f>
        <v>0</v>
      </c>
      <c r="AE732" s="769" t="e">
        <f t="shared" si="545"/>
        <v>#REF!</v>
      </c>
    </row>
    <row r="733" spans="1:31" ht="15.75" hidden="1" customHeight="1" x14ac:dyDescent="0.2">
      <c r="A733" s="611" t="s">
        <v>1847</v>
      </c>
      <c r="B733" s="601" t="s">
        <v>1848</v>
      </c>
      <c r="C733" s="611" t="s">
        <v>130</v>
      </c>
      <c r="D733" s="576">
        <f>+I733+K733+M733+O733+Q733+S733</f>
        <v>0</v>
      </c>
      <c r="E733" s="577" t="e">
        <f t="shared" si="546"/>
        <v>#REF!</v>
      </c>
      <c r="F733" s="577" t="e">
        <f>ROUND(D733*E733,10)</f>
        <v>#REF!</v>
      </c>
      <c r="G733" s="578"/>
      <c r="I733" s="597"/>
      <c r="J733" s="598" t="e">
        <f>+ROUND(E733*I733,10)</f>
        <v>#REF!</v>
      </c>
      <c r="K733" s="537"/>
      <c r="L733" s="445" t="e">
        <f>+ROUND(E733*K733,10)</f>
        <v>#REF!</v>
      </c>
      <c r="M733" s="542"/>
      <c r="N733" s="445" t="e">
        <f>+ROUND(E733*M733,10)</f>
        <v>#REF!</v>
      </c>
      <c r="O733" s="542"/>
      <c r="P733" s="445" t="e">
        <f>+ROUND(E733*O733,10)</f>
        <v>#REF!</v>
      </c>
      <c r="Q733" s="542"/>
      <c r="R733" s="445" t="e">
        <f>+ROUND(E733*Q733,10)</f>
        <v>#REF!</v>
      </c>
      <c r="S733" s="542"/>
      <c r="T733" s="445" t="e">
        <f>+ROUND(E733*S733,10)</f>
        <v>#REF!</v>
      </c>
      <c r="V733" s="581" t="e">
        <f>+'18,1,5 Vinilo Cielos '!I19</f>
        <v>#REF!</v>
      </c>
      <c r="W733" s="582" t="e">
        <f>ROUND(V733*$D733,10)</f>
        <v>#REF!</v>
      </c>
      <c r="X733" s="581">
        <f>+'18,1,5 Vinilo Cielos '!I50</f>
        <v>5048.49</v>
      </c>
      <c r="Y733" s="582">
        <f>ROUND(X733*$D733,10)</f>
        <v>0</v>
      </c>
      <c r="Z733" s="581">
        <f>+'18,1,5 Vinilo Cielos '!I30</f>
        <v>816.82</v>
      </c>
      <c r="AA733" s="582">
        <f>ROUND(Z733*$D733,10)</f>
        <v>0</v>
      </c>
      <c r="AB733" s="581"/>
      <c r="AC733" s="582">
        <f>ROUND(AB733*$D733,10)</f>
        <v>0</v>
      </c>
      <c r="AE733" s="769" t="e">
        <f t="shared" si="545"/>
        <v>#REF!</v>
      </c>
    </row>
    <row r="734" spans="1:31" ht="15" hidden="1" customHeight="1" x14ac:dyDescent="0.2">
      <c r="A734" s="572" t="s">
        <v>1849</v>
      </c>
      <c r="B734" s="573" t="s">
        <v>1850</v>
      </c>
      <c r="C734" s="846"/>
      <c r="D734" s="576"/>
      <c r="E734" s="577"/>
      <c r="F734" s="626">
        <f>+ROUND(SUM(F735:F743),10)</f>
        <v>0</v>
      </c>
      <c r="G734" s="473"/>
      <c r="H734" s="568"/>
      <c r="I734" s="613"/>
      <c r="J734" s="440">
        <f>ROUND(SUM(J735:J743),10)</f>
        <v>0</v>
      </c>
      <c r="K734" s="537"/>
      <c r="L734" s="180">
        <f>ROUND(SUM(L735:L743),10)</f>
        <v>0</v>
      </c>
      <c r="M734" s="542"/>
      <c r="N734" s="180">
        <f>ROUND(SUM(N735:N743),10)</f>
        <v>0</v>
      </c>
      <c r="O734" s="542"/>
      <c r="P734" s="180">
        <f>ROUND(SUM(P735:P743),10)</f>
        <v>0</v>
      </c>
      <c r="Q734" s="542"/>
      <c r="R734" s="180">
        <f>ROUND(SUM(R735:R743),10)</f>
        <v>0</v>
      </c>
      <c r="S734" s="542"/>
      <c r="T734" s="180">
        <f>ROUND(SUM(T735:T743),10)</f>
        <v>0</v>
      </c>
      <c r="U734" s="568"/>
      <c r="V734" s="575"/>
      <c r="W734" s="570">
        <f>ROUND(SUM(W735:W743),10)</f>
        <v>0</v>
      </c>
      <c r="X734" s="575"/>
      <c r="Y734" s="570">
        <f>ROUND(SUM(Y735:Y743),10)</f>
        <v>0</v>
      </c>
      <c r="Z734" s="575"/>
      <c r="AA734" s="570">
        <f>ROUND(SUM(AA735:AA743),10)</f>
        <v>0</v>
      </c>
      <c r="AB734" s="575"/>
      <c r="AC734" s="570">
        <f>ROUND(SUM(AC735:AC743),10)</f>
        <v>0</v>
      </c>
      <c r="AE734" s="769">
        <f t="shared" si="545"/>
        <v>0</v>
      </c>
    </row>
    <row r="735" spans="1:31" ht="15" hidden="1" customHeight="1" x14ac:dyDescent="0.2">
      <c r="A735" s="611" t="s">
        <v>1851</v>
      </c>
      <c r="B735" s="601" t="s">
        <v>1852</v>
      </c>
      <c r="C735" s="611" t="s">
        <v>114</v>
      </c>
      <c r="D735" s="576">
        <f t="shared" ref="D735:D743" si="547">+I735+K735+M735+O735+Q735+S735</f>
        <v>0</v>
      </c>
      <c r="E735" s="577">
        <f t="shared" si="546"/>
        <v>0</v>
      </c>
      <c r="F735" s="577">
        <f t="shared" ref="F735:F743" si="548">ROUND(D735*E735,10)</f>
        <v>0</v>
      </c>
      <c r="G735" s="578"/>
      <c r="I735" s="594"/>
      <c r="J735" s="580">
        <f t="shared" ref="J735:J743" si="549">+ROUND(E735*I735,10)</f>
        <v>0</v>
      </c>
      <c r="K735" s="537"/>
      <c r="L735" s="445">
        <f t="shared" ref="L735:L743" si="550">+ROUND(E735*K735,10)</f>
        <v>0</v>
      </c>
      <c r="M735" s="542"/>
      <c r="N735" s="445">
        <f t="shared" ref="N735:N743" si="551">+ROUND(E735*M735,10)</f>
        <v>0</v>
      </c>
      <c r="O735" s="542"/>
      <c r="P735" s="445">
        <f t="shared" ref="P735:P743" si="552">+ROUND(E735*O735,10)</f>
        <v>0</v>
      </c>
      <c r="Q735" s="542"/>
      <c r="R735" s="445">
        <f t="shared" ref="R735:R743" si="553">+ROUND(E735*Q735,10)</f>
        <v>0</v>
      </c>
      <c r="S735" s="542"/>
      <c r="T735" s="445">
        <f t="shared" ref="T735:T743" si="554">+ROUND(E735*S735,10)</f>
        <v>0</v>
      </c>
      <c r="V735" s="581"/>
      <c r="W735" s="582">
        <f t="shared" ref="W735:W743" si="555">ROUND(V735*$D735,10)</f>
        <v>0</v>
      </c>
      <c r="X735" s="581"/>
      <c r="Y735" s="582">
        <f t="shared" ref="Y735:Y743" si="556">ROUND(X735*$D735,10)</f>
        <v>0</v>
      </c>
      <c r="Z735" s="581"/>
      <c r="AA735" s="582">
        <f t="shared" ref="AA735:AA743" si="557">ROUND(Z735*$D735,10)</f>
        <v>0</v>
      </c>
      <c r="AB735" s="581"/>
      <c r="AC735" s="582">
        <f t="shared" ref="AC735:AC743" si="558">ROUND(AB735*$D735,10)</f>
        <v>0</v>
      </c>
      <c r="AE735" s="769">
        <f t="shared" si="545"/>
        <v>0</v>
      </c>
    </row>
    <row r="736" spans="1:31" ht="15" hidden="1" customHeight="1" x14ac:dyDescent="0.2">
      <c r="A736" s="611" t="s">
        <v>1853</v>
      </c>
      <c r="B736" s="601" t="s">
        <v>1854</v>
      </c>
      <c r="C736" s="611" t="s">
        <v>130</v>
      </c>
      <c r="D736" s="576">
        <f t="shared" si="547"/>
        <v>0</v>
      </c>
      <c r="E736" s="577">
        <f t="shared" si="546"/>
        <v>0</v>
      </c>
      <c r="F736" s="577">
        <f t="shared" si="548"/>
        <v>0</v>
      </c>
      <c r="G736" s="578"/>
      <c r="I736" s="584"/>
      <c r="J736" s="585">
        <f t="shared" si="549"/>
        <v>0</v>
      </c>
      <c r="K736" s="537"/>
      <c r="L736" s="445">
        <f t="shared" si="550"/>
        <v>0</v>
      </c>
      <c r="M736" s="542"/>
      <c r="N736" s="445">
        <f t="shared" si="551"/>
        <v>0</v>
      </c>
      <c r="O736" s="542"/>
      <c r="P736" s="445">
        <f t="shared" si="552"/>
        <v>0</v>
      </c>
      <c r="Q736" s="542"/>
      <c r="R736" s="445">
        <f t="shared" si="553"/>
        <v>0</v>
      </c>
      <c r="S736" s="542"/>
      <c r="T736" s="445">
        <f t="shared" si="554"/>
        <v>0</v>
      </c>
      <c r="V736" s="581"/>
      <c r="W736" s="582">
        <f t="shared" si="555"/>
        <v>0</v>
      </c>
      <c r="X736" s="581"/>
      <c r="Y736" s="582">
        <f t="shared" si="556"/>
        <v>0</v>
      </c>
      <c r="Z736" s="581"/>
      <c r="AA736" s="582">
        <f t="shared" si="557"/>
        <v>0</v>
      </c>
      <c r="AB736" s="581"/>
      <c r="AC736" s="582">
        <f t="shared" si="558"/>
        <v>0</v>
      </c>
      <c r="AE736" s="769">
        <f t="shared" si="545"/>
        <v>0</v>
      </c>
    </row>
    <row r="737" spans="1:31" ht="15" hidden="1" customHeight="1" x14ac:dyDescent="0.2">
      <c r="A737" s="611" t="s">
        <v>1855</v>
      </c>
      <c r="B737" s="601" t="s">
        <v>1856</v>
      </c>
      <c r="C737" s="611" t="s">
        <v>130</v>
      </c>
      <c r="D737" s="576">
        <f t="shared" si="547"/>
        <v>0</v>
      </c>
      <c r="E737" s="577">
        <f t="shared" si="546"/>
        <v>0</v>
      </c>
      <c r="F737" s="577">
        <f t="shared" si="548"/>
        <v>0</v>
      </c>
      <c r="G737" s="578"/>
      <c r="I737" s="584"/>
      <c r="J737" s="585">
        <f t="shared" si="549"/>
        <v>0</v>
      </c>
      <c r="K737" s="537"/>
      <c r="L737" s="445">
        <f t="shared" si="550"/>
        <v>0</v>
      </c>
      <c r="M737" s="542"/>
      <c r="N737" s="445">
        <f t="shared" si="551"/>
        <v>0</v>
      </c>
      <c r="O737" s="542"/>
      <c r="P737" s="445">
        <f t="shared" si="552"/>
        <v>0</v>
      </c>
      <c r="Q737" s="542"/>
      <c r="R737" s="445">
        <f t="shared" si="553"/>
        <v>0</v>
      </c>
      <c r="S737" s="542"/>
      <c r="T737" s="445">
        <f t="shared" si="554"/>
        <v>0</v>
      </c>
      <c r="V737" s="581"/>
      <c r="W737" s="582">
        <f t="shared" si="555"/>
        <v>0</v>
      </c>
      <c r="X737" s="581"/>
      <c r="Y737" s="582">
        <f t="shared" si="556"/>
        <v>0</v>
      </c>
      <c r="Z737" s="581"/>
      <c r="AA737" s="582">
        <f t="shared" si="557"/>
        <v>0</v>
      </c>
      <c r="AB737" s="581"/>
      <c r="AC737" s="582">
        <f t="shared" si="558"/>
        <v>0</v>
      </c>
      <c r="AE737" s="769">
        <f t="shared" si="545"/>
        <v>0</v>
      </c>
    </row>
    <row r="738" spans="1:31" ht="15" hidden="1" customHeight="1" x14ac:dyDescent="0.2">
      <c r="A738" s="611" t="s">
        <v>1857</v>
      </c>
      <c r="B738" s="601" t="s">
        <v>1858</v>
      </c>
      <c r="C738" s="611" t="s">
        <v>130</v>
      </c>
      <c r="D738" s="576">
        <f t="shared" si="547"/>
        <v>0</v>
      </c>
      <c r="E738" s="577">
        <f t="shared" si="546"/>
        <v>0</v>
      </c>
      <c r="F738" s="577">
        <f t="shared" si="548"/>
        <v>0</v>
      </c>
      <c r="G738" s="578"/>
      <c r="I738" s="584"/>
      <c r="J738" s="585">
        <f t="shared" si="549"/>
        <v>0</v>
      </c>
      <c r="K738" s="537"/>
      <c r="L738" s="445">
        <f t="shared" si="550"/>
        <v>0</v>
      </c>
      <c r="M738" s="542"/>
      <c r="N738" s="445">
        <f t="shared" si="551"/>
        <v>0</v>
      </c>
      <c r="O738" s="542"/>
      <c r="P738" s="445">
        <f t="shared" si="552"/>
        <v>0</v>
      </c>
      <c r="Q738" s="542"/>
      <c r="R738" s="445">
        <f t="shared" si="553"/>
        <v>0</v>
      </c>
      <c r="S738" s="542"/>
      <c r="T738" s="445">
        <f t="shared" si="554"/>
        <v>0</v>
      </c>
      <c r="V738" s="581"/>
      <c r="W738" s="582">
        <f t="shared" si="555"/>
        <v>0</v>
      </c>
      <c r="X738" s="581"/>
      <c r="Y738" s="582">
        <f t="shared" si="556"/>
        <v>0</v>
      </c>
      <c r="Z738" s="581"/>
      <c r="AA738" s="582">
        <f t="shared" si="557"/>
        <v>0</v>
      </c>
      <c r="AB738" s="581"/>
      <c r="AC738" s="582">
        <f t="shared" si="558"/>
        <v>0</v>
      </c>
      <c r="AE738" s="769">
        <f t="shared" si="545"/>
        <v>0</v>
      </c>
    </row>
    <row r="739" spans="1:31" ht="15" hidden="1" customHeight="1" x14ac:dyDescent="0.2">
      <c r="A739" s="611" t="s">
        <v>1859</v>
      </c>
      <c r="B739" s="601" t="s">
        <v>1860</v>
      </c>
      <c r="C739" s="611" t="s">
        <v>114</v>
      </c>
      <c r="D739" s="576">
        <f t="shared" si="547"/>
        <v>0</v>
      </c>
      <c r="E739" s="577">
        <f t="shared" si="546"/>
        <v>0</v>
      </c>
      <c r="F739" s="577">
        <f t="shared" si="548"/>
        <v>0</v>
      </c>
      <c r="G739" s="578"/>
      <c r="I739" s="584"/>
      <c r="J739" s="585">
        <f t="shared" si="549"/>
        <v>0</v>
      </c>
      <c r="K739" s="537"/>
      <c r="L739" s="445">
        <f t="shared" si="550"/>
        <v>0</v>
      </c>
      <c r="M739" s="542"/>
      <c r="N739" s="445">
        <f t="shared" si="551"/>
        <v>0</v>
      </c>
      <c r="O739" s="542"/>
      <c r="P739" s="445">
        <f t="shared" si="552"/>
        <v>0</v>
      </c>
      <c r="Q739" s="542"/>
      <c r="R739" s="445">
        <f t="shared" si="553"/>
        <v>0</v>
      </c>
      <c r="S739" s="542"/>
      <c r="T739" s="445">
        <f t="shared" si="554"/>
        <v>0</v>
      </c>
      <c r="V739" s="581"/>
      <c r="W739" s="582">
        <f t="shared" si="555"/>
        <v>0</v>
      </c>
      <c r="X739" s="581"/>
      <c r="Y739" s="582">
        <f t="shared" si="556"/>
        <v>0</v>
      </c>
      <c r="Z739" s="581"/>
      <c r="AA739" s="582">
        <f t="shared" si="557"/>
        <v>0</v>
      </c>
      <c r="AB739" s="581"/>
      <c r="AC739" s="582">
        <f t="shared" si="558"/>
        <v>0</v>
      </c>
      <c r="AE739" s="769">
        <f t="shared" si="545"/>
        <v>0</v>
      </c>
    </row>
    <row r="740" spans="1:31" ht="15" hidden="1" customHeight="1" x14ac:dyDescent="0.2">
      <c r="A740" s="611" t="s">
        <v>1861</v>
      </c>
      <c r="B740" s="601" t="s">
        <v>1862</v>
      </c>
      <c r="C740" s="611" t="s">
        <v>114</v>
      </c>
      <c r="D740" s="576">
        <f t="shared" si="547"/>
        <v>0</v>
      </c>
      <c r="E740" s="577">
        <f t="shared" si="546"/>
        <v>0</v>
      </c>
      <c r="F740" s="577">
        <f t="shared" si="548"/>
        <v>0</v>
      </c>
      <c r="G740" s="578"/>
      <c r="I740" s="584"/>
      <c r="J740" s="585">
        <f t="shared" si="549"/>
        <v>0</v>
      </c>
      <c r="K740" s="537"/>
      <c r="L740" s="445">
        <f t="shared" si="550"/>
        <v>0</v>
      </c>
      <c r="M740" s="542"/>
      <c r="N740" s="445">
        <f t="shared" si="551"/>
        <v>0</v>
      </c>
      <c r="O740" s="542"/>
      <c r="P740" s="445">
        <f t="shared" si="552"/>
        <v>0</v>
      </c>
      <c r="Q740" s="542"/>
      <c r="R740" s="445">
        <f t="shared" si="553"/>
        <v>0</v>
      </c>
      <c r="S740" s="542"/>
      <c r="T740" s="445">
        <f t="shared" si="554"/>
        <v>0</v>
      </c>
      <c r="V740" s="581"/>
      <c r="W740" s="582">
        <f t="shared" si="555"/>
        <v>0</v>
      </c>
      <c r="X740" s="581"/>
      <c r="Y740" s="582">
        <f t="shared" si="556"/>
        <v>0</v>
      </c>
      <c r="Z740" s="581"/>
      <c r="AA740" s="582">
        <f t="shared" si="557"/>
        <v>0</v>
      </c>
      <c r="AB740" s="581"/>
      <c r="AC740" s="582">
        <f t="shared" si="558"/>
        <v>0</v>
      </c>
      <c r="AE740" s="769">
        <f t="shared" si="545"/>
        <v>0</v>
      </c>
    </row>
    <row r="741" spans="1:31" ht="15" hidden="1" customHeight="1" x14ac:dyDescent="0.2">
      <c r="A741" s="611" t="s">
        <v>1863</v>
      </c>
      <c r="B741" s="601" t="s">
        <v>1864</v>
      </c>
      <c r="C741" s="611" t="s">
        <v>111</v>
      </c>
      <c r="D741" s="576">
        <f t="shared" si="547"/>
        <v>0</v>
      </c>
      <c r="E741" s="577">
        <f t="shared" si="546"/>
        <v>0</v>
      </c>
      <c r="F741" s="577">
        <f t="shared" si="548"/>
        <v>0</v>
      </c>
      <c r="G741" s="578"/>
      <c r="I741" s="584"/>
      <c r="J741" s="585">
        <f t="shared" si="549"/>
        <v>0</v>
      </c>
      <c r="K741" s="537"/>
      <c r="L741" s="445">
        <f t="shared" si="550"/>
        <v>0</v>
      </c>
      <c r="M741" s="542"/>
      <c r="N741" s="445">
        <f t="shared" si="551"/>
        <v>0</v>
      </c>
      <c r="O741" s="542"/>
      <c r="P741" s="445">
        <f t="shared" si="552"/>
        <v>0</v>
      </c>
      <c r="Q741" s="542"/>
      <c r="R741" s="445">
        <f t="shared" si="553"/>
        <v>0</v>
      </c>
      <c r="S741" s="542"/>
      <c r="T741" s="445">
        <f t="shared" si="554"/>
        <v>0</v>
      </c>
      <c r="V741" s="581"/>
      <c r="W741" s="582">
        <f t="shared" si="555"/>
        <v>0</v>
      </c>
      <c r="X741" s="581"/>
      <c r="Y741" s="582">
        <f t="shared" si="556"/>
        <v>0</v>
      </c>
      <c r="Z741" s="581"/>
      <c r="AA741" s="582">
        <f t="shared" si="557"/>
        <v>0</v>
      </c>
      <c r="AB741" s="581"/>
      <c r="AC741" s="582">
        <f t="shared" si="558"/>
        <v>0</v>
      </c>
      <c r="AE741" s="769">
        <f t="shared" si="545"/>
        <v>0</v>
      </c>
    </row>
    <row r="742" spans="1:31" ht="15" hidden="1" customHeight="1" x14ac:dyDescent="0.2">
      <c r="A742" s="611" t="s">
        <v>1865</v>
      </c>
      <c r="B742" s="601" t="s">
        <v>1866</v>
      </c>
      <c r="C742" s="611" t="s">
        <v>114</v>
      </c>
      <c r="D742" s="576">
        <f t="shared" si="547"/>
        <v>0</v>
      </c>
      <c r="E742" s="577">
        <f t="shared" si="546"/>
        <v>0</v>
      </c>
      <c r="F742" s="577">
        <f t="shared" si="548"/>
        <v>0</v>
      </c>
      <c r="G742" s="578"/>
      <c r="I742" s="584"/>
      <c r="J742" s="585">
        <f t="shared" si="549"/>
        <v>0</v>
      </c>
      <c r="K742" s="537"/>
      <c r="L742" s="445">
        <f t="shared" si="550"/>
        <v>0</v>
      </c>
      <c r="M742" s="542"/>
      <c r="N742" s="445">
        <f t="shared" si="551"/>
        <v>0</v>
      </c>
      <c r="O742" s="542"/>
      <c r="P742" s="445">
        <f t="shared" si="552"/>
        <v>0</v>
      </c>
      <c r="Q742" s="542"/>
      <c r="R742" s="445">
        <f t="shared" si="553"/>
        <v>0</v>
      </c>
      <c r="S742" s="542"/>
      <c r="T742" s="445">
        <f t="shared" si="554"/>
        <v>0</v>
      </c>
      <c r="V742" s="581"/>
      <c r="W742" s="582">
        <f t="shared" si="555"/>
        <v>0</v>
      </c>
      <c r="X742" s="581"/>
      <c r="Y742" s="582">
        <f t="shared" si="556"/>
        <v>0</v>
      </c>
      <c r="Z742" s="581"/>
      <c r="AA742" s="582">
        <f t="shared" si="557"/>
        <v>0</v>
      </c>
      <c r="AB742" s="581"/>
      <c r="AC742" s="582">
        <f t="shared" si="558"/>
        <v>0</v>
      </c>
      <c r="AE742" s="769">
        <f t="shared" si="545"/>
        <v>0</v>
      </c>
    </row>
    <row r="743" spans="1:31" ht="15" hidden="1" customHeight="1" x14ac:dyDescent="0.2">
      <c r="A743" s="611" t="s">
        <v>1867</v>
      </c>
      <c r="B743" s="601" t="s">
        <v>1395</v>
      </c>
      <c r="C743" s="611"/>
      <c r="D743" s="576">
        <f t="shared" si="547"/>
        <v>0</v>
      </c>
      <c r="E743" s="577">
        <f t="shared" si="546"/>
        <v>0</v>
      </c>
      <c r="F743" s="577">
        <f t="shared" si="548"/>
        <v>0</v>
      </c>
      <c r="G743" s="578"/>
      <c r="I743" s="597"/>
      <c r="J743" s="598">
        <f t="shared" si="549"/>
        <v>0</v>
      </c>
      <c r="K743" s="537"/>
      <c r="L743" s="445">
        <f t="shared" si="550"/>
        <v>0</v>
      </c>
      <c r="M743" s="542"/>
      <c r="N743" s="445">
        <f t="shared" si="551"/>
        <v>0</v>
      </c>
      <c r="O743" s="542"/>
      <c r="P743" s="445">
        <f t="shared" si="552"/>
        <v>0</v>
      </c>
      <c r="Q743" s="542"/>
      <c r="R743" s="445">
        <f t="shared" si="553"/>
        <v>0</v>
      </c>
      <c r="S743" s="542"/>
      <c r="T743" s="445">
        <f t="shared" si="554"/>
        <v>0</v>
      </c>
      <c r="V743" s="581"/>
      <c r="W743" s="582">
        <f t="shared" si="555"/>
        <v>0</v>
      </c>
      <c r="X743" s="581"/>
      <c r="Y743" s="582">
        <f t="shared" si="556"/>
        <v>0</v>
      </c>
      <c r="Z743" s="581"/>
      <c r="AA743" s="582">
        <f t="shared" si="557"/>
        <v>0</v>
      </c>
      <c r="AB743" s="581"/>
      <c r="AC743" s="582">
        <f t="shared" si="558"/>
        <v>0</v>
      </c>
      <c r="AE743" s="769">
        <f t="shared" si="545"/>
        <v>0</v>
      </c>
    </row>
    <row r="744" spans="1:31" ht="15" hidden="1" customHeight="1" x14ac:dyDescent="0.2">
      <c r="A744" s="572" t="s">
        <v>1868</v>
      </c>
      <c r="B744" s="573" t="s">
        <v>1869</v>
      </c>
      <c r="C744" s="846"/>
      <c r="D744" s="576"/>
      <c r="E744" s="577"/>
      <c r="F744" s="180">
        <f>+ROUND(SUM(F745:F751),10)</f>
        <v>0</v>
      </c>
      <c r="G744" s="473"/>
      <c r="H744" s="568"/>
      <c r="I744" s="613"/>
      <c r="J744" s="440">
        <f>ROUND(SUM(J745:J751),10)</f>
        <v>0</v>
      </c>
      <c r="K744" s="537"/>
      <c r="L744" s="180">
        <f>ROUND(SUM(L745:L751),10)</f>
        <v>0</v>
      </c>
      <c r="M744" s="542"/>
      <c r="N744" s="180">
        <f>ROUND(SUM(N745:N751),10)</f>
        <v>0</v>
      </c>
      <c r="O744" s="542"/>
      <c r="P744" s="180">
        <f>ROUND(SUM(P745:P751),10)</f>
        <v>0</v>
      </c>
      <c r="Q744" s="542"/>
      <c r="R744" s="180">
        <f>ROUND(SUM(R745:R751),10)</f>
        <v>0</v>
      </c>
      <c r="S744" s="542"/>
      <c r="T744" s="180">
        <f>ROUND(SUM(T745:T751),10)</f>
        <v>0</v>
      </c>
      <c r="U744" s="568"/>
      <c r="V744" s="575"/>
      <c r="W744" s="570">
        <f>ROUND(SUM(W745:W751),10)</f>
        <v>0</v>
      </c>
      <c r="X744" s="575"/>
      <c r="Y744" s="570">
        <f>ROUND(SUM(Y745:Y751),10)</f>
        <v>0</v>
      </c>
      <c r="Z744" s="575"/>
      <c r="AA744" s="570">
        <f>ROUND(SUM(AA745:AA751),10)</f>
        <v>0</v>
      </c>
      <c r="AB744" s="575"/>
      <c r="AC744" s="570">
        <f>ROUND(SUM(AC745:AC751),10)</f>
        <v>0</v>
      </c>
      <c r="AE744" s="769">
        <f t="shared" si="545"/>
        <v>0</v>
      </c>
    </row>
    <row r="745" spans="1:31" ht="15" hidden="1" customHeight="1" x14ac:dyDescent="0.2">
      <c r="A745" s="611" t="s">
        <v>1870</v>
      </c>
      <c r="B745" s="601" t="s">
        <v>1854</v>
      </c>
      <c r="C745" s="611" t="s">
        <v>130</v>
      </c>
      <c r="D745" s="576">
        <f t="shared" ref="D745:D751" si="559">+I745+K745+M745+O745+Q745+S745</f>
        <v>0</v>
      </c>
      <c r="E745" s="577">
        <f t="shared" si="546"/>
        <v>0</v>
      </c>
      <c r="F745" s="577">
        <f t="shared" ref="F745:F751" si="560">ROUND(D745*E745,10)</f>
        <v>0</v>
      </c>
      <c r="G745" s="578"/>
      <c r="I745" s="594"/>
      <c r="J745" s="580">
        <f t="shared" ref="J745:J751" si="561">+ROUND(E745*I745,10)</f>
        <v>0</v>
      </c>
      <c r="K745" s="537"/>
      <c r="L745" s="445">
        <f t="shared" ref="L745:L751" si="562">+ROUND(E745*K745,10)</f>
        <v>0</v>
      </c>
      <c r="M745" s="542"/>
      <c r="N745" s="445">
        <f t="shared" ref="N745:N751" si="563">+ROUND(E745*M745,10)</f>
        <v>0</v>
      </c>
      <c r="O745" s="542"/>
      <c r="P745" s="445">
        <f t="shared" ref="P745:P751" si="564">+ROUND(E745*O745,10)</f>
        <v>0</v>
      </c>
      <c r="Q745" s="542"/>
      <c r="R745" s="445">
        <f t="shared" ref="R745:R751" si="565">+ROUND(E745*Q745,10)</f>
        <v>0</v>
      </c>
      <c r="S745" s="542"/>
      <c r="T745" s="445">
        <f t="shared" ref="T745:T751" si="566">+ROUND(E745*S745,10)</f>
        <v>0</v>
      </c>
      <c r="V745" s="581"/>
      <c r="W745" s="582">
        <f t="shared" ref="W745:W751" si="567">ROUND(V745*$D745,10)</f>
        <v>0</v>
      </c>
      <c r="X745" s="581"/>
      <c r="Y745" s="582">
        <f t="shared" ref="Y745:Y751" si="568">ROUND(X745*$D745,10)</f>
        <v>0</v>
      </c>
      <c r="Z745" s="581"/>
      <c r="AA745" s="582">
        <f t="shared" ref="AA745:AA751" si="569">ROUND(Z745*$D745,10)</f>
        <v>0</v>
      </c>
      <c r="AB745" s="581"/>
      <c r="AC745" s="582">
        <f t="shared" ref="AC745:AC751" si="570">ROUND(AB745*$D745,10)</f>
        <v>0</v>
      </c>
      <c r="AE745" s="769">
        <f t="shared" si="545"/>
        <v>0</v>
      </c>
    </row>
    <row r="746" spans="1:31" ht="15" hidden="1" customHeight="1" x14ac:dyDescent="0.2">
      <c r="A746" s="611" t="s">
        <v>1871</v>
      </c>
      <c r="B746" s="601" t="s">
        <v>1872</v>
      </c>
      <c r="C746" s="611" t="s">
        <v>111</v>
      </c>
      <c r="D746" s="576">
        <f t="shared" si="559"/>
        <v>0</v>
      </c>
      <c r="E746" s="577">
        <f t="shared" si="546"/>
        <v>0</v>
      </c>
      <c r="F746" s="577">
        <f t="shared" si="560"/>
        <v>0</v>
      </c>
      <c r="G746" s="578"/>
      <c r="I746" s="584"/>
      <c r="J746" s="585">
        <f t="shared" si="561"/>
        <v>0</v>
      </c>
      <c r="K746" s="537"/>
      <c r="L746" s="445">
        <f t="shared" si="562"/>
        <v>0</v>
      </c>
      <c r="M746" s="542"/>
      <c r="N746" s="445">
        <f t="shared" si="563"/>
        <v>0</v>
      </c>
      <c r="O746" s="542"/>
      <c r="P746" s="445">
        <f t="shared" si="564"/>
        <v>0</v>
      </c>
      <c r="Q746" s="542"/>
      <c r="R746" s="445">
        <f t="shared" si="565"/>
        <v>0</v>
      </c>
      <c r="S746" s="542"/>
      <c r="T746" s="445">
        <f t="shared" si="566"/>
        <v>0</v>
      </c>
      <c r="V746" s="581"/>
      <c r="W746" s="582">
        <f t="shared" si="567"/>
        <v>0</v>
      </c>
      <c r="X746" s="581"/>
      <c r="Y746" s="582">
        <f t="shared" si="568"/>
        <v>0</v>
      </c>
      <c r="Z746" s="581"/>
      <c r="AA746" s="582">
        <f t="shared" si="569"/>
        <v>0</v>
      </c>
      <c r="AB746" s="581"/>
      <c r="AC746" s="582">
        <f t="shared" si="570"/>
        <v>0</v>
      </c>
      <c r="AE746" s="769">
        <f t="shared" si="545"/>
        <v>0</v>
      </c>
    </row>
    <row r="747" spans="1:31" ht="15" hidden="1" customHeight="1" x14ac:dyDescent="0.2">
      <c r="A747" s="611" t="s">
        <v>1873</v>
      </c>
      <c r="B747" s="601" t="s">
        <v>1874</v>
      </c>
      <c r="C747" s="611" t="s">
        <v>111</v>
      </c>
      <c r="D747" s="576">
        <f t="shared" si="559"/>
        <v>0</v>
      </c>
      <c r="E747" s="577">
        <f t="shared" si="546"/>
        <v>0</v>
      </c>
      <c r="F747" s="577">
        <f t="shared" si="560"/>
        <v>0</v>
      </c>
      <c r="G747" s="578"/>
      <c r="I747" s="584"/>
      <c r="J747" s="585">
        <f t="shared" si="561"/>
        <v>0</v>
      </c>
      <c r="K747" s="537"/>
      <c r="L747" s="445">
        <f t="shared" si="562"/>
        <v>0</v>
      </c>
      <c r="M747" s="542"/>
      <c r="N747" s="445">
        <f t="shared" si="563"/>
        <v>0</v>
      </c>
      <c r="O747" s="542"/>
      <c r="P747" s="445">
        <f t="shared" si="564"/>
        <v>0</v>
      </c>
      <c r="Q747" s="542"/>
      <c r="R747" s="445">
        <f t="shared" si="565"/>
        <v>0</v>
      </c>
      <c r="S747" s="542"/>
      <c r="T747" s="445">
        <f t="shared" si="566"/>
        <v>0</v>
      </c>
      <c r="V747" s="581"/>
      <c r="W747" s="582">
        <f t="shared" si="567"/>
        <v>0</v>
      </c>
      <c r="X747" s="581"/>
      <c r="Y747" s="582">
        <f t="shared" si="568"/>
        <v>0</v>
      </c>
      <c r="Z747" s="581"/>
      <c r="AA747" s="582">
        <f t="shared" si="569"/>
        <v>0</v>
      </c>
      <c r="AB747" s="581"/>
      <c r="AC747" s="582">
        <f t="shared" si="570"/>
        <v>0</v>
      </c>
      <c r="AE747" s="769">
        <f t="shared" si="545"/>
        <v>0</v>
      </c>
    </row>
    <row r="748" spans="1:31" ht="15" hidden="1" customHeight="1" x14ac:dyDescent="0.2">
      <c r="A748" s="611" t="s">
        <v>1875</v>
      </c>
      <c r="B748" s="601" t="s">
        <v>1876</v>
      </c>
      <c r="C748" s="611" t="s">
        <v>130</v>
      </c>
      <c r="D748" s="576">
        <f t="shared" si="559"/>
        <v>0</v>
      </c>
      <c r="E748" s="577">
        <f t="shared" si="546"/>
        <v>0</v>
      </c>
      <c r="F748" s="577">
        <f t="shared" si="560"/>
        <v>0</v>
      </c>
      <c r="G748" s="578"/>
      <c r="I748" s="584"/>
      <c r="J748" s="585">
        <f t="shared" si="561"/>
        <v>0</v>
      </c>
      <c r="K748" s="537"/>
      <c r="L748" s="445">
        <f t="shared" si="562"/>
        <v>0</v>
      </c>
      <c r="M748" s="542"/>
      <c r="N748" s="445">
        <f t="shared" si="563"/>
        <v>0</v>
      </c>
      <c r="O748" s="542"/>
      <c r="P748" s="445">
        <f t="shared" si="564"/>
        <v>0</v>
      </c>
      <c r="Q748" s="542"/>
      <c r="R748" s="445">
        <f t="shared" si="565"/>
        <v>0</v>
      </c>
      <c r="S748" s="542"/>
      <c r="T748" s="445">
        <f t="shared" si="566"/>
        <v>0</v>
      </c>
      <c r="V748" s="581"/>
      <c r="W748" s="582">
        <f t="shared" si="567"/>
        <v>0</v>
      </c>
      <c r="X748" s="581"/>
      <c r="Y748" s="582">
        <f t="shared" si="568"/>
        <v>0</v>
      </c>
      <c r="Z748" s="581"/>
      <c r="AA748" s="582">
        <f t="shared" si="569"/>
        <v>0</v>
      </c>
      <c r="AB748" s="581"/>
      <c r="AC748" s="582">
        <f t="shared" si="570"/>
        <v>0</v>
      </c>
      <c r="AE748" s="769">
        <f t="shared" si="545"/>
        <v>0</v>
      </c>
    </row>
    <row r="749" spans="1:31" ht="15" hidden="1" customHeight="1" x14ac:dyDescent="0.2">
      <c r="A749" s="611" t="s">
        <v>1877</v>
      </c>
      <c r="B749" s="601" t="s">
        <v>1878</v>
      </c>
      <c r="C749" s="611" t="s">
        <v>130</v>
      </c>
      <c r="D749" s="576">
        <f t="shared" si="559"/>
        <v>0</v>
      </c>
      <c r="E749" s="577">
        <f t="shared" si="546"/>
        <v>0</v>
      </c>
      <c r="F749" s="577">
        <f t="shared" si="560"/>
        <v>0</v>
      </c>
      <c r="G749" s="578"/>
      <c r="I749" s="584"/>
      <c r="J749" s="585">
        <f t="shared" si="561"/>
        <v>0</v>
      </c>
      <c r="K749" s="537"/>
      <c r="L749" s="445">
        <f t="shared" si="562"/>
        <v>0</v>
      </c>
      <c r="M749" s="542"/>
      <c r="N749" s="445">
        <f t="shared" si="563"/>
        <v>0</v>
      </c>
      <c r="O749" s="542"/>
      <c r="P749" s="445">
        <f t="shared" si="564"/>
        <v>0</v>
      </c>
      <c r="Q749" s="542"/>
      <c r="R749" s="445">
        <f t="shared" si="565"/>
        <v>0</v>
      </c>
      <c r="S749" s="542"/>
      <c r="T749" s="445">
        <f t="shared" si="566"/>
        <v>0</v>
      </c>
      <c r="V749" s="581"/>
      <c r="W749" s="582">
        <f t="shared" si="567"/>
        <v>0</v>
      </c>
      <c r="X749" s="581"/>
      <c r="Y749" s="582">
        <f t="shared" si="568"/>
        <v>0</v>
      </c>
      <c r="Z749" s="581"/>
      <c r="AA749" s="582">
        <f t="shared" si="569"/>
        <v>0</v>
      </c>
      <c r="AB749" s="581"/>
      <c r="AC749" s="582">
        <f t="shared" si="570"/>
        <v>0</v>
      </c>
      <c r="AE749" s="769">
        <f t="shared" si="545"/>
        <v>0</v>
      </c>
    </row>
    <row r="750" spans="1:31" ht="15" hidden="1" customHeight="1" x14ac:dyDescent="0.2">
      <c r="A750" s="611" t="s">
        <v>1879</v>
      </c>
      <c r="B750" s="601" t="s">
        <v>1880</v>
      </c>
      <c r="C750" s="611" t="s">
        <v>114</v>
      </c>
      <c r="D750" s="576">
        <f t="shared" si="559"/>
        <v>0</v>
      </c>
      <c r="E750" s="577">
        <f t="shared" si="546"/>
        <v>0</v>
      </c>
      <c r="F750" s="577">
        <f t="shared" si="560"/>
        <v>0</v>
      </c>
      <c r="G750" s="578"/>
      <c r="I750" s="584"/>
      <c r="J750" s="585">
        <f t="shared" si="561"/>
        <v>0</v>
      </c>
      <c r="K750" s="537"/>
      <c r="L750" s="445">
        <f t="shared" si="562"/>
        <v>0</v>
      </c>
      <c r="M750" s="542"/>
      <c r="N750" s="445">
        <f t="shared" si="563"/>
        <v>0</v>
      </c>
      <c r="O750" s="542"/>
      <c r="P750" s="445">
        <f t="shared" si="564"/>
        <v>0</v>
      </c>
      <c r="Q750" s="542"/>
      <c r="R750" s="445">
        <f t="shared" si="565"/>
        <v>0</v>
      </c>
      <c r="S750" s="542"/>
      <c r="T750" s="445">
        <f t="shared" si="566"/>
        <v>0</v>
      </c>
      <c r="V750" s="581"/>
      <c r="W750" s="582">
        <f t="shared" si="567"/>
        <v>0</v>
      </c>
      <c r="X750" s="581"/>
      <c r="Y750" s="582">
        <f t="shared" si="568"/>
        <v>0</v>
      </c>
      <c r="Z750" s="581"/>
      <c r="AA750" s="582">
        <f t="shared" si="569"/>
        <v>0</v>
      </c>
      <c r="AB750" s="581"/>
      <c r="AC750" s="582">
        <f t="shared" si="570"/>
        <v>0</v>
      </c>
      <c r="AE750" s="769">
        <f t="shared" si="545"/>
        <v>0</v>
      </c>
    </row>
    <row r="751" spans="1:31" ht="15" hidden="1" customHeight="1" x14ac:dyDescent="0.2">
      <c r="A751" s="611" t="s">
        <v>1881</v>
      </c>
      <c r="B751" s="601" t="s">
        <v>1395</v>
      </c>
      <c r="C751" s="611"/>
      <c r="D751" s="576">
        <f t="shared" si="559"/>
        <v>0</v>
      </c>
      <c r="E751" s="577">
        <f t="shared" si="546"/>
        <v>0</v>
      </c>
      <c r="F751" s="577">
        <f t="shared" si="560"/>
        <v>0</v>
      </c>
      <c r="G751" s="578"/>
      <c r="I751" s="597"/>
      <c r="J751" s="598">
        <f t="shared" si="561"/>
        <v>0</v>
      </c>
      <c r="K751" s="537"/>
      <c r="L751" s="445">
        <f t="shared" si="562"/>
        <v>0</v>
      </c>
      <c r="M751" s="542"/>
      <c r="N751" s="445">
        <f t="shared" si="563"/>
        <v>0</v>
      </c>
      <c r="O751" s="542"/>
      <c r="P751" s="445">
        <f t="shared" si="564"/>
        <v>0</v>
      </c>
      <c r="Q751" s="542"/>
      <c r="R751" s="445">
        <f t="shared" si="565"/>
        <v>0</v>
      </c>
      <c r="S751" s="542"/>
      <c r="T751" s="445">
        <f t="shared" si="566"/>
        <v>0</v>
      </c>
      <c r="V751" s="581"/>
      <c r="W751" s="582">
        <f t="shared" si="567"/>
        <v>0</v>
      </c>
      <c r="X751" s="581"/>
      <c r="Y751" s="582">
        <f t="shared" si="568"/>
        <v>0</v>
      </c>
      <c r="Z751" s="581"/>
      <c r="AA751" s="582">
        <f t="shared" si="569"/>
        <v>0</v>
      </c>
      <c r="AB751" s="581"/>
      <c r="AC751" s="582">
        <f t="shared" si="570"/>
        <v>0</v>
      </c>
      <c r="AE751" s="769">
        <f t="shared" si="545"/>
        <v>0</v>
      </c>
    </row>
    <row r="752" spans="1:31" ht="15" hidden="1" customHeight="1" x14ac:dyDescent="0.2">
      <c r="A752" s="572" t="s">
        <v>1882</v>
      </c>
      <c r="B752" s="573" t="s">
        <v>598</v>
      </c>
      <c r="C752" s="611"/>
      <c r="D752" s="576"/>
      <c r="E752" s="577"/>
      <c r="F752" s="626">
        <f>+ROUND(SUM(F753:F754),10)</f>
        <v>0</v>
      </c>
      <c r="G752" s="578"/>
      <c r="I752" s="613"/>
      <c r="J752" s="440">
        <f>ROUND(SUM(J753:J754),10)</f>
        <v>0</v>
      </c>
      <c r="K752" s="537"/>
      <c r="L752" s="180">
        <f>ROUND(SUM(L753:L754),10)</f>
        <v>0</v>
      </c>
      <c r="M752" s="542"/>
      <c r="N752" s="180">
        <f>ROUND(SUM(N753:N754),10)</f>
        <v>0</v>
      </c>
      <c r="O752" s="542"/>
      <c r="P752" s="180">
        <f>ROUND(SUM(P753:P754),10)</f>
        <v>0</v>
      </c>
      <c r="Q752" s="542"/>
      <c r="R752" s="180">
        <f>ROUND(SUM(R753:R754),10)</f>
        <v>0</v>
      </c>
      <c r="S752" s="542"/>
      <c r="T752" s="180">
        <f>ROUND(SUM(T753:T754),10)</f>
        <v>0</v>
      </c>
      <c r="V752" s="581"/>
      <c r="W752" s="570">
        <f>ROUND(SUM(W753:W754),10)</f>
        <v>0</v>
      </c>
      <c r="X752" s="581"/>
      <c r="Y752" s="570">
        <f>ROUND(SUM(Y753:Y754),10)</f>
        <v>0</v>
      </c>
      <c r="Z752" s="581"/>
      <c r="AA752" s="570">
        <f>ROUND(SUM(AA753:AA754),10)</f>
        <v>0</v>
      </c>
      <c r="AB752" s="581"/>
      <c r="AC752" s="570">
        <f>ROUND(SUM(AC753:AC754),10)</f>
        <v>0</v>
      </c>
      <c r="AE752" s="769">
        <f t="shared" si="545"/>
        <v>0</v>
      </c>
    </row>
    <row r="753" spans="1:31" ht="15" hidden="1" customHeight="1" x14ac:dyDescent="0.2">
      <c r="A753" s="611" t="s">
        <v>1883</v>
      </c>
      <c r="B753" s="601" t="s">
        <v>1884</v>
      </c>
      <c r="C753" s="611" t="s">
        <v>111</v>
      </c>
      <c r="D753" s="576">
        <f>+I753+K753+M753+O753+Q753+S753</f>
        <v>0</v>
      </c>
      <c r="E753" s="577">
        <f t="shared" si="546"/>
        <v>0</v>
      </c>
      <c r="F753" s="577">
        <f>ROUND(D753*E753,10)</f>
        <v>0</v>
      </c>
      <c r="G753" s="578"/>
      <c r="I753" s="594"/>
      <c r="J753" s="580">
        <f>+ROUND(E753*I753,10)</f>
        <v>0</v>
      </c>
      <c r="K753" s="537"/>
      <c r="L753" s="445">
        <f>+ROUND(E753*K753,10)</f>
        <v>0</v>
      </c>
      <c r="M753" s="542"/>
      <c r="N753" s="445">
        <f>+ROUND(E753*M753,10)</f>
        <v>0</v>
      </c>
      <c r="O753" s="542"/>
      <c r="P753" s="445">
        <f>+ROUND(E753*O753,10)</f>
        <v>0</v>
      </c>
      <c r="Q753" s="542"/>
      <c r="R753" s="445">
        <f>+ROUND(E753*Q753,10)</f>
        <v>0</v>
      </c>
      <c r="S753" s="542"/>
      <c r="T753" s="445">
        <f>+ROUND(E753*S753,10)</f>
        <v>0</v>
      </c>
      <c r="V753" s="581"/>
      <c r="W753" s="582">
        <f>ROUND(V753*$D753,10)</f>
        <v>0</v>
      </c>
      <c r="X753" s="581"/>
      <c r="Y753" s="582">
        <f>ROUND(X753*$D753,10)</f>
        <v>0</v>
      </c>
      <c r="Z753" s="581"/>
      <c r="AA753" s="582">
        <f>ROUND(Z753*$D753,10)</f>
        <v>0</v>
      </c>
      <c r="AB753" s="581"/>
      <c r="AC753" s="582">
        <f>ROUND(AB753*$D753,10)</f>
        <v>0</v>
      </c>
      <c r="AE753" s="769">
        <f t="shared" si="545"/>
        <v>0</v>
      </c>
    </row>
    <row r="754" spans="1:31" ht="15" hidden="1" customHeight="1" thickBot="1" x14ac:dyDescent="0.25">
      <c r="A754" s="611" t="s">
        <v>1885</v>
      </c>
      <c r="B754" s="601" t="s">
        <v>1886</v>
      </c>
      <c r="C754" s="611" t="s">
        <v>111</v>
      </c>
      <c r="D754" s="576">
        <f>+I754+K754+M754+O754+Q754+S754</f>
        <v>0</v>
      </c>
      <c r="E754" s="577">
        <f t="shared" si="546"/>
        <v>0</v>
      </c>
      <c r="F754" s="577">
        <f>ROUND(D754*E754,10)</f>
        <v>0</v>
      </c>
      <c r="G754" s="578"/>
      <c r="I754" s="602"/>
      <c r="J754" s="603">
        <f>+ROUND(E754*I754,10)</f>
        <v>0</v>
      </c>
      <c r="K754" s="537"/>
      <c r="L754" s="445">
        <f>+ROUND(E754*K754,10)</f>
        <v>0</v>
      </c>
      <c r="M754" s="542"/>
      <c r="N754" s="445">
        <f>+ROUND(E754*M754,10)</f>
        <v>0</v>
      </c>
      <c r="O754" s="542"/>
      <c r="P754" s="445">
        <f>+ROUND(E754*O754,10)</f>
        <v>0</v>
      </c>
      <c r="Q754" s="542"/>
      <c r="R754" s="445">
        <f>+ROUND(E754*Q754,10)</f>
        <v>0</v>
      </c>
      <c r="S754" s="542"/>
      <c r="T754" s="445">
        <f>+ROUND(E754*S754,10)</f>
        <v>0</v>
      </c>
      <c r="V754" s="581"/>
      <c r="W754" s="582">
        <f>ROUND(V754*$D754,10)</f>
        <v>0</v>
      </c>
      <c r="X754" s="581"/>
      <c r="Y754" s="582">
        <f>ROUND(X754*$D754,10)</f>
        <v>0</v>
      </c>
      <c r="Z754" s="581"/>
      <c r="AA754" s="582">
        <f>ROUND(Z754*$D754,10)</f>
        <v>0</v>
      </c>
      <c r="AB754" s="581"/>
      <c r="AC754" s="582">
        <f>ROUND(AB754*$D754,10)</f>
        <v>0</v>
      </c>
      <c r="AE754" s="769">
        <f t="shared" si="545"/>
        <v>0</v>
      </c>
    </row>
    <row r="755" spans="1:31" ht="15" hidden="1" customHeight="1" thickTop="1" x14ac:dyDescent="0.2">
      <c r="A755" s="611"/>
      <c r="B755" s="601"/>
      <c r="C755" s="611"/>
      <c r="D755" s="576"/>
      <c r="E755" s="577"/>
      <c r="F755" s="577"/>
      <c r="G755" s="578"/>
      <c r="I755" s="604"/>
      <c r="J755" s="635"/>
      <c r="K755" s="537"/>
      <c r="L755" s="445"/>
      <c r="M755" s="542"/>
      <c r="N755" s="445"/>
      <c r="O755" s="542"/>
      <c r="P755" s="445"/>
      <c r="Q755" s="542"/>
      <c r="R755" s="445"/>
      <c r="S755" s="542"/>
      <c r="T755" s="445"/>
      <c r="V755" s="581"/>
      <c r="W755" s="582"/>
      <c r="X755" s="581"/>
      <c r="Y755" s="582"/>
      <c r="Z755" s="581"/>
      <c r="AA755" s="582"/>
      <c r="AB755" s="581"/>
      <c r="AC755" s="582"/>
      <c r="AE755" s="769">
        <f t="shared" si="545"/>
        <v>0</v>
      </c>
    </row>
    <row r="756" spans="1:31" s="657" customFormat="1" ht="6.75" customHeight="1" thickBot="1" x14ac:dyDescent="0.25">
      <c r="A756" s="919"/>
      <c r="B756" s="920"/>
      <c r="C756" s="919"/>
      <c r="D756" s="655"/>
      <c r="E756" s="656"/>
      <c r="F756" s="656"/>
      <c r="G756" s="656"/>
      <c r="I756" s="658"/>
      <c r="J756" s="658"/>
      <c r="K756" s="659"/>
      <c r="L756" s="658"/>
      <c r="M756" s="174"/>
      <c r="N756" s="658"/>
      <c r="O756" s="174"/>
      <c r="P756" s="658"/>
      <c r="Q756" s="174"/>
      <c r="R756" s="658"/>
      <c r="S756" s="174"/>
      <c r="T756" s="658"/>
      <c r="V756" s="667"/>
      <c r="W756" s="667"/>
      <c r="X756" s="667"/>
      <c r="Y756" s="667"/>
      <c r="Z756" s="667"/>
      <c r="AA756" s="667"/>
      <c r="AB756" s="667"/>
      <c r="AC756" s="667"/>
      <c r="AE756" s="769">
        <f t="shared" si="545"/>
        <v>0</v>
      </c>
    </row>
    <row r="757" spans="1:31" s="571" customFormat="1" ht="30" customHeight="1" thickTop="1" thickBot="1" x14ac:dyDescent="0.25">
      <c r="A757" s="564">
        <v>19</v>
      </c>
      <c r="B757" s="1045" t="s">
        <v>1887</v>
      </c>
      <c r="C757" s="1045"/>
      <c r="D757" s="1045"/>
      <c r="E757" s="1045"/>
      <c r="F757" s="1045"/>
      <c r="G757" s="180" t="e">
        <f>ROUND(F758+F764+F768,10)</f>
        <v>#REF!</v>
      </c>
      <c r="H757" s="568"/>
      <c r="I757" s="616"/>
      <c r="J757" s="439" t="e">
        <f>+ROUND(J758+J764+J768,10)</f>
        <v>#REF!</v>
      </c>
      <c r="K757" s="617"/>
      <c r="L757" s="180" t="e">
        <f>+ROUND(L758+L764+L768,10)</f>
        <v>#REF!</v>
      </c>
      <c r="M757" s="180"/>
      <c r="N757" s="180" t="e">
        <f>+ROUND(N758+N764+N768,10)</f>
        <v>#REF!</v>
      </c>
      <c r="O757" s="180"/>
      <c r="P757" s="180" t="e">
        <f>+ROUND(P758+P764+P768,10)</f>
        <v>#REF!</v>
      </c>
      <c r="Q757" s="180"/>
      <c r="R757" s="180" t="e">
        <f>+ROUND(R758+R764+R768,10)</f>
        <v>#REF!</v>
      </c>
      <c r="S757" s="180"/>
      <c r="T757" s="180" t="e">
        <f>+ROUND(T758+T764+T768,10)</f>
        <v>#REF!</v>
      </c>
      <c r="U757" s="568"/>
      <c r="V757" s="569" t="e">
        <f>W757/$G$757</f>
        <v>#REF!</v>
      </c>
      <c r="W757" s="570" t="e">
        <f>ROUND(W758+W764+W768,10)</f>
        <v>#REF!</v>
      </c>
      <c r="X757" s="569" t="e">
        <f>Y757/$G$757</f>
        <v>#REF!</v>
      </c>
      <c r="Y757" s="570" t="e">
        <f>ROUND(Y758+Y764+Y768,10)</f>
        <v>#REF!</v>
      </c>
      <c r="Z757" s="569" t="e">
        <f>AA757/$G$757</f>
        <v>#REF!</v>
      </c>
      <c r="AA757" s="570" t="e">
        <f>ROUND(AA758+AA764+AA768,10)</f>
        <v>#REF!</v>
      </c>
      <c r="AB757" s="569" t="e">
        <f>AC757/$G$757</f>
        <v>#REF!</v>
      </c>
      <c r="AC757" s="570" t="e">
        <f>ROUND(AC758+AC764+AC768,10)</f>
        <v>#REF!</v>
      </c>
      <c r="AE757" s="769" t="e">
        <f t="shared" si="545"/>
        <v>#REF!</v>
      </c>
    </row>
    <row r="758" spans="1:31" ht="15" customHeight="1" thickTop="1" x14ac:dyDescent="0.2">
      <c r="A758" s="572" t="s">
        <v>1888</v>
      </c>
      <c r="B758" s="573" t="s">
        <v>1889</v>
      </c>
      <c r="C758" s="611"/>
      <c r="D758" s="576"/>
      <c r="E758" s="577"/>
      <c r="F758" s="626" t="e">
        <f>+ROUND(SUM(F759:F763),10)</f>
        <v>#REF!</v>
      </c>
      <c r="G758" s="578"/>
      <c r="I758" s="618"/>
      <c r="J758" s="439" t="e">
        <f>ROUND(SUM(J759:J763),10)</f>
        <v>#REF!</v>
      </c>
      <c r="K758" s="619"/>
      <c r="L758" s="180" t="e">
        <f>ROUND(SUM(L759:L763),10)</f>
        <v>#REF!</v>
      </c>
      <c r="M758" s="473"/>
      <c r="N758" s="180" t="e">
        <f>ROUND(SUM(N759:N763),10)</f>
        <v>#REF!</v>
      </c>
      <c r="O758" s="473"/>
      <c r="P758" s="180" t="e">
        <f>ROUND(SUM(P759:P763),10)</f>
        <v>#REF!</v>
      </c>
      <c r="Q758" s="473"/>
      <c r="R758" s="180" t="e">
        <f>ROUND(SUM(R759:R763),10)</f>
        <v>#REF!</v>
      </c>
      <c r="S758" s="473"/>
      <c r="T758" s="180" t="e">
        <f>ROUND(SUM(T759:T763),10)</f>
        <v>#REF!</v>
      </c>
      <c r="V758" s="581"/>
      <c r="W758" s="570" t="e">
        <f>ROUND(SUM(W759:W763),10)</f>
        <v>#REF!</v>
      </c>
      <c r="X758" s="581"/>
      <c r="Y758" s="570" t="e">
        <f>ROUND(SUM(Y759:Y763),10)</f>
        <v>#REF!</v>
      </c>
      <c r="Z758" s="581"/>
      <c r="AA758" s="570" t="e">
        <f>ROUND(SUM(AA759:AA763),10)</f>
        <v>#REF!</v>
      </c>
      <c r="AB758" s="581"/>
      <c r="AC758" s="570">
        <f>ROUND(SUM(AC759:AC763),10)</f>
        <v>0</v>
      </c>
      <c r="AE758" s="769" t="e">
        <f t="shared" si="545"/>
        <v>#REF!</v>
      </c>
    </row>
    <row r="759" spans="1:31" ht="15" customHeight="1" x14ac:dyDescent="0.2">
      <c r="A759" s="611" t="s">
        <v>1890</v>
      </c>
      <c r="B759" s="601" t="s">
        <v>1891</v>
      </c>
      <c r="C759" s="611" t="s">
        <v>111</v>
      </c>
      <c r="D759" s="576">
        <f t="shared" ref="D759:D767" si="571">+I759+K759+M759+O759+Q759+S759</f>
        <v>18</v>
      </c>
      <c r="E759" s="577" t="e">
        <f>V759+X759+Z759+AB759</f>
        <v>#REF!</v>
      </c>
      <c r="F759" s="577" t="e">
        <f>ROUND(D759*E759,10)</f>
        <v>#REF!</v>
      </c>
      <c r="G759" s="578"/>
      <c r="I759" s="594"/>
      <c r="J759" s="580" t="e">
        <f>+ROUND(E759*I759,10)</f>
        <v>#REF!</v>
      </c>
      <c r="K759" s="537">
        <v>13</v>
      </c>
      <c r="L759" s="445" t="e">
        <f>+ROUND(E759*K759,10)</f>
        <v>#REF!</v>
      </c>
      <c r="M759" s="542">
        <v>2</v>
      </c>
      <c r="N759" s="445" t="e">
        <f>+ROUND(E759*M759,10)</f>
        <v>#REF!</v>
      </c>
      <c r="O759" s="542">
        <v>3</v>
      </c>
      <c r="P759" s="445" t="e">
        <f>+ROUND(E759*O759,10)</f>
        <v>#REF!</v>
      </c>
      <c r="Q759" s="542"/>
      <c r="R759" s="445" t="e">
        <f>+ROUND(E759*Q759,10)</f>
        <v>#REF!</v>
      </c>
      <c r="S759" s="542"/>
      <c r="T759" s="445" t="e">
        <f>+ROUND(E759*S759,10)</f>
        <v>#REF!</v>
      </c>
      <c r="V759" s="581" t="e">
        <f>+#REF!</f>
        <v>#REF!</v>
      </c>
      <c r="W759" s="582" t="e">
        <f>ROUND(V759*$D759,10)</f>
        <v>#REF!</v>
      </c>
      <c r="X759" s="581" t="e">
        <f>+#REF!</f>
        <v>#REF!</v>
      </c>
      <c r="Y759" s="582" t="e">
        <f>ROUND(X759*$D759,10)</f>
        <v>#REF!</v>
      </c>
      <c r="Z759" s="581" t="e">
        <f>+#REF!</f>
        <v>#REF!</v>
      </c>
      <c r="AA759" s="582" t="e">
        <f>ROUND(Z759*$D759,10)</f>
        <v>#REF!</v>
      </c>
      <c r="AB759" s="581"/>
      <c r="AC759" s="582">
        <f>ROUND(AB759*$D759,10)</f>
        <v>0</v>
      </c>
      <c r="AE759" s="769" t="e">
        <f t="shared" si="545"/>
        <v>#REF!</v>
      </c>
    </row>
    <row r="760" spans="1:31" ht="15" hidden="1" customHeight="1" x14ac:dyDescent="0.2">
      <c r="A760" s="611" t="s">
        <v>1892</v>
      </c>
      <c r="B760" s="601" t="s">
        <v>1893</v>
      </c>
      <c r="C760" s="611" t="s">
        <v>111</v>
      </c>
      <c r="D760" s="576">
        <f t="shared" si="571"/>
        <v>0</v>
      </c>
      <c r="E760" s="577">
        <f t="shared" ref="E760:E772" si="572">V760+X760+Z760+AB760</f>
        <v>0</v>
      </c>
      <c r="F760" s="577">
        <f>ROUND(D760*E760,10)</f>
        <v>0</v>
      </c>
      <c r="G760" s="578"/>
      <c r="I760" s="584"/>
      <c r="J760" s="585">
        <f>+ROUND(E760*I760,10)</f>
        <v>0</v>
      </c>
      <c r="K760" s="537"/>
      <c r="L760" s="445">
        <f>+ROUND(E760*K760,10)</f>
        <v>0</v>
      </c>
      <c r="M760" s="542"/>
      <c r="N760" s="445">
        <f>+ROUND(E760*M760,10)</f>
        <v>0</v>
      </c>
      <c r="O760" s="542"/>
      <c r="P760" s="445">
        <f>+ROUND(E760*O760,10)</f>
        <v>0</v>
      </c>
      <c r="Q760" s="542"/>
      <c r="R760" s="445">
        <f>+ROUND(E760*Q760,10)</f>
        <v>0</v>
      </c>
      <c r="S760" s="542"/>
      <c r="T760" s="445">
        <f>+ROUND(E760*S760,10)</f>
        <v>0</v>
      </c>
      <c r="V760" s="581"/>
      <c r="W760" s="582">
        <f>ROUND(V760*$D760,10)</f>
        <v>0</v>
      </c>
      <c r="X760" s="581"/>
      <c r="Y760" s="582">
        <f>ROUND(X760*$D760,10)</f>
        <v>0</v>
      </c>
      <c r="Z760" s="581"/>
      <c r="AA760" s="582">
        <f>ROUND(Z760*$D760,10)</f>
        <v>0</v>
      </c>
      <c r="AB760" s="581"/>
      <c r="AC760" s="582">
        <f>ROUND(AB760*$D760,10)</f>
        <v>0</v>
      </c>
      <c r="AE760" s="769">
        <f t="shared" si="545"/>
        <v>0</v>
      </c>
    </row>
    <row r="761" spans="1:31" ht="15" hidden="1" customHeight="1" x14ac:dyDescent="0.2">
      <c r="A761" s="611" t="s">
        <v>1894</v>
      </c>
      <c r="B761" s="601" t="s">
        <v>1895</v>
      </c>
      <c r="C761" s="611" t="s">
        <v>111</v>
      </c>
      <c r="D761" s="576">
        <f t="shared" si="571"/>
        <v>0</v>
      </c>
      <c r="E761" s="577">
        <f t="shared" si="572"/>
        <v>0</v>
      </c>
      <c r="F761" s="577">
        <f>ROUND(D761*E761,10)</f>
        <v>0</v>
      </c>
      <c r="G761" s="578"/>
      <c r="I761" s="584"/>
      <c r="J761" s="585">
        <f>+ROUND(E761*I761,10)</f>
        <v>0</v>
      </c>
      <c r="K761" s="537"/>
      <c r="L761" s="445">
        <f>+ROUND(E761*K761,10)</f>
        <v>0</v>
      </c>
      <c r="M761" s="542"/>
      <c r="N761" s="445">
        <f>+ROUND(E761*M761,10)</f>
        <v>0</v>
      </c>
      <c r="O761" s="542"/>
      <c r="P761" s="445">
        <f>+ROUND(E761*O761,10)</f>
        <v>0</v>
      </c>
      <c r="Q761" s="542"/>
      <c r="R761" s="445">
        <f>+ROUND(E761*Q761,10)</f>
        <v>0</v>
      </c>
      <c r="S761" s="542"/>
      <c r="T761" s="445">
        <f>+ROUND(E761*S761,10)</f>
        <v>0</v>
      </c>
      <c r="V761" s="581"/>
      <c r="W761" s="582">
        <f>ROUND(V761*$D761,10)</f>
        <v>0</v>
      </c>
      <c r="X761" s="581"/>
      <c r="Y761" s="582">
        <f>ROUND(X761*$D761,10)</f>
        <v>0</v>
      </c>
      <c r="Z761" s="581"/>
      <c r="AA761" s="582">
        <f>ROUND(Z761*$D761,10)</f>
        <v>0</v>
      </c>
      <c r="AB761" s="581"/>
      <c r="AC761" s="582">
        <f>ROUND(AB761*$D761,10)</f>
        <v>0</v>
      </c>
      <c r="AE761" s="769">
        <f t="shared" si="545"/>
        <v>0</v>
      </c>
    </row>
    <row r="762" spans="1:31" ht="15.75" hidden="1" customHeight="1" x14ac:dyDescent="0.2">
      <c r="A762" s="611" t="s">
        <v>1896</v>
      </c>
      <c r="B762" s="601" t="s">
        <v>1897</v>
      </c>
      <c r="C762" s="611" t="s">
        <v>111</v>
      </c>
      <c r="D762" s="576">
        <f t="shared" si="571"/>
        <v>0</v>
      </c>
      <c r="E762" s="577">
        <f t="shared" si="572"/>
        <v>0</v>
      </c>
      <c r="F762" s="577">
        <f>ROUND(D762*E762,10)</f>
        <v>0</v>
      </c>
      <c r="G762" s="578"/>
      <c r="I762" s="584"/>
      <c r="J762" s="585">
        <f>+ROUND(E762*I762,10)</f>
        <v>0</v>
      </c>
      <c r="K762" s="537"/>
      <c r="L762" s="445">
        <f>+ROUND(E762*K762,10)</f>
        <v>0</v>
      </c>
      <c r="M762" s="542"/>
      <c r="N762" s="445">
        <f>+ROUND(E762*M762,10)</f>
        <v>0</v>
      </c>
      <c r="O762" s="542"/>
      <c r="P762" s="445">
        <f>+ROUND(E762*O762,10)</f>
        <v>0</v>
      </c>
      <c r="Q762" s="542"/>
      <c r="R762" s="445">
        <f>+ROUND(E762*Q762,10)</f>
        <v>0</v>
      </c>
      <c r="S762" s="542"/>
      <c r="T762" s="445">
        <f>+ROUND(E762*S762,10)</f>
        <v>0</v>
      </c>
      <c r="V762" s="581"/>
      <c r="W762" s="582">
        <f>ROUND(V762*$D762,10)</f>
        <v>0</v>
      </c>
      <c r="X762" s="581"/>
      <c r="Y762" s="582">
        <f>ROUND(X762*$D762,10)</f>
        <v>0</v>
      </c>
      <c r="Z762" s="581"/>
      <c r="AA762" s="582">
        <f>ROUND(Z762*$D762,10)</f>
        <v>0</v>
      </c>
      <c r="AB762" s="581"/>
      <c r="AC762" s="582">
        <f>ROUND(AB762*$D762,10)</f>
        <v>0</v>
      </c>
      <c r="AE762" s="769">
        <f t="shared" si="545"/>
        <v>0</v>
      </c>
    </row>
    <row r="763" spans="1:31" s="595" customFormat="1" ht="18" hidden="1" customHeight="1" x14ac:dyDescent="0.2">
      <c r="A763" s="611" t="s">
        <v>1898</v>
      </c>
      <c r="B763" s="601" t="s">
        <v>1899</v>
      </c>
      <c r="C763" s="611"/>
      <c r="D763" s="576">
        <f t="shared" si="571"/>
        <v>0</v>
      </c>
      <c r="E763" s="577">
        <f t="shared" si="572"/>
        <v>0</v>
      </c>
      <c r="F763" s="577">
        <f>ROUND(D763*E763,10)</f>
        <v>0</v>
      </c>
      <c r="G763" s="578"/>
      <c r="H763" s="552"/>
      <c r="I763" s="597"/>
      <c r="J763" s="598">
        <f>+ROUND(E763*I763,10)</f>
        <v>0</v>
      </c>
      <c r="K763" s="537"/>
      <c r="L763" s="445">
        <f>+ROUND(E763*K763,10)</f>
        <v>0</v>
      </c>
      <c r="M763" s="542"/>
      <c r="N763" s="445">
        <f>+ROUND(E763*M763,10)</f>
        <v>0</v>
      </c>
      <c r="O763" s="542"/>
      <c r="P763" s="445">
        <f>+ROUND(E763*O763,10)</f>
        <v>0</v>
      </c>
      <c r="Q763" s="542"/>
      <c r="R763" s="445">
        <f>+ROUND(E763*Q763,10)</f>
        <v>0</v>
      </c>
      <c r="S763" s="542"/>
      <c r="T763" s="445">
        <f>+ROUND(E763*S763,10)</f>
        <v>0</v>
      </c>
      <c r="U763" s="552"/>
      <c r="V763" s="581"/>
      <c r="W763" s="582">
        <f>ROUND(V763*$D763,10)</f>
        <v>0</v>
      </c>
      <c r="X763" s="581"/>
      <c r="Y763" s="582">
        <f>ROUND(X763*$D763,10)</f>
        <v>0</v>
      </c>
      <c r="Z763" s="581"/>
      <c r="AA763" s="582">
        <f>ROUND(Z763*$D763,10)</f>
        <v>0</v>
      </c>
      <c r="AB763" s="581"/>
      <c r="AC763" s="582">
        <f>ROUND(AB763*$D763,10)</f>
        <v>0</v>
      </c>
      <c r="AD763" s="912"/>
      <c r="AE763" s="769">
        <f t="shared" si="545"/>
        <v>0</v>
      </c>
    </row>
    <row r="764" spans="1:31" s="595" customFormat="1" ht="15.75" hidden="1" customHeight="1" x14ac:dyDescent="0.2">
      <c r="A764" s="572" t="s">
        <v>1900</v>
      </c>
      <c r="B764" s="573" t="s">
        <v>1901</v>
      </c>
      <c r="C764" s="846"/>
      <c r="D764" s="576">
        <f t="shared" si="571"/>
        <v>0</v>
      </c>
      <c r="E764" s="577"/>
      <c r="F764" s="180">
        <f>+ROUND(SUM(F765:F767),10)</f>
        <v>0</v>
      </c>
      <c r="G764" s="473"/>
      <c r="H764" s="568"/>
      <c r="I764" s="613"/>
      <c r="J764" s="440">
        <f>ROUND(SUM(J765:J767),10)</f>
        <v>0</v>
      </c>
      <c r="K764" s="537"/>
      <c r="L764" s="180">
        <f>ROUND(SUM(L765:L767),10)</f>
        <v>0</v>
      </c>
      <c r="M764" s="542"/>
      <c r="N764" s="180">
        <f>ROUND(SUM(N765:N767),10)</f>
        <v>0</v>
      </c>
      <c r="O764" s="542"/>
      <c r="P764" s="180">
        <f>ROUND(SUM(P765:P767),10)</f>
        <v>0</v>
      </c>
      <c r="Q764" s="542"/>
      <c r="R764" s="180">
        <f>ROUND(SUM(R765:R767),10)</f>
        <v>0</v>
      </c>
      <c r="S764" s="542"/>
      <c r="T764" s="180">
        <f>ROUND(SUM(T765:T767),10)</f>
        <v>0</v>
      </c>
      <c r="U764" s="568"/>
      <c r="V764" s="575"/>
      <c r="W764" s="570">
        <f>ROUND(SUM(W765:W767),10)</f>
        <v>0</v>
      </c>
      <c r="X764" s="575"/>
      <c r="Y764" s="570">
        <f>ROUND(SUM(Y765:Y767),10)</f>
        <v>0</v>
      </c>
      <c r="Z764" s="575"/>
      <c r="AA764" s="570">
        <f>ROUND(SUM(AA765:AA767),10)</f>
        <v>0</v>
      </c>
      <c r="AB764" s="575"/>
      <c r="AC764" s="570">
        <f>ROUND(SUM(AC765:AC767),10)</f>
        <v>0</v>
      </c>
      <c r="AD764" s="912"/>
      <c r="AE764" s="769">
        <f t="shared" si="545"/>
        <v>0</v>
      </c>
    </row>
    <row r="765" spans="1:31" s="595" customFormat="1" ht="15" hidden="1" customHeight="1" x14ac:dyDescent="0.2">
      <c r="A765" s="611" t="s">
        <v>1902</v>
      </c>
      <c r="B765" s="601" t="s">
        <v>1903</v>
      </c>
      <c r="C765" s="611" t="s">
        <v>111</v>
      </c>
      <c r="D765" s="576">
        <f t="shared" si="571"/>
        <v>0</v>
      </c>
      <c r="E765" s="577">
        <f t="shared" si="572"/>
        <v>0</v>
      </c>
      <c r="F765" s="577">
        <f>ROUND(D765*E765,10)</f>
        <v>0</v>
      </c>
      <c r="G765" s="578"/>
      <c r="H765" s="552"/>
      <c r="I765" s="594"/>
      <c r="J765" s="580">
        <f>+ROUND(E765*I765,10)</f>
        <v>0</v>
      </c>
      <c r="K765" s="537"/>
      <c r="L765" s="445">
        <f>+ROUND(E765*K765,10)</f>
        <v>0</v>
      </c>
      <c r="M765" s="542"/>
      <c r="N765" s="445">
        <f>+ROUND(E765*M765,10)</f>
        <v>0</v>
      </c>
      <c r="O765" s="542"/>
      <c r="P765" s="445">
        <f>+ROUND(E765*O765,10)</f>
        <v>0</v>
      </c>
      <c r="Q765" s="542"/>
      <c r="R765" s="445">
        <f>+ROUND(E765*Q765,10)</f>
        <v>0</v>
      </c>
      <c r="S765" s="542"/>
      <c r="T765" s="445">
        <f>+ROUND(E765*S765,10)</f>
        <v>0</v>
      </c>
      <c r="U765" s="552"/>
      <c r="V765" s="581"/>
      <c r="W765" s="582">
        <f>ROUND(V765*$D765,10)</f>
        <v>0</v>
      </c>
      <c r="X765" s="581"/>
      <c r="Y765" s="582">
        <f>ROUND(X765*$D765,10)</f>
        <v>0</v>
      </c>
      <c r="Z765" s="581"/>
      <c r="AA765" s="582">
        <f>ROUND(Z765*$D765,10)</f>
        <v>0</v>
      </c>
      <c r="AB765" s="581"/>
      <c r="AC765" s="582">
        <f>ROUND(AB765*$D765,10)</f>
        <v>0</v>
      </c>
      <c r="AD765" s="912"/>
      <c r="AE765" s="769">
        <f t="shared" si="545"/>
        <v>0</v>
      </c>
    </row>
    <row r="766" spans="1:31" s="595" customFormat="1" ht="15" hidden="1" customHeight="1" x14ac:dyDescent="0.2">
      <c r="A766" s="611" t="s">
        <v>1904</v>
      </c>
      <c r="B766" s="601" t="s">
        <v>1905</v>
      </c>
      <c r="C766" s="611" t="s">
        <v>111</v>
      </c>
      <c r="D766" s="576">
        <f t="shared" si="571"/>
        <v>0</v>
      </c>
      <c r="E766" s="577">
        <f t="shared" si="572"/>
        <v>0</v>
      </c>
      <c r="F766" s="577">
        <f>ROUND(D766*E766,10)</f>
        <v>0</v>
      </c>
      <c r="G766" s="578"/>
      <c r="H766" s="552"/>
      <c r="I766" s="584"/>
      <c r="J766" s="585">
        <f>+ROUND(E766*I766,10)</f>
        <v>0</v>
      </c>
      <c r="K766" s="537"/>
      <c r="L766" s="445">
        <f>+ROUND(E766*K766,10)</f>
        <v>0</v>
      </c>
      <c r="M766" s="542"/>
      <c r="N766" s="445">
        <f>+ROUND(E766*M766,10)</f>
        <v>0</v>
      </c>
      <c r="O766" s="542"/>
      <c r="P766" s="445">
        <f>+ROUND(E766*O766,10)</f>
        <v>0</v>
      </c>
      <c r="Q766" s="542"/>
      <c r="R766" s="445">
        <f>+ROUND(E766*Q766,10)</f>
        <v>0</v>
      </c>
      <c r="S766" s="542"/>
      <c r="T766" s="445">
        <f>+ROUND(E766*S766,10)</f>
        <v>0</v>
      </c>
      <c r="U766" s="552"/>
      <c r="V766" s="581"/>
      <c r="W766" s="582">
        <f>ROUND(V766*$D766,10)</f>
        <v>0</v>
      </c>
      <c r="X766" s="581"/>
      <c r="Y766" s="582">
        <f>ROUND(X766*$D766,10)</f>
        <v>0</v>
      </c>
      <c r="Z766" s="581"/>
      <c r="AA766" s="582">
        <f>ROUND(Z766*$D766,10)</f>
        <v>0</v>
      </c>
      <c r="AB766" s="581"/>
      <c r="AC766" s="582">
        <f>ROUND(AB766*$D766,10)</f>
        <v>0</v>
      </c>
      <c r="AD766" s="912"/>
      <c r="AE766" s="769">
        <f t="shared" si="545"/>
        <v>0</v>
      </c>
    </row>
    <row r="767" spans="1:31" s="595" customFormat="1" ht="15" hidden="1" customHeight="1" x14ac:dyDescent="0.2">
      <c r="A767" s="611" t="s">
        <v>1906</v>
      </c>
      <c r="B767" s="601" t="s">
        <v>1907</v>
      </c>
      <c r="C767" s="611" t="s">
        <v>111</v>
      </c>
      <c r="D767" s="576">
        <f t="shared" si="571"/>
        <v>0</v>
      </c>
      <c r="E767" s="577">
        <f t="shared" si="572"/>
        <v>0</v>
      </c>
      <c r="F767" s="577">
        <f>ROUND(D767*E767,10)</f>
        <v>0</v>
      </c>
      <c r="G767" s="578"/>
      <c r="H767" s="552"/>
      <c r="I767" s="597"/>
      <c r="J767" s="598">
        <f>+ROUND(E767*I767,10)</f>
        <v>0</v>
      </c>
      <c r="K767" s="537"/>
      <c r="L767" s="445">
        <f>+ROUND(E767*K767,10)</f>
        <v>0</v>
      </c>
      <c r="M767" s="542"/>
      <c r="N767" s="445">
        <f>+ROUND(E767*M767,10)</f>
        <v>0</v>
      </c>
      <c r="O767" s="542"/>
      <c r="P767" s="445">
        <f>+ROUND(E767*O767,10)</f>
        <v>0</v>
      </c>
      <c r="Q767" s="542"/>
      <c r="R767" s="445">
        <f>+ROUND(E767*Q767,10)</f>
        <v>0</v>
      </c>
      <c r="S767" s="542"/>
      <c r="T767" s="445">
        <f>+ROUND(E767*S767,10)</f>
        <v>0</v>
      </c>
      <c r="U767" s="552"/>
      <c r="V767" s="581"/>
      <c r="W767" s="582">
        <f>ROUND(V767*$D767,10)</f>
        <v>0</v>
      </c>
      <c r="X767" s="581"/>
      <c r="Y767" s="582">
        <f>ROUND(X767*$D767,10)</f>
        <v>0</v>
      </c>
      <c r="Z767" s="581"/>
      <c r="AA767" s="582">
        <f>ROUND(Z767*$D767,10)</f>
        <v>0</v>
      </c>
      <c r="AB767" s="581"/>
      <c r="AC767" s="582">
        <f>ROUND(AB767*$D767,10)</f>
        <v>0</v>
      </c>
      <c r="AD767" s="912"/>
      <c r="AE767" s="769">
        <f t="shared" si="545"/>
        <v>0</v>
      </c>
    </row>
    <row r="768" spans="1:31" s="595" customFormat="1" ht="15.75" x14ac:dyDescent="0.2">
      <c r="A768" s="572" t="s">
        <v>1908</v>
      </c>
      <c r="B768" s="573" t="s">
        <v>1909</v>
      </c>
      <c r="C768" s="846"/>
      <c r="D768" s="576"/>
      <c r="E768" s="577"/>
      <c r="F768" s="180" t="e">
        <f>+ROUND(SUM(F769:F772),10)</f>
        <v>#REF!</v>
      </c>
      <c r="G768" s="473"/>
      <c r="H768" s="568"/>
      <c r="I768" s="613"/>
      <c r="J768" s="440" t="e">
        <f>ROUND(SUM(J769:J772),10)</f>
        <v>#REF!</v>
      </c>
      <c r="K768" s="537"/>
      <c r="L768" s="180" t="e">
        <f>ROUND(SUM(L769:L772),10)</f>
        <v>#REF!</v>
      </c>
      <c r="M768" s="542"/>
      <c r="N768" s="180" t="e">
        <f>ROUND(SUM(N769:N772),10)</f>
        <v>#REF!</v>
      </c>
      <c r="O768" s="542"/>
      <c r="P768" s="180" t="e">
        <f>ROUND(SUM(P769:P772),10)</f>
        <v>#REF!</v>
      </c>
      <c r="Q768" s="542"/>
      <c r="R768" s="180" t="e">
        <f>ROUND(SUM(R769:R772),10)</f>
        <v>#REF!</v>
      </c>
      <c r="S768" s="542"/>
      <c r="T768" s="180" t="e">
        <f>ROUND(SUM(T769:T772),10)</f>
        <v>#REF!</v>
      </c>
      <c r="U768" s="568"/>
      <c r="V768" s="575"/>
      <c r="W768" s="570" t="e">
        <f>ROUND(SUM(W769:W772),10)</f>
        <v>#REF!</v>
      </c>
      <c r="X768" s="575"/>
      <c r="Y768" s="570" t="e">
        <f>ROUND(SUM(Y769:Y772),10)</f>
        <v>#REF!</v>
      </c>
      <c r="Z768" s="575"/>
      <c r="AA768" s="570" t="e">
        <f>ROUND(SUM(AA769:AA772),10)</f>
        <v>#REF!</v>
      </c>
      <c r="AB768" s="575"/>
      <c r="AC768" s="570" t="e">
        <f>ROUND(SUM(AC769:AC772),10)</f>
        <v>#REF!</v>
      </c>
      <c r="AD768" s="912"/>
      <c r="AE768" s="769" t="e">
        <f t="shared" si="545"/>
        <v>#REF!</v>
      </c>
    </row>
    <row r="769" spans="1:31" s="595" customFormat="1" x14ac:dyDescent="0.2">
      <c r="A769" s="611" t="s">
        <v>1910</v>
      </c>
      <c r="B769" s="601" t="s">
        <v>1911</v>
      </c>
      <c r="C769" s="611" t="s">
        <v>130</v>
      </c>
      <c r="D769" s="576">
        <f>+I769+K769+M769+O769+Q769+S769</f>
        <v>11.879999999999999</v>
      </c>
      <c r="E769" s="577" t="e">
        <f t="shared" si="572"/>
        <v>#REF!</v>
      </c>
      <c r="F769" s="577" t="e">
        <f>ROUND(D769*E769,10)</f>
        <v>#REF!</v>
      </c>
      <c r="G769" s="578"/>
      <c r="H769" s="552"/>
      <c r="I769" s="594"/>
      <c r="J769" s="580" t="e">
        <f>+ROUND(E769*I769,10)</f>
        <v>#REF!</v>
      </c>
      <c r="K769" s="537"/>
      <c r="L769" s="445" t="e">
        <f>+ROUND(E769*K769,10)</f>
        <v>#REF!</v>
      </c>
      <c r="M769" s="542">
        <v>0.54</v>
      </c>
      <c r="N769" s="445" t="e">
        <f>+ROUND(E769*M769,10)</f>
        <v>#REF!</v>
      </c>
      <c r="O769" s="542">
        <v>11.34</v>
      </c>
      <c r="P769" s="445" t="e">
        <f>+ROUND(E769*O769,10)</f>
        <v>#REF!</v>
      </c>
      <c r="Q769" s="542"/>
      <c r="R769" s="445" t="e">
        <f>+ROUND(E769*Q769,10)</f>
        <v>#REF!</v>
      </c>
      <c r="S769" s="542"/>
      <c r="T769" s="445" t="e">
        <f>+ROUND(E769*S769,10)</f>
        <v>#REF!</v>
      </c>
      <c r="U769" s="552"/>
      <c r="V769" s="581" t="e">
        <f>+#REF!</f>
        <v>#REF!</v>
      </c>
      <c r="W769" s="582" t="e">
        <f>ROUND(V769*$D769,10)</f>
        <v>#REF!</v>
      </c>
      <c r="X769" s="581" t="e">
        <f>+#REF!</f>
        <v>#REF!</v>
      </c>
      <c r="Y769" s="582" t="e">
        <f>ROUND(X769*$D769,10)</f>
        <v>#REF!</v>
      </c>
      <c r="Z769" s="581" t="e">
        <f>+#REF!</f>
        <v>#REF!</v>
      </c>
      <c r="AA769" s="582" t="e">
        <f>ROUND(Z769*$D769,10)</f>
        <v>#REF!</v>
      </c>
      <c r="AB769" s="581"/>
      <c r="AC769" s="582">
        <f>ROUND(AB769*$D769,10)</f>
        <v>0</v>
      </c>
      <c r="AD769" s="912"/>
      <c r="AE769" s="769" t="e">
        <f t="shared" si="545"/>
        <v>#REF!</v>
      </c>
    </row>
    <row r="770" spans="1:31" s="595" customFormat="1" x14ac:dyDescent="0.2">
      <c r="A770" s="611" t="s">
        <v>1912</v>
      </c>
      <c r="B770" s="601" t="s">
        <v>1913</v>
      </c>
      <c r="C770" s="611" t="s">
        <v>130</v>
      </c>
      <c r="D770" s="576">
        <f>+I770+K770+M770+O770+Q770+S770</f>
        <v>137.76</v>
      </c>
      <c r="E770" s="577" t="e">
        <f t="shared" si="572"/>
        <v>#REF!</v>
      </c>
      <c r="F770" s="577" t="e">
        <f>ROUND(D770*E770,10)</f>
        <v>#REF!</v>
      </c>
      <c r="G770" s="578"/>
      <c r="H770" s="552"/>
      <c r="I770" s="584"/>
      <c r="J770" s="585" t="e">
        <f>+ROUND(E770*I770,10)</f>
        <v>#REF!</v>
      </c>
      <c r="K770" s="537">
        <f>47+28.56+28.55+21.6</f>
        <v>125.71000000000001</v>
      </c>
      <c r="L770" s="445" t="e">
        <f>+ROUND(E770*K770,10)</f>
        <v>#REF!</v>
      </c>
      <c r="M770" s="542">
        <f>7.14+0.9</f>
        <v>8.0399999999999991</v>
      </c>
      <c r="N770" s="445" t="e">
        <f>+ROUND(E770*M770,10)</f>
        <v>#REF!</v>
      </c>
      <c r="O770" s="542">
        <f>3.44+0.57</f>
        <v>4.01</v>
      </c>
      <c r="P770" s="445" t="e">
        <f>+ROUND(E770*O770,10)</f>
        <v>#REF!</v>
      </c>
      <c r="Q770" s="542"/>
      <c r="R770" s="445" t="e">
        <f>+ROUND(E770*Q770,10)</f>
        <v>#REF!</v>
      </c>
      <c r="S770" s="542"/>
      <c r="T770" s="445" t="e">
        <f>+ROUND(E770*S770,10)</f>
        <v>#REF!</v>
      </c>
      <c r="U770" s="552"/>
      <c r="V770" s="581" t="e">
        <f>+#REF!</f>
        <v>#REF!</v>
      </c>
      <c r="W770" s="582" t="e">
        <f>ROUND(V770*$D770,10)</f>
        <v>#REF!</v>
      </c>
      <c r="X770" s="581" t="e">
        <f>+#REF!</f>
        <v>#REF!</v>
      </c>
      <c r="Y770" s="582" t="e">
        <f>ROUND(X770*$D770,10)</f>
        <v>#REF!</v>
      </c>
      <c r="Z770" s="581" t="e">
        <f>+#REF!</f>
        <v>#REF!</v>
      </c>
      <c r="AA770" s="582" t="e">
        <f>ROUND(Z770*$D770,10)</f>
        <v>#REF!</v>
      </c>
      <c r="AB770" s="581" t="e">
        <f>+#REF!</f>
        <v>#REF!</v>
      </c>
      <c r="AC770" s="582" t="e">
        <f>ROUND(AB770*$D770,10)</f>
        <v>#REF!</v>
      </c>
      <c r="AD770" s="912"/>
      <c r="AE770" s="769" t="e">
        <f t="shared" si="545"/>
        <v>#REF!</v>
      </c>
    </row>
    <row r="771" spans="1:31" s="595" customFormat="1" ht="15" hidden="1" customHeight="1" x14ac:dyDescent="0.2">
      <c r="A771" s="611" t="s">
        <v>1914</v>
      </c>
      <c r="B771" s="601" t="s">
        <v>1915</v>
      </c>
      <c r="C771" s="611" t="s">
        <v>111</v>
      </c>
      <c r="D771" s="576">
        <f>+I771+K771+M771+O771+Q771+S771</f>
        <v>0</v>
      </c>
      <c r="E771" s="577">
        <f t="shared" si="572"/>
        <v>0</v>
      </c>
      <c r="F771" s="577">
        <f>ROUND(D771*E771,10)</f>
        <v>0</v>
      </c>
      <c r="G771" s="578"/>
      <c r="H771" s="552"/>
      <c r="I771" s="584"/>
      <c r="J771" s="585">
        <f>+ROUND(E771*I771,10)</f>
        <v>0</v>
      </c>
      <c r="K771" s="537"/>
      <c r="L771" s="445">
        <f>+ROUND(E771*K771,10)</f>
        <v>0</v>
      </c>
      <c r="M771" s="542"/>
      <c r="N771" s="445">
        <f>+ROUND(E771*M771,10)</f>
        <v>0</v>
      </c>
      <c r="O771" s="542"/>
      <c r="P771" s="445">
        <f>+ROUND(E771*O771,10)</f>
        <v>0</v>
      </c>
      <c r="Q771" s="542"/>
      <c r="R771" s="445">
        <f>+ROUND(E771*Q771,10)</f>
        <v>0</v>
      </c>
      <c r="S771" s="542"/>
      <c r="T771" s="445">
        <f>+ROUND(E771*S771,10)</f>
        <v>0</v>
      </c>
      <c r="U771" s="552"/>
      <c r="V771" s="581"/>
      <c r="W771" s="582">
        <f>ROUND(V771*$D771,10)</f>
        <v>0</v>
      </c>
      <c r="X771" s="581"/>
      <c r="Y771" s="582">
        <f>ROUND(X771*$D771,10)</f>
        <v>0</v>
      </c>
      <c r="Z771" s="581"/>
      <c r="AA771" s="582">
        <f>ROUND(Z771*$D771,10)</f>
        <v>0</v>
      </c>
      <c r="AB771" s="581"/>
      <c r="AC771" s="582">
        <f>ROUND(AB771*$D771,10)</f>
        <v>0</v>
      </c>
      <c r="AD771" s="912"/>
      <c r="AE771" s="769">
        <f t="shared" si="545"/>
        <v>0</v>
      </c>
    </row>
    <row r="772" spans="1:31" s="595" customFormat="1" ht="15.75" hidden="1" customHeight="1" thickBot="1" x14ac:dyDescent="0.25">
      <c r="A772" s="611" t="s">
        <v>1916</v>
      </c>
      <c r="B772" s="601" t="s">
        <v>1395</v>
      </c>
      <c r="C772" s="611"/>
      <c r="D772" s="576">
        <f>+I772+K772+M772+O772+Q772+S772</f>
        <v>0</v>
      </c>
      <c r="E772" s="577">
        <f t="shared" si="572"/>
        <v>0</v>
      </c>
      <c r="F772" s="577">
        <f>ROUND(D772*E772,10)</f>
        <v>0</v>
      </c>
      <c r="G772" s="578"/>
      <c r="H772" s="552"/>
      <c r="I772" s="602"/>
      <c r="J772" s="603">
        <f>+ROUND(E772*I772,10)</f>
        <v>0</v>
      </c>
      <c r="K772" s="537"/>
      <c r="L772" s="445">
        <f>+ROUND(E772*K772,10)</f>
        <v>0</v>
      </c>
      <c r="M772" s="542"/>
      <c r="N772" s="445">
        <f>+ROUND(E772*M772,10)</f>
        <v>0</v>
      </c>
      <c r="O772" s="542"/>
      <c r="P772" s="445">
        <f>+ROUND(E772*O772,10)</f>
        <v>0</v>
      </c>
      <c r="Q772" s="542"/>
      <c r="R772" s="445">
        <f>+ROUND(E772*Q772,10)</f>
        <v>0</v>
      </c>
      <c r="S772" s="542"/>
      <c r="T772" s="445">
        <f>+ROUND(E772*S772,10)</f>
        <v>0</v>
      </c>
      <c r="U772" s="552"/>
      <c r="V772" s="581"/>
      <c r="W772" s="582">
        <f>ROUND(V772*$D772,10)</f>
        <v>0</v>
      </c>
      <c r="X772" s="581"/>
      <c r="Y772" s="582">
        <f>ROUND(X772*$D772,10)</f>
        <v>0</v>
      </c>
      <c r="Z772" s="581"/>
      <c r="AA772" s="582">
        <f>ROUND(Z772*$D772,10)</f>
        <v>0</v>
      </c>
      <c r="AB772" s="581"/>
      <c r="AC772" s="582">
        <f>ROUND(AB772*$D772,10)</f>
        <v>0</v>
      </c>
      <c r="AD772" s="912"/>
      <c r="AE772" s="769">
        <f t="shared" si="545"/>
        <v>0</v>
      </c>
    </row>
    <row r="773" spans="1:31" s="595" customFormat="1" ht="15" hidden="1" customHeight="1" x14ac:dyDescent="0.2">
      <c r="A773" s="611"/>
      <c r="B773" s="601"/>
      <c r="C773" s="611"/>
      <c r="D773" s="576"/>
      <c r="E773" s="577"/>
      <c r="F773" s="577"/>
      <c r="G773" s="578"/>
      <c r="H773" s="552"/>
      <c r="I773" s="604"/>
      <c r="J773" s="635"/>
      <c r="K773" s="537"/>
      <c r="L773" s="445"/>
      <c r="M773" s="542"/>
      <c r="N773" s="445"/>
      <c r="O773" s="542"/>
      <c r="P773" s="445"/>
      <c r="Q773" s="542"/>
      <c r="R773" s="445"/>
      <c r="S773" s="542"/>
      <c r="T773" s="445"/>
      <c r="U773" s="552"/>
      <c r="V773" s="581"/>
      <c r="W773" s="582"/>
      <c r="X773" s="581"/>
      <c r="Y773" s="582"/>
      <c r="Z773" s="581"/>
      <c r="AA773" s="582"/>
      <c r="AB773" s="581"/>
      <c r="AC773" s="582"/>
      <c r="AD773" s="912"/>
      <c r="AE773" s="769">
        <f t="shared" si="545"/>
        <v>0</v>
      </c>
    </row>
    <row r="774" spans="1:31" s="595" customFormat="1" ht="6.75" customHeight="1" thickBot="1" x14ac:dyDescent="0.25">
      <c r="A774" s="919"/>
      <c r="B774" s="920"/>
      <c r="C774" s="919"/>
      <c r="D774" s="655"/>
      <c r="E774" s="656"/>
      <c r="F774" s="656"/>
      <c r="G774" s="656"/>
      <c r="H774" s="657"/>
      <c r="I774" s="658"/>
      <c r="J774" s="658"/>
      <c r="K774" s="659"/>
      <c r="L774" s="658"/>
      <c r="M774" s="174"/>
      <c r="N774" s="658"/>
      <c r="O774" s="174"/>
      <c r="P774" s="658"/>
      <c r="Q774" s="174"/>
      <c r="R774" s="658"/>
      <c r="S774" s="174"/>
      <c r="T774" s="658"/>
      <c r="U774" s="657"/>
      <c r="V774" s="667"/>
      <c r="W774" s="667"/>
      <c r="X774" s="667"/>
      <c r="Y774" s="667"/>
      <c r="Z774" s="667"/>
      <c r="AA774" s="667"/>
      <c r="AB774" s="667"/>
      <c r="AC774" s="667"/>
      <c r="AD774" s="912"/>
      <c r="AE774" s="769">
        <f t="shared" si="545"/>
        <v>0</v>
      </c>
    </row>
    <row r="775" spans="1:31" s="571" customFormat="1" ht="30" customHeight="1" thickTop="1" thickBot="1" x14ac:dyDescent="0.25">
      <c r="A775" s="564">
        <v>20</v>
      </c>
      <c r="B775" s="1045" t="s">
        <v>1917</v>
      </c>
      <c r="C775" s="1045"/>
      <c r="D775" s="1045"/>
      <c r="E775" s="1045"/>
      <c r="F775" s="1045"/>
      <c r="G775" s="180" t="e">
        <f>ROUND(+F776+F782+F801+F809+F815,10)</f>
        <v>#REF!</v>
      </c>
      <c r="H775" s="568"/>
      <c r="I775" s="616"/>
      <c r="J775" s="439" t="e">
        <f>+ROUND(J776+J782+J801+J809+J815,10)</f>
        <v>#REF!</v>
      </c>
      <c r="K775" s="617"/>
      <c r="L775" s="180" t="e">
        <f>+ROUND(L776+L782+L801+L809+L815,10)</f>
        <v>#REF!</v>
      </c>
      <c r="M775" s="180"/>
      <c r="N775" s="180" t="e">
        <f>+ROUND(N776+N782+N801+N809+N815,10)</f>
        <v>#REF!</v>
      </c>
      <c r="O775" s="180"/>
      <c r="P775" s="180" t="e">
        <f>+ROUND(P776+P782+P801+P809+P815,10)</f>
        <v>#REF!</v>
      </c>
      <c r="Q775" s="180"/>
      <c r="R775" s="180" t="e">
        <f>+ROUND(R776+R782+R801+R809+R815,10)</f>
        <v>#REF!</v>
      </c>
      <c r="S775" s="180"/>
      <c r="T775" s="180" t="e">
        <f>+ROUND(T776+T782+T801+T809+T815,10)</f>
        <v>#REF!</v>
      </c>
      <c r="U775" s="568"/>
      <c r="V775" s="569" t="e">
        <f>W775/$G$775</f>
        <v>#REF!</v>
      </c>
      <c r="W775" s="570" t="e">
        <f>ROUND(W776+W782+W801+W809+W815,10)</f>
        <v>#REF!</v>
      </c>
      <c r="X775" s="569" t="e">
        <f>Y775/$G$775</f>
        <v>#REF!</v>
      </c>
      <c r="Y775" s="570" t="e">
        <f>ROUND(Y776+Y782+Y801+Y809+Y815,10)</f>
        <v>#REF!</v>
      </c>
      <c r="Z775" s="569" t="e">
        <f>AA775/$G$775</f>
        <v>#REF!</v>
      </c>
      <c r="AA775" s="570" t="e">
        <f>ROUND(AA776+AA782+AA801+AA809+AA815,10)</f>
        <v>#REF!</v>
      </c>
      <c r="AB775" s="569" t="e">
        <f>AC775/$G$775</f>
        <v>#REF!</v>
      </c>
      <c r="AC775" s="570" t="e">
        <f>ROUND(AC776+AC782+AC801+AC809+AC815,10)</f>
        <v>#REF!</v>
      </c>
      <c r="AE775" s="769" t="e">
        <f t="shared" si="545"/>
        <v>#REF!</v>
      </c>
    </row>
    <row r="776" spans="1:31" ht="15" customHeight="1" thickTop="1" x14ac:dyDescent="0.2">
      <c r="A776" s="572" t="s">
        <v>1918</v>
      </c>
      <c r="B776" s="573" t="s">
        <v>1919</v>
      </c>
      <c r="C776" s="611"/>
      <c r="D776" s="576"/>
      <c r="E776" s="577"/>
      <c r="F776" s="626" t="e">
        <f>+ROUND(SUM(F777:F781),10)</f>
        <v>#REF!</v>
      </c>
      <c r="G776" s="578"/>
      <c r="I776" s="618"/>
      <c r="J776" s="439" t="e">
        <f>ROUND(SUM(J777:J781),10)</f>
        <v>#REF!</v>
      </c>
      <c r="K776" s="539"/>
      <c r="L776" s="180" t="e">
        <f>ROUND(SUM(L777:L781),10)</f>
        <v>#REF!</v>
      </c>
      <c r="M776" s="541"/>
      <c r="N776" s="180" t="e">
        <f>ROUND(SUM(N777:N781),10)</f>
        <v>#REF!</v>
      </c>
      <c r="O776" s="541"/>
      <c r="P776" s="180" t="e">
        <f>ROUND(SUM(P777:P781),10)</f>
        <v>#REF!</v>
      </c>
      <c r="Q776" s="541"/>
      <c r="R776" s="180" t="e">
        <f>ROUND(SUM(R777:R781),10)</f>
        <v>#REF!</v>
      </c>
      <c r="S776" s="541"/>
      <c r="T776" s="180" t="e">
        <f>ROUND(SUM(T777:T781),10)</f>
        <v>#REF!</v>
      </c>
      <c r="V776" s="581"/>
      <c r="W776" s="570" t="e">
        <f>ROUND(SUM(W777:W781),10)</f>
        <v>#REF!</v>
      </c>
      <c r="X776" s="581"/>
      <c r="Y776" s="570">
        <f>ROUND(SUM(Y777:Y781),10)</f>
        <v>2126388.2127999999</v>
      </c>
      <c r="Z776" s="581"/>
      <c r="AA776" s="570">
        <f>ROUND(SUM(AA777:AA781),10)</f>
        <v>538529.39599999995</v>
      </c>
      <c r="AB776" s="581"/>
      <c r="AC776" s="570">
        <f>ROUND(SUM(AC777:AC781),10)</f>
        <v>0</v>
      </c>
      <c r="AE776" s="769" t="e">
        <f t="shared" si="545"/>
        <v>#REF!</v>
      </c>
    </row>
    <row r="777" spans="1:31" ht="15" hidden="1" customHeight="1" x14ac:dyDescent="0.2">
      <c r="A777" s="611" t="s">
        <v>1920</v>
      </c>
      <c r="B777" s="601" t="s">
        <v>1921</v>
      </c>
      <c r="C777" s="611" t="s">
        <v>155</v>
      </c>
      <c r="D777" s="576">
        <f>+I777+K777+M777+O777+Q777+S777</f>
        <v>0</v>
      </c>
      <c r="E777" s="577">
        <f t="shared" ref="E777:E821" si="573">V777+X777+Z777+AB777</f>
        <v>0</v>
      </c>
      <c r="F777" s="577">
        <f>ROUND(D777*E777,10)</f>
        <v>0</v>
      </c>
      <c r="G777" s="578"/>
      <c r="I777" s="594"/>
      <c r="J777" s="580">
        <f>+ROUND(E777*I777,10)</f>
        <v>0</v>
      </c>
      <c r="K777" s="538"/>
      <c r="L777" s="445">
        <f>+ROUND(E777*K777,10)</f>
        <v>0</v>
      </c>
      <c r="M777" s="542"/>
      <c r="N777" s="445">
        <f>+ROUND(E777*M777,10)</f>
        <v>0</v>
      </c>
      <c r="O777" s="542"/>
      <c r="P777" s="445">
        <f>+ROUND(E777*O777,10)</f>
        <v>0</v>
      </c>
      <c r="Q777" s="542"/>
      <c r="R777" s="445">
        <f>+ROUND(E777*Q777,10)</f>
        <v>0</v>
      </c>
      <c r="S777" s="542"/>
      <c r="T777" s="445">
        <f>+ROUND(E777*S777,10)</f>
        <v>0</v>
      </c>
      <c r="V777" s="581"/>
      <c r="W777" s="582">
        <f>ROUND(V777*$D777,10)</f>
        <v>0</v>
      </c>
      <c r="X777" s="581"/>
      <c r="Y777" s="582">
        <f>ROUND(X777*$D777,10)</f>
        <v>0</v>
      </c>
      <c r="Z777" s="581"/>
      <c r="AA777" s="582">
        <f>ROUND(Z777*$D777,10)</f>
        <v>0</v>
      </c>
      <c r="AB777" s="581"/>
      <c r="AC777" s="582">
        <f>ROUND(AB777*$D777,10)</f>
        <v>0</v>
      </c>
      <c r="AE777" s="769">
        <f t="shared" si="545"/>
        <v>0</v>
      </c>
    </row>
    <row r="778" spans="1:31" ht="15" customHeight="1" x14ac:dyDescent="0.2">
      <c r="A778" s="611" t="s">
        <v>1922</v>
      </c>
      <c r="B778" s="601" t="s">
        <v>1923</v>
      </c>
      <c r="C778" s="611" t="s">
        <v>155</v>
      </c>
      <c r="D778" s="576">
        <f>+I778+K778+M778+O778+Q778+S778</f>
        <v>53.28</v>
      </c>
      <c r="E778" s="577">
        <f t="shared" si="573"/>
        <v>12930.050000000001</v>
      </c>
      <c r="F778" s="577">
        <f>ROUND(D778*E778,10)</f>
        <v>688913.06400000001</v>
      </c>
      <c r="G778" s="578"/>
      <c r="I778" s="584"/>
      <c r="J778" s="585">
        <f>+ROUND(E778*I778,10)</f>
        <v>0</v>
      </c>
      <c r="K778" s="537"/>
      <c r="L778" s="445">
        <f>+ROUND(E778*K778,10)</f>
        <v>0</v>
      </c>
      <c r="M778" s="542"/>
      <c r="N778" s="445">
        <f>+ROUND(E778*M778,10)</f>
        <v>0</v>
      </c>
      <c r="O778" s="542"/>
      <c r="P778" s="445">
        <f>+ROUND(E778*O778,10)</f>
        <v>0</v>
      </c>
      <c r="Q778" s="542"/>
      <c r="R778" s="445">
        <f>+ROUND(E778*Q778,10)</f>
        <v>0</v>
      </c>
      <c r="S778" s="542">
        <v>53.28</v>
      </c>
      <c r="T778" s="445">
        <f>+ROUND(E778*S778,10)</f>
        <v>688913.06400000001</v>
      </c>
      <c r="V778" s="581">
        <f>'20,1,2 Exc Man'!I19</f>
        <v>0</v>
      </c>
      <c r="W778" s="582">
        <f>ROUND(V778*$D778,10)</f>
        <v>0</v>
      </c>
      <c r="X778" s="581">
        <f>'20,1,2 Exc Man'!I50</f>
        <v>12855.85</v>
      </c>
      <c r="Y778" s="582">
        <f>ROUND(X778*$D778,10)</f>
        <v>684959.68799999997</v>
      </c>
      <c r="Z778" s="581">
        <f>'20,1,2 Exc Man'!I30</f>
        <v>74.2</v>
      </c>
      <c r="AA778" s="582">
        <f>ROUND(Z778*$D778,10)</f>
        <v>3953.3760000000002</v>
      </c>
      <c r="AB778" s="581">
        <f>'20,1,2 Exc Man'!I41</f>
        <v>0</v>
      </c>
      <c r="AC778" s="582">
        <f>ROUND(AB778*$D778,10)</f>
        <v>0</v>
      </c>
      <c r="AE778" s="769">
        <f t="shared" si="545"/>
        <v>0</v>
      </c>
    </row>
    <row r="779" spans="1:31" ht="15" hidden="1" customHeight="1" x14ac:dyDescent="0.2">
      <c r="A779" s="611" t="s">
        <v>1924</v>
      </c>
      <c r="B779" s="601" t="s">
        <v>1925</v>
      </c>
      <c r="C779" s="611" t="s">
        <v>155</v>
      </c>
      <c r="D779" s="576">
        <f>+I779+K779+M779+O779+Q779+S779</f>
        <v>0</v>
      </c>
      <c r="E779" s="577">
        <f t="shared" si="573"/>
        <v>0</v>
      </c>
      <c r="F779" s="577">
        <f>ROUND(D779*E779,10)</f>
        <v>0</v>
      </c>
      <c r="G779" s="578"/>
      <c r="I779" s="584"/>
      <c r="J779" s="585">
        <f>+ROUND(E779*I779,10)</f>
        <v>0</v>
      </c>
      <c r="K779" s="537"/>
      <c r="L779" s="445">
        <f>+ROUND(E779*K779,10)</f>
        <v>0</v>
      </c>
      <c r="M779" s="542"/>
      <c r="N779" s="445">
        <f>+ROUND(E779*M779,10)</f>
        <v>0</v>
      </c>
      <c r="O779" s="542"/>
      <c r="P779" s="445">
        <f>+ROUND(E779*O779,10)</f>
        <v>0</v>
      </c>
      <c r="Q779" s="542"/>
      <c r="R779" s="445">
        <f>+ROUND(E779*Q779,10)</f>
        <v>0</v>
      </c>
      <c r="S779" s="542"/>
      <c r="T779" s="445">
        <f>+ROUND(E779*S779,10)</f>
        <v>0</v>
      </c>
      <c r="V779" s="581"/>
      <c r="W779" s="582">
        <f>ROUND(V779*$D779,10)</f>
        <v>0</v>
      </c>
      <c r="X779" s="581"/>
      <c r="Y779" s="582">
        <f>ROUND(X779*$D779,10)</f>
        <v>0</v>
      </c>
      <c r="Z779" s="581"/>
      <c r="AA779" s="582">
        <f>ROUND(Z779*$D779,10)</f>
        <v>0</v>
      </c>
      <c r="AB779" s="581"/>
      <c r="AC779" s="582">
        <f>ROUND(AB779*$D779,10)</f>
        <v>0</v>
      </c>
      <c r="AE779" s="769">
        <f t="shared" si="545"/>
        <v>0</v>
      </c>
    </row>
    <row r="780" spans="1:31" ht="15.75" hidden="1" customHeight="1" x14ac:dyDescent="0.2">
      <c r="A780" s="611" t="s">
        <v>1926</v>
      </c>
      <c r="B780" s="601" t="s">
        <v>1927</v>
      </c>
      <c r="C780" s="611" t="s">
        <v>155</v>
      </c>
      <c r="D780" s="576">
        <f>+I780+K780+M780+O780+Q780+S780</f>
        <v>0</v>
      </c>
      <c r="E780" s="577">
        <f t="shared" si="573"/>
        <v>0</v>
      </c>
      <c r="F780" s="577">
        <f>ROUND(D780*E780,10)</f>
        <v>0</v>
      </c>
      <c r="G780" s="578"/>
      <c r="I780" s="584"/>
      <c r="J780" s="585">
        <f>+ROUND(E780*I780,10)</f>
        <v>0</v>
      </c>
      <c r="K780" s="537"/>
      <c r="L780" s="445">
        <f>+ROUND(E780*K780,10)</f>
        <v>0</v>
      </c>
      <c r="M780" s="542"/>
      <c r="N780" s="445">
        <f>+ROUND(E780*M780,10)</f>
        <v>0</v>
      </c>
      <c r="O780" s="542"/>
      <c r="P780" s="445">
        <f>+ROUND(E780*O780,10)</f>
        <v>0</v>
      </c>
      <c r="Q780" s="542"/>
      <c r="R780" s="445">
        <f>+ROUND(E780*Q780,10)</f>
        <v>0</v>
      </c>
      <c r="S780" s="542"/>
      <c r="T780" s="445">
        <f>+ROUND(E780*S780,10)</f>
        <v>0</v>
      </c>
      <c r="V780" s="581"/>
      <c r="W780" s="582">
        <f>ROUND(V780*$D780,10)</f>
        <v>0</v>
      </c>
      <c r="X780" s="581"/>
      <c r="Y780" s="582">
        <f>ROUND(X780*$D780,10)</f>
        <v>0</v>
      </c>
      <c r="Z780" s="581"/>
      <c r="AA780" s="582">
        <f>ROUND(Z780*$D780,10)</f>
        <v>0</v>
      </c>
      <c r="AB780" s="581"/>
      <c r="AC780" s="582">
        <f>ROUND(AB780*$D780,10)</f>
        <v>0</v>
      </c>
      <c r="AE780" s="769">
        <f t="shared" si="545"/>
        <v>0</v>
      </c>
    </row>
    <row r="781" spans="1:31" s="595" customFormat="1" ht="18" customHeight="1" x14ac:dyDescent="0.2">
      <c r="A781" s="611" t="s">
        <v>1928</v>
      </c>
      <c r="B781" s="649" t="s">
        <v>630</v>
      </c>
      <c r="C781" s="611" t="s">
        <v>155</v>
      </c>
      <c r="D781" s="576">
        <f>+I781+K781+M781+O781+Q781+S781</f>
        <v>79.42</v>
      </c>
      <c r="E781" s="577" t="e">
        <f t="shared" si="573"/>
        <v>#REF!</v>
      </c>
      <c r="F781" s="577" t="e">
        <f>ROUND(D781*E781,10)</f>
        <v>#REF!</v>
      </c>
      <c r="G781" s="578"/>
      <c r="H781" s="552"/>
      <c r="I781" s="597"/>
      <c r="J781" s="598" t="e">
        <f>+ROUND(E781*I781,10)</f>
        <v>#REF!</v>
      </c>
      <c r="K781" s="537"/>
      <c r="L781" s="445" t="e">
        <f>+ROUND(E781*K781,10)</f>
        <v>#REF!</v>
      </c>
      <c r="M781" s="542"/>
      <c r="N781" s="445" t="e">
        <f>+ROUND(E781*M781,10)</f>
        <v>#REF!</v>
      </c>
      <c r="O781" s="542"/>
      <c r="P781" s="445" t="e">
        <f>+ROUND(E781*O781,10)</f>
        <v>#REF!</v>
      </c>
      <c r="Q781" s="542"/>
      <c r="R781" s="445" t="e">
        <f>+ROUND(E781*Q781,10)</f>
        <v>#REF!</v>
      </c>
      <c r="S781" s="542">
        <f>43.9+35.52</f>
        <v>79.42</v>
      </c>
      <c r="T781" s="445" t="e">
        <f>+ROUND(E781*S781,10)</f>
        <v>#REF!</v>
      </c>
      <c r="U781" s="552"/>
      <c r="V781" s="581" t="e">
        <f>'20,1,5 Subbase recebo'!I19</f>
        <v>#REF!</v>
      </c>
      <c r="W781" s="582" t="e">
        <f>ROUND(V781*$D781,10)</f>
        <v>#REF!</v>
      </c>
      <c r="X781" s="581">
        <f>'20,1,5 Subbase recebo'!I50</f>
        <v>18149.439999999999</v>
      </c>
      <c r="Y781" s="582">
        <f>ROUND(X781*$D781,10)</f>
        <v>1441428.5248</v>
      </c>
      <c r="Z781" s="581">
        <f>'20,1,5 Subbase recebo'!I30</f>
        <v>6731</v>
      </c>
      <c r="AA781" s="582">
        <f>ROUND(Z781*$D781,10)</f>
        <v>534576.02</v>
      </c>
      <c r="AB781" s="581">
        <f>'20,1,5 Subbase recebo'!I41</f>
        <v>0</v>
      </c>
      <c r="AC781" s="582">
        <f>ROUND(AB781*$D781,10)</f>
        <v>0</v>
      </c>
      <c r="AD781" s="912"/>
      <c r="AE781" s="769" t="e">
        <f t="shared" si="545"/>
        <v>#REF!</v>
      </c>
    </row>
    <row r="782" spans="1:31" s="571" customFormat="1" ht="18" customHeight="1" x14ac:dyDescent="0.2">
      <c r="A782" s="572" t="s">
        <v>1929</v>
      </c>
      <c r="B782" s="573" t="s">
        <v>1930</v>
      </c>
      <c r="C782" s="846"/>
      <c r="D782" s="576"/>
      <c r="E782" s="577"/>
      <c r="F782" s="180" t="e">
        <f>+ROUND(SUM(F783:F800),10)</f>
        <v>#REF!</v>
      </c>
      <c r="G782" s="473"/>
      <c r="H782" s="568"/>
      <c r="I782" s="613"/>
      <c r="J782" s="440" t="e">
        <f>ROUND(SUM(J783:J800),10)</f>
        <v>#REF!</v>
      </c>
      <c r="K782" s="537"/>
      <c r="L782" s="180" t="e">
        <f>ROUND(SUM(L783:L800),10)</f>
        <v>#REF!</v>
      </c>
      <c r="M782" s="542"/>
      <c r="N782" s="180" t="e">
        <f>ROUND(SUM(N783:N800),10)</f>
        <v>#REF!</v>
      </c>
      <c r="O782" s="542"/>
      <c r="P782" s="180" t="e">
        <f>ROUND(SUM(P783:P800),10)</f>
        <v>#REF!</v>
      </c>
      <c r="Q782" s="542"/>
      <c r="R782" s="180" t="e">
        <f>ROUND(SUM(R783:R800),10)</f>
        <v>#REF!</v>
      </c>
      <c r="S782" s="542"/>
      <c r="T782" s="180" t="e">
        <f>ROUND(SUM(T783:T800),10)</f>
        <v>#REF!</v>
      </c>
      <c r="U782" s="568"/>
      <c r="V782" s="575"/>
      <c r="W782" s="570" t="e">
        <f>ROUND(SUM(W783:W800),10)</f>
        <v>#REF!</v>
      </c>
      <c r="X782" s="575"/>
      <c r="Y782" s="570" t="e">
        <f>ROUND(SUM(Y783:Y800),10)</f>
        <v>#REF!</v>
      </c>
      <c r="Z782" s="575"/>
      <c r="AA782" s="570" t="e">
        <f>ROUND(SUM(AA783:AA800),10)</f>
        <v>#REF!</v>
      </c>
      <c r="AB782" s="575"/>
      <c r="AC782" s="570">
        <f>ROUND(SUM(AC783:AC800),10)</f>
        <v>0</v>
      </c>
      <c r="AE782" s="769" t="e">
        <f t="shared" si="545"/>
        <v>#REF!</v>
      </c>
    </row>
    <row r="783" spans="1:31" ht="25.5" x14ac:dyDescent="0.2">
      <c r="A783" s="611" t="s">
        <v>1931</v>
      </c>
      <c r="B783" s="601" t="s">
        <v>1932</v>
      </c>
      <c r="C783" s="611" t="s">
        <v>130</v>
      </c>
      <c r="D783" s="576">
        <f t="shared" ref="D783:D800" si="574">+I783+K783+M783+O783+Q783+S783</f>
        <v>345.55</v>
      </c>
      <c r="E783" s="577" t="e">
        <f t="shared" si="573"/>
        <v>#REF!</v>
      </c>
      <c r="F783" s="577" t="e">
        <f t="shared" ref="F783:F800" si="575">ROUND(D783*E783,10)</f>
        <v>#REF!</v>
      </c>
      <c r="G783" s="578"/>
      <c r="I783" s="594"/>
      <c r="J783" s="580" t="e">
        <f t="shared" ref="J783:J800" si="576">+ROUND(E783*I783,10)</f>
        <v>#REF!</v>
      </c>
      <c r="K783" s="770"/>
      <c r="L783" s="445" t="e">
        <f t="shared" ref="L783:L800" si="577">+ROUND(E783*K783,10)</f>
        <v>#REF!</v>
      </c>
      <c r="M783" s="542"/>
      <c r="N783" s="445" t="e">
        <f t="shared" ref="N783:N800" si="578">+ROUND(E783*M783,10)</f>
        <v>#REF!</v>
      </c>
      <c r="O783" s="542"/>
      <c r="P783" s="445" t="e">
        <f t="shared" ref="P783:P800" si="579">+ROUND(E783*O783,10)</f>
        <v>#REF!</v>
      </c>
      <c r="Q783" s="542"/>
      <c r="R783" s="445" t="e">
        <f t="shared" ref="R783:R800" si="580">+ROUND(E783*Q783,10)</f>
        <v>#REF!</v>
      </c>
      <c r="S783" s="542">
        <v>345.55</v>
      </c>
      <c r="T783" s="445" t="e">
        <f t="shared" ref="T783:T800" si="581">+ROUND(E783*S783,10)</f>
        <v>#REF!</v>
      </c>
      <c r="V783" s="581" t="e">
        <f>+#REF!</f>
        <v>#REF!</v>
      </c>
      <c r="W783" s="582" t="e">
        <f t="shared" ref="W783:W800" si="582">ROUND(V783*$D783,10)</f>
        <v>#REF!</v>
      </c>
      <c r="X783" s="581" t="e">
        <f>+#REF!</f>
        <v>#REF!</v>
      </c>
      <c r="Y783" s="582" t="e">
        <f t="shared" ref="Y783:Y800" si="583">ROUND(X783*$D783,10)</f>
        <v>#REF!</v>
      </c>
      <c r="Z783" s="581" t="e">
        <f>+#REF!</f>
        <v>#REF!</v>
      </c>
      <c r="AA783" s="582" t="e">
        <f t="shared" ref="AA783:AA800" si="584">ROUND(Z783*$D783,10)</f>
        <v>#REF!</v>
      </c>
      <c r="AB783" s="581"/>
      <c r="AC783" s="582">
        <f t="shared" ref="AC783:AC800" si="585">ROUND(AB783*$D783,10)</f>
        <v>0</v>
      </c>
      <c r="AE783" s="769" t="e">
        <f t="shared" si="545"/>
        <v>#REF!</v>
      </c>
    </row>
    <row r="784" spans="1:31" x14ac:dyDescent="0.2">
      <c r="A784" s="611" t="s">
        <v>1933</v>
      </c>
      <c r="B784" s="601" t="s">
        <v>1934</v>
      </c>
      <c r="C784" s="611" t="s">
        <v>114</v>
      </c>
      <c r="D784" s="576">
        <f t="shared" si="574"/>
        <v>304.83</v>
      </c>
      <c r="E784" s="577" t="e">
        <f t="shared" si="573"/>
        <v>#REF!</v>
      </c>
      <c r="F784" s="577" t="e">
        <f t="shared" si="575"/>
        <v>#REF!</v>
      </c>
      <c r="G784" s="578"/>
      <c r="I784" s="584"/>
      <c r="J784" s="585" t="e">
        <f t="shared" si="576"/>
        <v>#REF!</v>
      </c>
      <c r="K784" s="537"/>
      <c r="L784" s="445" t="e">
        <f t="shared" si="577"/>
        <v>#REF!</v>
      </c>
      <c r="M784" s="542"/>
      <c r="N784" s="445" t="e">
        <f t="shared" si="578"/>
        <v>#REF!</v>
      </c>
      <c r="O784" s="542"/>
      <c r="P784" s="445" t="e">
        <f t="shared" si="579"/>
        <v>#REF!</v>
      </c>
      <c r="Q784" s="771"/>
      <c r="R784" s="445" t="e">
        <f t="shared" si="580"/>
        <v>#REF!</v>
      </c>
      <c r="S784" s="542">
        <f>234.29+70.54</f>
        <v>304.83</v>
      </c>
      <c r="T784" s="445" t="e">
        <f t="shared" si="581"/>
        <v>#REF!</v>
      </c>
      <c r="V784" s="581" t="e">
        <f>+#REF!</f>
        <v>#REF!</v>
      </c>
      <c r="W784" s="582" t="e">
        <f t="shared" si="582"/>
        <v>#REF!</v>
      </c>
      <c r="X784" s="581" t="e">
        <f>+#REF!</f>
        <v>#REF!</v>
      </c>
      <c r="Y784" s="582" t="e">
        <f t="shared" si="583"/>
        <v>#REF!</v>
      </c>
      <c r="Z784" s="581" t="e">
        <f>+#REF!</f>
        <v>#REF!</v>
      </c>
      <c r="AA784" s="582" t="e">
        <f t="shared" si="584"/>
        <v>#REF!</v>
      </c>
      <c r="AB784" s="581"/>
      <c r="AC784" s="582">
        <f t="shared" si="585"/>
        <v>0</v>
      </c>
      <c r="AE784" s="769" t="e">
        <f t="shared" si="545"/>
        <v>#REF!</v>
      </c>
    </row>
    <row r="785" spans="1:31" ht="15" hidden="1" customHeight="1" x14ac:dyDescent="0.2">
      <c r="A785" s="611" t="s">
        <v>1935</v>
      </c>
      <c r="B785" s="601" t="s">
        <v>805</v>
      </c>
      <c r="C785" s="611" t="s">
        <v>130</v>
      </c>
      <c r="D785" s="576">
        <f t="shared" si="574"/>
        <v>0</v>
      </c>
      <c r="E785" s="577">
        <f t="shared" si="573"/>
        <v>0</v>
      </c>
      <c r="F785" s="577">
        <f t="shared" si="575"/>
        <v>0</v>
      </c>
      <c r="G785" s="578"/>
      <c r="I785" s="584"/>
      <c r="J785" s="585">
        <f t="shared" si="576"/>
        <v>0</v>
      </c>
      <c r="K785" s="537"/>
      <c r="L785" s="445">
        <f t="shared" si="577"/>
        <v>0</v>
      </c>
      <c r="M785" s="542"/>
      <c r="N785" s="445">
        <f t="shared" si="578"/>
        <v>0</v>
      </c>
      <c r="O785" s="542"/>
      <c r="P785" s="445">
        <f t="shared" si="579"/>
        <v>0</v>
      </c>
      <c r="Q785" s="542"/>
      <c r="R785" s="445">
        <f t="shared" si="580"/>
        <v>0</v>
      </c>
      <c r="S785" s="542"/>
      <c r="T785" s="445">
        <f t="shared" si="581"/>
        <v>0</v>
      </c>
      <c r="V785" s="581"/>
      <c r="W785" s="582">
        <f t="shared" si="582"/>
        <v>0</v>
      </c>
      <c r="X785" s="581"/>
      <c r="Y785" s="582">
        <f t="shared" si="583"/>
        <v>0</v>
      </c>
      <c r="Z785" s="581"/>
      <c r="AA785" s="582">
        <f t="shared" si="584"/>
        <v>0</v>
      </c>
      <c r="AB785" s="581"/>
      <c r="AC785" s="582">
        <f t="shared" si="585"/>
        <v>0</v>
      </c>
      <c r="AE785" s="769">
        <f t="shared" si="545"/>
        <v>0</v>
      </c>
    </row>
    <row r="786" spans="1:31" ht="15" hidden="1" customHeight="1" x14ac:dyDescent="0.2">
      <c r="A786" s="611" t="s">
        <v>1936</v>
      </c>
      <c r="B786" s="601" t="s">
        <v>942</v>
      </c>
      <c r="C786" s="611" t="s">
        <v>114</v>
      </c>
      <c r="D786" s="576">
        <f t="shared" si="574"/>
        <v>0</v>
      </c>
      <c r="E786" s="577">
        <f t="shared" si="573"/>
        <v>0</v>
      </c>
      <c r="F786" s="577">
        <f t="shared" si="575"/>
        <v>0</v>
      </c>
      <c r="G786" s="578"/>
      <c r="I786" s="584"/>
      <c r="J786" s="585">
        <f t="shared" si="576"/>
        <v>0</v>
      </c>
      <c r="K786" s="537"/>
      <c r="L786" s="445">
        <f t="shared" si="577"/>
        <v>0</v>
      </c>
      <c r="M786" s="542"/>
      <c r="N786" s="445">
        <f t="shared" si="578"/>
        <v>0</v>
      </c>
      <c r="O786" s="542"/>
      <c r="P786" s="445">
        <f t="shared" si="579"/>
        <v>0</v>
      </c>
      <c r="Q786" s="542"/>
      <c r="R786" s="445">
        <f t="shared" si="580"/>
        <v>0</v>
      </c>
      <c r="S786" s="542"/>
      <c r="T786" s="445">
        <f t="shared" si="581"/>
        <v>0</v>
      </c>
      <c r="V786" s="581"/>
      <c r="W786" s="582">
        <f t="shared" si="582"/>
        <v>0</v>
      </c>
      <c r="X786" s="581"/>
      <c r="Y786" s="582">
        <f t="shared" si="583"/>
        <v>0</v>
      </c>
      <c r="Z786" s="581"/>
      <c r="AA786" s="582">
        <f t="shared" si="584"/>
        <v>0</v>
      </c>
      <c r="AB786" s="581"/>
      <c r="AC786" s="582">
        <f t="shared" si="585"/>
        <v>0</v>
      </c>
      <c r="AE786" s="769">
        <f t="shared" ref="AE786:AE838" si="586">SUM(AC786,AA786,Y786,W786)-SUM(T786,R786,P786,N786,L786)</f>
        <v>0</v>
      </c>
    </row>
    <row r="787" spans="1:31" ht="15" hidden="1" customHeight="1" x14ac:dyDescent="0.2">
      <c r="A787" s="611" t="s">
        <v>1937</v>
      </c>
      <c r="B787" s="601" t="s">
        <v>1938</v>
      </c>
      <c r="C787" s="611" t="s">
        <v>130</v>
      </c>
      <c r="D787" s="576">
        <f t="shared" si="574"/>
        <v>0</v>
      </c>
      <c r="E787" s="577">
        <f t="shared" si="573"/>
        <v>0</v>
      </c>
      <c r="F787" s="577">
        <f t="shared" si="575"/>
        <v>0</v>
      </c>
      <c r="G787" s="578"/>
      <c r="I787" s="584"/>
      <c r="J787" s="585">
        <f t="shared" si="576"/>
        <v>0</v>
      </c>
      <c r="K787" s="537"/>
      <c r="L787" s="445">
        <f t="shared" si="577"/>
        <v>0</v>
      </c>
      <c r="M787" s="542"/>
      <c r="N787" s="445">
        <f t="shared" si="578"/>
        <v>0</v>
      </c>
      <c r="O787" s="542"/>
      <c r="P787" s="445">
        <f t="shared" si="579"/>
        <v>0</v>
      </c>
      <c r="Q787" s="542"/>
      <c r="R787" s="445">
        <f t="shared" si="580"/>
        <v>0</v>
      </c>
      <c r="S787" s="542"/>
      <c r="T787" s="445">
        <f t="shared" si="581"/>
        <v>0</v>
      </c>
      <c r="V787" s="581"/>
      <c r="W787" s="582">
        <f t="shared" si="582"/>
        <v>0</v>
      </c>
      <c r="X787" s="581"/>
      <c r="Y787" s="582">
        <f t="shared" si="583"/>
        <v>0</v>
      </c>
      <c r="Z787" s="581"/>
      <c r="AA787" s="582">
        <f t="shared" si="584"/>
        <v>0</v>
      </c>
      <c r="AB787" s="581"/>
      <c r="AC787" s="582">
        <f t="shared" si="585"/>
        <v>0</v>
      </c>
      <c r="AE787" s="769">
        <f t="shared" si="586"/>
        <v>0</v>
      </c>
    </row>
    <row r="788" spans="1:31" ht="15" hidden="1" customHeight="1" x14ac:dyDescent="0.2">
      <c r="A788" s="611" t="s">
        <v>1939</v>
      </c>
      <c r="B788" s="601" t="s">
        <v>1940</v>
      </c>
      <c r="C788" s="611" t="s">
        <v>130</v>
      </c>
      <c r="D788" s="576">
        <f t="shared" si="574"/>
        <v>0</v>
      </c>
      <c r="E788" s="577">
        <f t="shared" si="573"/>
        <v>0</v>
      </c>
      <c r="F788" s="577">
        <f t="shared" si="575"/>
        <v>0</v>
      </c>
      <c r="G788" s="578"/>
      <c r="I788" s="584"/>
      <c r="J788" s="585">
        <f t="shared" si="576"/>
        <v>0</v>
      </c>
      <c r="K788" s="537"/>
      <c r="L788" s="445">
        <f t="shared" si="577"/>
        <v>0</v>
      </c>
      <c r="M788" s="542"/>
      <c r="N788" s="445">
        <f t="shared" si="578"/>
        <v>0</v>
      </c>
      <c r="O788" s="542"/>
      <c r="P788" s="445">
        <f t="shared" si="579"/>
        <v>0</v>
      </c>
      <c r="Q788" s="542"/>
      <c r="R788" s="445">
        <f t="shared" si="580"/>
        <v>0</v>
      </c>
      <c r="S788" s="542"/>
      <c r="T788" s="445">
        <f t="shared" si="581"/>
        <v>0</v>
      </c>
      <c r="V788" s="575"/>
      <c r="W788" s="582">
        <f t="shared" si="582"/>
        <v>0</v>
      </c>
      <c r="X788" s="575"/>
      <c r="Y788" s="582">
        <f t="shared" si="583"/>
        <v>0</v>
      </c>
      <c r="Z788" s="575"/>
      <c r="AA788" s="582">
        <f t="shared" si="584"/>
        <v>0</v>
      </c>
      <c r="AB788" s="575"/>
      <c r="AC788" s="582">
        <f t="shared" si="585"/>
        <v>0</v>
      </c>
      <c r="AE788" s="769">
        <f t="shared" si="586"/>
        <v>0</v>
      </c>
    </row>
    <row r="789" spans="1:31" ht="15" hidden="1" customHeight="1" x14ac:dyDescent="0.2">
      <c r="A789" s="611" t="s">
        <v>1941</v>
      </c>
      <c r="B789" s="601" t="s">
        <v>1942</v>
      </c>
      <c r="C789" s="611" t="s">
        <v>130</v>
      </c>
      <c r="D789" s="576">
        <f t="shared" si="574"/>
        <v>0</v>
      </c>
      <c r="E789" s="577">
        <f t="shared" si="573"/>
        <v>0</v>
      </c>
      <c r="F789" s="577">
        <f t="shared" si="575"/>
        <v>0</v>
      </c>
      <c r="G789" s="578"/>
      <c r="I789" s="584"/>
      <c r="J789" s="585">
        <f t="shared" si="576"/>
        <v>0</v>
      </c>
      <c r="K789" s="537"/>
      <c r="L789" s="445">
        <f t="shared" si="577"/>
        <v>0</v>
      </c>
      <c r="M789" s="542"/>
      <c r="N789" s="445">
        <f t="shared" si="578"/>
        <v>0</v>
      </c>
      <c r="O789" s="542"/>
      <c r="P789" s="445">
        <f t="shared" si="579"/>
        <v>0</v>
      </c>
      <c r="Q789" s="542"/>
      <c r="R789" s="445">
        <f t="shared" si="580"/>
        <v>0</v>
      </c>
      <c r="S789" s="542"/>
      <c r="T789" s="445">
        <f t="shared" si="581"/>
        <v>0</v>
      </c>
      <c r="V789" s="581"/>
      <c r="W789" s="582">
        <f t="shared" si="582"/>
        <v>0</v>
      </c>
      <c r="X789" s="581"/>
      <c r="Y789" s="582">
        <f t="shared" si="583"/>
        <v>0</v>
      </c>
      <c r="Z789" s="581"/>
      <c r="AA789" s="582">
        <f t="shared" si="584"/>
        <v>0</v>
      </c>
      <c r="AB789" s="581"/>
      <c r="AC789" s="582">
        <f t="shared" si="585"/>
        <v>0</v>
      </c>
      <c r="AE789" s="769">
        <f t="shared" si="586"/>
        <v>0</v>
      </c>
    </row>
    <row r="790" spans="1:31" ht="15" hidden="1" customHeight="1" x14ac:dyDescent="0.2">
      <c r="A790" s="611" t="s">
        <v>1943</v>
      </c>
      <c r="B790" s="601" t="s">
        <v>1944</v>
      </c>
      <c r="C790" s="611" t="s">
        <v>130</v>
      </c>
      <c r="D790" s="576">
        <f t="shared" si="574"/>
        <v>0</v>
      </c>
      <c r="E790" s="577">
        <f t="shared" si="573"/>
        <v>0</v>
      </c>
      <c r="F790" s="577">
        <f t="shared" si="575"/>
        <v>0</v>
      </c>
      <c r="G790" s="578"/>
      <c r="I790" s="584"/>
      <c r="J790" s="585">
        <f t="shared" si="576"/>
        <v>0</v>
      </c>
      <c r="K790" s="537"/>
      <c r="L790" s="445">
        <f t="shared" si="577"/>
        <v>0</v>
      </c>
      <c r="M790" s="542"/>
      <c r="N790" s="445">
        <f t="shared" si="578"/>
        <v>0</v>
      </c>
      <c r="O790" s="542"/>
      <c r="P790" s="445">
        <f t="shared" si="579"/>
        <v>0</v>
      </c>
      <c r="Q790" s="542"/>
      <c r="R790" s="445">
        <f t="shared" si="580"/>
        <v>0</v>
      </c>
      <c r="S790" s="542"/>
      <c r="T790" s="445">
        <f t="shared" si="581"/>
        <v>0</v>
      </c>
      <c r="V790" s="581"/>
      <c r="W790" s="582">
        <f t="shared" si="582"/>
        <v>0</v>
      </c>
      <c r="X790" s="581"/>
      <c r="Y790" s="582">
        <f t="shared" si="583"/>
        <v>0</v>
      </c>
      <c r="Z790" s="581"/>
      <c r="AA790" s="582">
        <f t="shared" si="584"/>
        <v>0</v>
      </c>
      <c r="AB790" s="581"/>
      <c r="AC790" s="582">
        <f t="shared" si="585"/>
        <v>0</v>
      </c>
      <c r="AE790" s="769">
        <f t="shared" si="586"/>
        <v>0</v>
      </c>
    </row>
    <row r="791" spans="1:31" ht="15" hidden="1" customHeight="1" x14ac:dyDescent="0.2">
      <c r="A791" s="611" t="s">
        <v>1945</v>
      </c>
      <c r="B791" s="601" t="s">
        <v>1946</v>
      </c>
      <c r="C791" s="611" t="s">
        <v>114</v>
      </c>
      <c r="D791" s="576">
        <f t="shared" si="574"/>
        <v>0</v>
      </c>
      <c r="E791" s="577">
        <f t="shared" si="573"/>
        <v>0</v>
      </c>
      <c r="F791" s="577">
        <f t="shared" si="575"/>
        <v>0</v>
      </c>
      <c r="G791" s="578"/>
      <c r="I791" s="584"/>
      <c r="J791" s="585">
        <f t="shared" si="576"/>
        <v>0</v>
      </c>
      <c r="K791" s="537"/>
      <c r="L791" s="445">
        <f t="shared" si="577"/>
        <v>0</v>
      </c>
      <c r="M791" s="542"/>
      <c r="N791" s="445">
        <f t="shared" si="578"/>
        <v>0</v>
      </c>
      <c r="O791" s="542"/>
      <c r="P791" s="445">
        <f t="shared" si="579"/>
        <v>0</v>
      </c>
      <c r="Q791" s="542"/>
      <c r="R791" s="445">
        <f t="shared" si="580"/>
        <v>0</v>
      </c>
      <c r="S791" s="542"/>
      <c r="T791" s="445">
        <f t="shared" si="581"/>
        <v>0</v>
      </c>
      <c r="V791" s="581"/>
      <c r="W791" s="582">
        <f t="shared" si="582"/>
        <v>0</v>
      </c>
      <c r="X791" s="581"/>
      <c r="Y791" s="582">
        <f t="shared" si="583"/>
        <v>0</v>
      </c>
      <c r="Z791" s="581"/>
      <c r="AA791" s="582">
        <f t="shared" si="584"/>
        <v>0</v>
      </c>
      <c r="AB791" s="581"/>
      <c r="AC791" s="582">
        <f t="shared" si="585"/>
        <v>0</v>
      </c>
      <c r="AE791" s="769">
        <f t="shared" si="586"/>
        <v>0</v>
      </c>
    </row>
    <row r="792" spans="1:31" ht="15" hidden="1" customHeight="1" x14ac:dyDescent="0.2">
      <c r="A792" s="611" t="s">
        <v>1947</v>
      </c>
      <c r="B792" s="601" t="s">
        <v>1512</v>
      </c>
      <c r="C792" s="611" t="s">
        <v>114</v>
      </c>
      <c r="D792" s="576">
        <f t="shared" si="574"/>
        <v>0</v>
      </c>
      <c r="E792" s="577">
        <f t="shared" si="573"/>
        <v>0</v>
      </c>
      <c r="F792" s="577">
        <f t="shared" si="575"/>
        <v>0</v>
      </c>
      <c r="G792" s="578"/>
      <c r="I792" s="584"/>
      <c r="J792" s="585">
        <f t="shared" si="576"/>
        <v>0</v>
      </c>
      <c r="K792" s="537"/>
      <c r="L792" s="445">
        <f t="shared" si="577"/>
        <v>0</v>
      </c>
      <c r="M792" s="542"/>
      <c r="N792" s="445">
        <f t="shared" si="578"/>
        <v>0</v>
      </c>
      <c r="O792" s="542"/>
      <c r="P792" s="445">
        <f t="shared" si="579"/>
        <v>0</v>
      </c>
      <c r="Q792" s="542"/>
      <c r="R792" s="445">
        <f t="shared" si="580"/>
        <v>0</v>
      </c>
      <c r="S792" s="542"/>
      <c r="T792" s="445">
        <f t="shared" si="581"/>
        <v>0</v>
      </c>
      <c r="V792" s="581"/>
      <c r="W792" s="582">
        <f t="shared" si="582"/>
        <v>0</v>
      </c>
      <c r="X792" s="581"/>
      <c r="Y792" s="582">
        <f t="shared" si="583"/>
        <v>0</v>
      </c>
      <c r="Z792" s="581"/>
      <c r="AA792" s="582">
        <f t="shared" si="584"/>
        <v>0</v>
      </c>
      <c r="AB792" s="581"/>
      <c r="AC792" s="582">
        <f t="shared" si="585"/>
        <v>0</v>
      </c>
      <c r="AE792" s="769">
        <f t="shared" si="586"/>
        <v>0</v>
      </c>
    </row>
    <row r="793" spans="1:31" ht="15" hidden="1" customHeight="1" x14ac:dyDescent="0.2">
      <c r="A793" s="611" t="s">
        <v>1948</v>
      </c>
      <c r="B793" s="601" t="s">
        <v>1949</v>
      </c>
      <c r="C793" s="611" t="s">
        <v>130</v>
      </c>
      <c r="D793" s="576">
        <f t="shared" si="574"/>
        <v>0</v>
      </c>
      <c r="E793" s="577">
        <f t="shared" si="573"/>
        <v>0</v>
      </c>
      <c r="F793" s="577">
        <f t="shared" si="575"/>
        <v>0</v>
      </c>
      <c r="G793" s="578"/>
      <c r="I793" s="584"/>
      <c r="J793" s="585">
        <f t="shared" si="576"/>
        <v>0</v>
      </c>
      <c r="K793" s="537"/>
      <c r="L793" s="445">
        <f t="shared" si="577"/>
        <v>0</v>
      </c>
      <c r="M793" s="542"/>
      <c r="N793" s="445">
        <f t="shared" si="578"/>
        <v>0</v>
      </c>
      <c r="O793" s="542"/>
      <c r="P793" s="445">
        <f t="shared" si="579"/>
        <v>0</v>
      </c>
      <c r="Q793" s="542"/>
      <c r="R793" s="445">
        <f t="shared" si="580"/>
        <v>0</v>
      </c>
      <c r="S793" s="542"/>
      <c r="T793" s="445">
        <f t="shared" si="581"/>
        <v>0</v>
      </c>
      <c r="V793" s="581"/>
      <c r="W793" s="582">
        <f t="shared" si="582"/>
        <v>0</v>
      </c>
      <c r="X793" s="581"/>
      <c r="Y793" s="582">
        <f t="shared" si="583"/>
        <v>0</v>
      </c>
      <c r="Z793" s="581"/>
      <c r="AA793" s="582">
        <f t="shared" si="584"/>
        <v>0</v>
      </c>
      <c r="AB793" s="581"/>
      <c r="AC793" s="582">
        <f t="shared" si="585"/>
        <v>0</v>
      </c>
      <c r="AE793" s="769">
        <f t="shared" si="586"/>
        <v>0</v>
      </c>
    </row>
    <row r="794" spans="1:31" ht="15" hidden="1" customHeight="1" x14ac:dyDescent="0.2">
      <c r="A794" s="611" t="s">
        <v>1950</v>
      </c>
      <c r="B794" s="601" t="s">
        <v>1951</v>
      </c>
      <c r="C794" s="611" t="s">
        <v>130</v>
      </c>
      <c r="D794" s="576">
        <f t="shared" si="574"/>
        <v>0</v>
      </c>
      <c r="E794" s="577">
        <f t="shared" si="573"/>
        <v>0</v>
      </c>
      <c r="F794" s="577">
        <f t="shared" si="575"/>
        <v>0</v>
      </c>
      <c r="G794" s="578"/>
      <c r="I794" s="584"/>
      <c r="J794" s="585">
        <f t="shared" si="576"/>
        <v>0</v>
      </c>
      <c r="K794" s="537"/>
      <c r="L794" s="445">
        <f t="shared" si="577"/>
        <v>0</v>
      </c>
      <c r="M794" s="542"/>
      <c r="N794" s="445">
        <f t="shared" si="578"/>
        <v>0</v>
      </c>
      <c r="O794" s="542"/>
      <c r="P794" s="445">
        <f t="shared" si="579"/>
        <v>0</v>
      </c>
      <c r="Q794" s="542"/>
      <c r="R794" s="445">
        <f t="shared" si="580"/>
        <v>0</v>
      </c>
      <c r="S794" s="542"/>
      <c r="T794" s="445">
        <f t="shared" si="581"/>
        <v>0</v>
      </c>
      <c r="V794" s="581"/>
      <c r="W794" s="582">
        <f t="shared" si="582"/>
        <v>0</v>
      </c>
      <c r="X794" s="581"/>
      <c r="Y794" s="582">
        <f t="shared" si="583"/>
        <v>0</v>
      </c>
      <c r="Z794" s="581"/>
      <c r="AA794" s="582">
        <f t="shared" si="584"/>
        <v>0</v>
      </c>
      <c r="AB794" s="581"/>
      <c r="AC794" s="582">
        <f t="shared" si="585"/>
        <v>0</v>
      </c>
      <c r="AE794" s="769">
        <f t="shared" si="586"/>
        <v>0</v>
      </c>
    </row>
    <row r="795" spans="1:31" ht="15" hidden="1" customHeight="1" x14ac:dyDescent="0.2">
      <c r="A795" s="611" t="s">
        <v>1952</v>
      </c>
      <c r="B795" s="610" t="s">
        <v>1953</v>
      </c>
      <c r="C795" s="611" t="s">
        <v>114</v>
      </c>
      <c r="D795" s="576">
        <f t="shared" si="574"/>
        <v>0</v>
      </c>
      <c r="E795" s="577" t="e">
        <f t="shared" si="573"/>
        <v>#REF!</v>
      </c>
      <c r="F795" s="577" t="e">
        <f t="shared" si="575"/>
        <v>#REF!</v>
      </c>
      <c r="G795" s="578"/>
      <c r="I795" s="584"/>
      <c r="J795" s="585" t="e">
        <f t="shared" si="576"/>
        <v>#REF!</v>
      </c>
      <c r="K795" s="537"/>
      <c r="L795" s="445" t="e">
        <f t="shared" si="577"/>
        <v>#REF!</v>
      </c>
      <c r="M795" s="542"/>
      <c r="N795" s="445" t="e">
        <f t="shared" si="578"/>
        <v>#REF!</v>
      </c>
      <c r="O795" s="542"/>
      <c r="P795" s="445" t="e">
        <f t="shared" si="579"/>
        <v>#REF!</v>
      </c>
      <c r="Q795" s="542"/>
      <c r="R795" s="445" t="e">
        <f t="shared" si="580"/>
        <v>#REF!</v>
      </c>
      <c r="S795" s="542"/>
      <c r="T795" s="445" t="e">
        <f t="shared" si="581"/>
        <v>#REF!</v>
      </c>
      <c r="V795" s="581" t="e">
        <f>+'20,2,13 Escalinatas'!I19</f>
        <v>#REF!</v>
      </c>
      <c r="W795" s="582" t="e">
        <f t="shared" si="582"/>
        <v>#REF!</v>
      </c>
      <c r="X795" s="581">
        <f>+'20,2,13 Escalinatas'!I50</f>
        <v>23517.79</v>
      </c>
      <c r="Y795" s="582">
        <f t="shared" si="583"/>
        <v>0</v>
      </c>
      <c r="Z795" s="581">
        <f>+'20,2,13 Escalinatas'!I30</f>
        <v>259.7</v>
      </c>
      <c r="AA795" s="582">
        <f t="shared" si="584"/>
        <v>0</v>
      </c>
      <c r="AB795" s="581">
        <f>+'20,2,13 Escalinatas'!I41</f>
        <v>0</v>
      </c>
      <c r="AC795" s="582">
        <f t="shared" si="585"/>
        <v>0</v>
      </c>
      <c r="AE795" s="769" t="e">
        <f t="shared" si="586"/>
        <v>#REF!</v>
      </c>
    </row>
    <row r="796" spans="1:31" ht="15" hidden="1" customHeight="1" x14ac:dyDescent="0.2">
      <c r="A796" s="611" t="s">
        <v>1954</v>
      </c>
      <c r="B796" s="601" t="s">
        <v>1955</v>
      </c>
      <c r="C796" s="611" t="s">
        <v>114</v>
      </c>
      <c r="D796" s="576">
        <f t="shared" si="574"/>
        <v>0</v>
      </c>
      <c r="E796" s="577">
        <f t="shared" si="573"/>
        <v>0</v>
      </c>
      <c r="F796" s="577">
        <f t="shared" si="575"/>
        <v>0</v>
      </c>
      <c r="G796" s="578"/>
      <c r="I796" s="584"/>
      <c r="J796" s="585">
        <f t="shared" si="576"/>
        <v>0</v>
      </c>
      <c r="K796" s="537"/>
      <c r="L796" s="445">
        <f t="shared" si="577"/>
        <v>0</v>
      </c>
      <c r="M796" s="542"/>
      <c r="N796" s="445">
        <f t="shared" si="578"/>
        <v>0</v>
      </c>
      <c r="O796" s="542"/>
      <c r="P796" s="445">
        <f t="shared" si="579"/>
        <v>0</v>
      </c>
      <c r="Q796" s="542"/>
      <c r="R796" s="445">
        <f t="shared" si="580"/>
        <v>0</v>
      </c>
      <c r="S796" s="542"/>
      <c r="T796" s="445">
        <f t="shared" si="581"/>
        <v>0</v>
      </c>
      <c r="V796" s="581"/>
      <c r="W796" s="582">
        <f t="shared" si="582"/>
        <v>0</v>
      </c>
      <c r="X796" s="581"/>
      <c r="Y796" s="582">
        <f t="shared" si="583"/>
        <v>0</v>
      </c>
      <c r="Z796" s="581"/>
      <c r="AA796" s="582">
        <f t="shared" si="584"/>
        <v>0</v>
      </c>
      <c r="AB796" s="581"/>
      <c r="AC796" s="582">
        <f t="shared" si="585"/>
        <v>0</v>
      </c>
      <c r="AE796" s="769">
        <f t="shared" si="586"/>
        <v>0</v>
      </c>
    </row>
    <row r="797" spans="1:31" ht="15" hidden="1" customHeight="1" x14ac:dyDescent="0.2">
      <c r="A797" s="611" t="s">
        <v>1956</v>
      </c>
      <c r="B797" s="601" t="s">
        <v>1957</v>
      </c>
      <c r="C797" s="611" t="s">
        <v>130</v>
      </c>
      <c r="D797" s="576">
        <f t="shared" si="574"/>
        <v>0</v>
      </c>
      <c r="E797" s="577">
        <f t="shared" si="573"/>
        <v>0</v>
      </c>
      <c r="F797" s="577">
        <f t="shared" si="575"/>
        <v>0</v>
      </c>
      <c r="G797" s="578"/>
      <c r="I797" s="584"/>
      <c r="J797" s="585">
        <f t="shared" si="576"/>
        <v>0</v>
      </c>
      <c r="K797" s="537"/>
      <c r="L797" s="445">
        <f t="shared" si="577"/>
        <v>0</v>
      </c>
      <c r="M797" s="542"/>
      <c r="N797" s="445">
        <f t="shared" si="578"/>
        <v>0</v>
      </c>
      <c r="O797" s="542"/>
      <c r="P797" s="445">
        <f t="shared" si="579"/>
        <v>0</v>
      </c>
      <c r="Q797" s="542"/>
      <c r="R797" s="445">
        <f t="shared" si="580"/>
        <v>0</v>
      </c>
      <c r="S797" s="542"/>
      <c r="T797" s="445">
        <f t="shared" si="581"/>
        <v>0</v>
      </c>
      <c r="V797" s="581"/>
      <c r="W797" s="582">
        <f t="shared" si="582"/>
        <v>0</v>
      </c>
      <c r="X797" s="581"/>
      <c r="Y797" s="582">
        <f t="shared" si="583"/>
        <v>0</v>
      </c>
      <c r="Z797" s="581"/>
      <c r="AA797" s="582">
        <f t="shared" si="584"/>
        <v>0</v>
      </c>
      <c r="AB797" s="581"/>
      <c r="AC797" s="582">
        <f t="shared" si="585"/>
        <v>0</v>
      </c>
      <c r="AE797" s="769">
        <f t="shared" si="586"/>
        <v>0</v>
      </c>
    </row>
    <row r="798" spans="1:31" ht="15" hidden="1" customHeight="1" x14ac:dyDescent="0.2">
      <c r="A798" s="611" t="s">
        <v>1958</v>
      </c>
      <c r="B798" s="601" t="s">
        <v>1959</v>
      </c>
      <c r="C798" s="611" t="s">
        <v>114</v>
      </c>
      <c r="D798" s="576">
        <f t="shared" si="574"/>
        <v>0</v>
      </c>
      <c r="E798" s="577">
        <f t="shared" si="573"/>
        <v>0</v>
      </c>
      <c r="F798" s="577">
        <f t="shared" si="575"/>
        <v>0</v>
      </c>
      <c r="G798" s="578"/>
      <c r="I798" s="584"/>
      <c r="J798" s="585">
        <f t="shared" si="576"/>
        <v>0</v>
      </c>
      <c r="K798" s="537"/>
      <c r="L798" s="445">
        <f t="shared" si="577"/>
        <v>0</v>
      </c>
      <c r="M798" s="542"/>
      <c r="N798" s="445">
        <f t="shared" si="578"/>
        <v>0</v>
      </c>
      <c r="O798" s="542"/>
      <c r="P798" s="445">
        <f t="shared" si="579"/>
        <v>0</v>
      </c>
      <c r="Q798" s="542"/>
      <c r="R798" s="445">
        <f t="shared" si="580"/>
        <v>0</v>
      </c>
      <c r="S798" s="542"/>
      <c r="T798" s="445">
        <f t="shared" si="581"/>
        <v>0</v>
      </c>
      <c r="V798" s="581"/>
      <c r="W798" s="582">
        <f t="shared" si="582"/>
        <v>0</v>
      </c>
      <c r="X798" s="581"/>
      <c r="Y798" s="582">
        <f t="shared" si="583"/>
        <v>0</v>
      </c>
      <c r="Z798" s="581"/>
      <c r="AA798" s="582">
        <f t="shared" si="584"/>
        <v>0</v>
      </c>
      <c r="AB798" s="581"/>
      <c r="AC798" s="582">
        <f t="shared" si="585"/>
        <v>0</v>
      </c>
      <c r="AE798" s="769">
        <f t="shared" si="586"/>
        <v>0</v>
      </c>
    </row>
    <row r="799" spans="1:31" ht="15" hidden="1" customHeight="1" x14ac:dyDescent="0.2">
      <c r="A799" s="611" t="s">
        <v>1960</v>
      </c>
      <c r="B799" s="601" t="s">
        <v>1961</v>
      </c>
      <c r="C799" s="611" t="s">
        <v>114</v>
      </c>
      <c r="D799" s="576">
        <f t="shared" si="574"/>
        <v>0</v>
      </c>
      <c r="E799" s="577">
        <f t="shared" si="573"/>
        <v>0</v>
      </c>
      <c r="F799" s="577">
        <f t="shared" si="575"/>
        <v>0</v>
      </c>
      <c r="G799" s="578"/>
      <c r="I799" s="584"/>
      <c r="J799" s="585">
        <f t="shared" si="576"/>
        <v>0</v>
      </c>
      <c r="K799" s="537"/>
      <c r="L799" s="445">
        <f t="shared" si="577"/>
        <v>0</v>
      </c>
      <c r="M799" s="542"/>
      <c r="N799" s="445">
        <f t="shared" si="578"/>
        <v>0</v>
      </c>
      <c r="O799" s="542"/>
      <c r="P799" s="445">
        <f t="shared" si="579"/>
        <v>0</v>
      </c>
      <c r="Q799" s="542"/>
      <c r="R799" s="445">
        <f t="shared" si="580"/>
        <v>0</v>
      </c>
      <c r="S799" s="542"/>
      <c r="T799" s="445">
        <f t="shared" si="581"/>
        <v>0</v>
      </c>
      <c r="V799" s="581"/>
      <c r="W799" s="582">
        <f t="shared" si="582"/>
        <v>0</v>
      </c>
      <c r="X799" s="581"/>
      <c r="Y799" s="582">
        <f t="shared" si="583"/>
        <v>0</v>
      </c>
      <c r="Z799" s="581"/>
      <c r="AA799" s="582">
        <f t="shared" si="584"/>
        <v>0</v>
      </c>
      <c r="AB799" s="581"/>
      <c r="AC799" s="582">
        <f t="shared" si="585"/>
        <v>0</v>
      </c>
      <c r="AE799" s="769">
        <f t="shared" si="586"/>
        <v>0</v>
      </c>
    </row>
    <row r="800" spans="1:31" ht="15" hidden="1" customHeight="1" x14ac:dyDescent="0.2">
      <c r="A800" s="611" t="s">
        <v>1962</v>
      </c>
      <c r="B800" s="601" t="s">
        <v>1395</v>
      </c>
      <c r="C800" s="611"/>
      <c r="D800" s="576">
        <f t="shared" si="574"/>
        <v>0</v>
      </c>
      <c r="E800" s="577">
        <f t="shared" si="573"/>
        <v>0</v>
      </c>
      <c r="F800" s="577">
        <f t="shared" si="575"/>
        <v>0</v>
      </c>
      <c r="G800" s="578"/>
      <c r="I800" s="597"/>
      <c r="J800" s="598">
        <f t="shared" si="576"/>
        <v>0</v>
      </c>
      <c r="K800" s="537"/>
      <c r="L800" s="445">
        <f t="shared" si="577"/>
        <v>0</v>
      </c>
      <c r="M800" s="542"/>
      <c r="N800" s="445">
        <f t="shared" si="578"/>
        <v>0</v>
      </c>
      <c r="O800" s="542"/>
      <c r="P800" s="445">
        <f t="shared" si="579"/>
        <v>0</v>
      </c>
      <c r="Q800" s="542"/>
      <c r="R800" s="445">
        <f t="shared" si="580"/>
        <v>0</v>
      </c>
      <c r="S800" s="542"/>
      <c r="T800" s="445">
        <f t="shared" si="581"/>
        <v>0</v>
      </c>
      <c r="V800" s="581"/>
      <c r="W800" s="582">
        <f t="shared" si="582"/>
        <v>0</v>
      </c>
      <c r="X800" s="581"/>
      <c r="Y800" s="582">
        <f t="shared" si="583"/>
        <v>0</v>
      </c>
      <c r="Z800" s="581"/>
      <c r="AA800" s="582">
        <f t="shared" si="584"/>
        <v>0</v>
      </c>
      <c r="AB800" s="581"/>
      <c r="AC800" s="582">
        <f t="shared" si="585"/>
        <v>0</v>
      </c>
      <c r="AE800" s="769">
        <f t="shared" si="586"/>
        <v>0</v>
      </c>
    </row>
    <row r="801" spans="1:31" ht="15" hidden="1" customHeight="1" x14ac:dyDescent="0.2">
      <c r="A801" s="572" t="s">
        <v>1963</v>
      </c>
      <c r="B801" s="573" t="s">
        <v>1964</v>
      </c>
      <c r="C801" s="846"/>
      <c r="D801" s="576"/>
      <c r="E801" s="577"/>
      <c r="F801" s="180" t="e">
        <f>+ROUND(SUM(F802:F808),10)</f>
        <v>#REF!</v>
      </c>
      <c r="G801" s="473"/>
      <c r="H801" s="568"/>
      <c r="I801" s="613"/>
      <c r="J801" s="440" t="e">
        <f>ROUND(SUM(J802:J808),10)</f>
        <v>#REF!</v>
      </c>
      <c r="K801" s="537"/>
      <c r="L801" s="180" t="e">
        <f>ROUND(SUM(L802:L808),10)</f>
        <v>#REF!</v>
      </c>
      <c r="M801" s="542"/>
      <c r="N801" s="180" t="e">
        <f>ROUND(SUM(N802:N808),10)</f>
        <v>#REF!</v>
      </c>
      <c r="O801" s="542"/>
      <c r="P801" s="180" t="e">
        <f>ROUND(SUM(P802:P808),10)</f>
        <v>#REF!</v>
      </c>
      <c r="Q801" s="542"/>
      <c r="R801" s="180" t="e">
        <f>ROUND(SUM(R802:R808),10)</f>
        <v>#REF!</v>
      </c>
      <c r="S801" s="542"/>
      <c r="T801" s="180" t="e">
        <f>ROUND(SUM(T802:T808),10)</f>
        <v>#REF!</v>
      </c>
      <c r="U801" s="568"/>
      <c r="V801" s="575"/>
      <c r="W801" s="570" t="e">
        <f>ROUND(SUM(W802:W808),10)</f>
        <v>#REF!</v>
      </c>
      <c r="X801" s="575"/>
      <c r="Y801" s="570" t="e">
        <f>ROUND(SUM(Y802:Y808),10)</f>
        <v>#REF!</v>
      </c>
      <c r="Z801" s="575"/>
      <c r="AA801" s="570" t="e">
        <f>ROUND(SUM(AA802:AA808),10)</f>
        <v>#REF!</v>
      </c>
      <c r="AB801" s="575"/>
      <c r="AC801" s="570" t="e">
        <f>ROUND(SUM(AC802:AC808),10)</f>
        <v>#REF!</v>
      </c>
      <c r="AE801" s="769" t="e">
        <f t="shared" si="586"/>
        <v>#REF!</v>
      </c>
    </row>
    <row r="802" spans="1:31" ht="15" hidden="1" customHeight="1" x14ac:dyDescent="0.2">
      <c r="A802" s="611" t="s">
        <v>1965</v>
      </c>
      <c r="B802" s="601" t="s">
        <v>1966</v>
      </c>
      <c r="C802" s="611" t="s">
        <v>155</v>
      </c>
      <c r="D802" s="576">
        <f t="shared" ref="D802:D808" si="587">+I802+K802+M802+O802+Q802+S802</f>
        <v>0</v>
      </c>
      <c r="E802" s="577" t="e">
        <f t="shared" si="573"/>
        <v>#REF!</v>
      </c>
      <c r="F802" s="577" t="e">
        <f t="shared" ref="F802:F808" si="588">ROUND(D802*E802,10)</f>
        <v>#REF!</v>
      </c>
      <c r="G802" s="578"/>
      <c r="I802" s="594"/>
      <c r="J802" s="580" t="e">
        <f t="shared" ref="J802:J808" si="589">+ROUND(E802*I802,10)</f>
        <v>#REF!</v>
      </c>
      <c r="K802" s="537"/>
      <c r="L802" s="445" t="e">
        <f t="shared" ref="L802:L808" si="590">+ROUND(E802*K802,10)</f>
        <v>#REF!</v>
      </c>
      <c r="M802" s="542"/>
      <c r="N802" s="445" t="e">
        <f t="shared" ref="N802:N808" si="591">+ROUND(E802*M802,10)</f>
        <v>#REF!</v>
      </c>
      <c r="O802" s="542"/>
      <c r="P802" s="445" t="e">
        <f t="shared" ref="P802:P808" si="592">+ROUND(E802*O802,10)</f>
        <v>#REF!</v>
      </c>
      <c r="Q802" s="542"/>
      <c r="R802" s="445" t="e">
        <f t="shared" ref="R802:R808" si="593">+ROUND(E802*Q802,10)</f>
        <v>#REF!</v>
      </c>
      <c r="S802" s="542"/>
      <c r="T802" s="445" t="e">
        <f t="shared" ref="T802:T808" si="594">+ROUND(E802*S802,10)</f>
        <v>#REF!</v>
      </c>
      <c r="V802" s="581" t="e">
        <f>+'20,3,1 Solado esp= 0,05'!I19</f>
        <v>#REF!</v>
      </c>
      <c r="W802" s="582" t="e">
        <f t="shared" ref="W802:W808" si="595">ROUND(V802*$D802,10)</f>
        <v>#REF!</v>
      </c>
      <c r="X802" s="581">
        <f>+'20,3,1 Solado esp= 0,05'!I50</f>
        <v>21604.79</v>
      </c>
      <c r="Y802" s="582">
        <f t="shared" ref="Y802:Y808" si="596">ROUND(X802*$D802,10)</f>
        <v>0</v>
      </c>
      <c r="Z802" s="581">
        <f>+'20,3,1 Solado esp= 0,05'!I30</f>
        <v>371</v>
      </c>
      <c r="AA802" s="582">
        <f t="shared" ref="AA802:AA808" si="597">ROUND(Z802*$D802,10)</f>
        <v>0</v>
      </c>
      <c r="AB802" s="581">
        <f>+'20,3,1 Solado esp= 0,05'!I41</f>
        <v>0</v>
      </c>
      <c r="AC802" s="582">
        <f t="shared" ref="AC802:AC808" si="598">ROUND(AB802*$D802,10)</f>
        <v>0</v>
      </c>
      <c r="AE802" s="769" t="e">
        <f t="shared" si="586"/>
        <v>#REF!</v>
      </c>
    </row>
    <row r="803" spans="1:31" ht="15" hidden="1" customHeight="1" x14ac:dyDescent="0.2">
      <c r="A803" s="611" t="s">
        <v>1967</v>
      </c>
      <c r="B803" s="601" t="s">
        <v>1968</v>
      </c>
      <c r="C803" s="611" t="s">
        <v>155</v>
      </c>
      <c r="D803" s="576">
        <f t="shared" si="587"/>
        <v>0</v>
      </c>
      <c r="E803" s="577" t="e">
        <f t="shared" si="573"/>
        <v>#REF!</v>
      </c>
      <c r="F803" s="577" t="e">
        <f t="shared" si="588"/>
        <v>#REF!</v>
      </c>
      <c r="G803" s="578"/>
      <c r="I803" s="584"/>
      <c r="J803" s="585" t="e">
        <f t="shared" si="589"/>
        <v>#REF!</v>
      </c>
      <c r="K803" s="537"/>
      <c r="L803" s="445" t="e">
        <f t="shared" si="590"/>
        <v>#REF!</v>
      </c>
      <c r="M803" s="542"/>
      <c r="N803" s="445" t="e">
        <f t="shared" si="591"/>
        <v>#REF!</v>
      </c>
      <c r="O803" s="542"/>
      <c r="P803" s="445" t="e">
        <f t="shared" si="592"/>
        <v>#REF!</v>
      </c>
      <c r="Q803" s="542"/>
      <c r="R803" s="445" t="e">
        <f t="shared" si="593"/>
        <v>#REF!</v>
      </c>
      <c r="S803" s="542"/>
      <c r="T803" s="445" t="e">
        <f t="shared" si="594"/>
        <v>#REF!</v>
      </c>
      <c r="V803" s="581" t="e">
        <f>+'20,3,2 Concreto Ciclopeo '!I19</f>
        <v>#REF!</v>
      </c>
      <c r="W803" s="582" t="e">
        <f t="shared" si="595"/>
        <v>#REF!</v>
      </c>
      <c r="X803" s="581">
        <f>+'20,3,2 Concreto Ciclopeo '!I50</f>
        <v>135029.95000000001</v>
      </c>
      <c r="Y803" s="582">
        <f t="shared" si="596"/>
        <v>0</v>
      </c>
      <c r="Z803" s="581">
        <f>+'20,3,2 Concreto Ciclopeo '!I30</f>
        <v>6042</v>
      </c>
      <c r="AA803" s="582">
        <f t="shared" si="597"/>
        <v>0</v>
      </c>
      <c r="AB803" s="581">
        <f>+'20,3,2 Concreto Ciclopeo '!I41</f>
        <v>0</v>
      </c>
      <c r="AC803" s="582">
        <f t="shared" si="598"/>
        <v>0</v>
      </c>
      <c r="AE803" s="769" t="e">
        <f t="shared" si="586"/>
        <v>#REF!</v>
      </c>
    </row>
    <row r="804" spans="1:31" ht="15" hidden="1" customHeight="1" x14ac:dyDescent="0.2">
      <c r="A804" s="611" t="s">
        <v>1969</v>
      </c>
      <c r="B804" s="601" t="s">
        <v>1970</v>
      </c>
      <c r="C804" s="611" t="s">
        <v>155</v>
      </c>
      <c r="D804" s="576">
        <f t="shared" si="587"/>
        <v>0</v>
      </c>
      <c r="E804" s="577" t="e">
        <f t="shared" si="573"/>
        <v>#REF!</v>
      </c>
      <c r="F804" s="577" t="e">
        <f t="shared" si="588"/>
        <v>#REF!</v>
      </c>
      <c r="G804" s="578"/>
      <c r="I804" s="584"/>
      <c r="J804" s="585" t="e">
        <f t="shared" si="589"/>
        <v>#REF!</v>
      </c>
      <c r="K804" s="537"/>
      <c r="L804" s="445" t="e">
        <f t="shared" si="590"/>
        <v>#REF!</v>
      </c>
      <c r="M804" s="542"/>
      <c r="N804" s="445" t="e">
        <f t="shared" si="591"/>
        <v>#REF!</v>
      </c>
      <c r="O804" s="542"/>
      <c r="P804" s="445" t="e">
        <f t="shared" si="592"/>
        <v>#REF!</v>
      </c>
      <c r="Q804" s="542"/>
      <c r="R804" s="445" t="e">
        <f t="shared" si="593"/>
        <v>#REF!</v>
      </c>
      <c r="S804" s="542"/>
      <c r="T804" s="445" t="e">
        <f t="shared" si="594"/>
        <v>#REF!</v>
      </c>
      <c r="V804" s="581" t="e">
        <f>+'20,3,3 Vigas de Amarre'!I19</f>
        <v>#REF!</v>
      </c>
      <c r="W804" s="582" t="e">
        <f t="shared" si="595"/>
        <v>#REF!</v>
      </c>
      <c r="X804" s="581">
        <f>+'20,3,3 Vigas de Amarre'!I50</f>
        <v>148998.57</v>
      </c>
      <c r="Y804" s="582">
        <f t="shared" si="596"/>
        <v>0</v>
      </c>
      <c r="Z804" s="581">
        <f>+'20,3,3 Vigas de Amarre'!I30</f>
        <v>13780</v>
      </c>
      <c r="AA804" s="582">
        <f t="shared" si="597"/>
        <v>0</v>
      </c>
      <c r="AB804" s="581">
        <f>+'20,3,3 Vigas de Amarre'!I41</f>
        <v>0</v>
      </c>
      <c r="AC804" s="582">
        <f t="shared" si="598"/>
        <v>0</v>
      </c>
      <c r="AE804" s="769" t="e">
        <f t="shared" si="586"/>
        <v>#REF!</v>
      </c>
    </row>
    <row r="805" spans="1:31" ht="15" hidden="1" customHeight="1" x14ac:dyDescent="0.2">
      <c r="A805" s="611" t="s">
        <v>1971</v>
      </c>
      <c r="B805" s="601" t="s">
        <v>1972</v>
      </c>
      <c r="C805" s="611" t="s">
        <v>130</v>
      </c>
      <c r="D805" s="576">
        <f t="shared" si="587"/>
        <v>0</v>
      </c>
      <c r="E805" s="577">
        <f t="shared" si="573"/>
        <v>0</v>
      </c>
      <c r="F805" s="577">
        <f t="shared" si="588"/>
        <v>0</v>
      </c>
      <c r="G805" s="578"/>
      <c r="I805" s="584"/>
      <c r="J805" s="585">
        <f t="shared" si="589"/>
        <v>0</v>
      </c>
      <c r="K805" s="537"/>
      <c r="L805" s="445">
        <f t="shared" si="590"/>
        <v>0</v>
      </c>
      <c r="M805" s="542"/>
      <c r="N805" s="445">
        <f t="shared" si="591"/>
        <v>0</v>
      </c>
      <c r="O805" s="542"/>
      <c r="P805" s="445">
        <f t="shared" si="592"/>
        <v>0</v>
      </c>
      <c r="Q805" s="542"/>
      <c r="R805" s="445">
        <f t="shared" si="593"/>
        <v>0</v>
      </c>
      <c r="S805" s="542"/>
      <c r="T805" s="445">
        <f t="shared" si="594"/>
        <v>0</v>
      </c>
      <c r="V805" s="581"/>
      <c r="W805" s="582">
        <f t="shared" si="595"/>
        <v>0</v>
      </c>
      <c r="X805" s="581"/>
      <c r="Y805" s="582">
        <f t="shared" si="596"/>
        <v>0</v>
      </c>
      <c r="Z805" s="581"/>
      <c r="AA805" s="582">
        <f t="shared" si="597"/>
        <v>0</v>
      </c>
      <c r="AB805" s="581"/>
      <c r="AC805" s="582">
        <f t="shared" si="598"/>
        <v>0</v>
      </c>
      <c r="AE805" s="769">
        <f t="shared" si="586"/>
        <v>0</v>
      </c>
    </row>
    <row r="806" spans="1:31" ht="15" hidden="1" customHeight="1" x14ac:dyDescent="0.2">
      <c r="A806" s="611" t="s">
        <v>1973</v>
      </c>
      <c r="B806" s="601" t="s">
        <v>1974</v>
      </c>
      <c r="C806" s="611" t="s">
        <v>130</v>
      </c>
      <c r="D806" s="576">
        <f t="shared" si="587"/>
        <v>0</v>
      </c>
      <c r="E806" s="577" t="e">
        <f t="shared" si="573"/>
        <v>#REF!</v>
      </c>
      <c r="F806" s="577" t="e">
        <f t="shared" si="588"/>
        <v>#REF!</v>
      </c>
      <c r="G806" s="578"/>
      <c r="I806" s="584"/>
      <c r="J806" s="585" t="e">
        <f t="shared" si="589"/>
        <v>#REF!</v>
      </c>
      <c r="K806" s="537"/>
      <c r="L806" s="445" t="e">
        <f t="shared" si="590"/>
        <v>#REF!</v>
      </c>
      <c r="M806" s="542"/>
      <c r="N806" s="445" t="e">
        <f t="shared" si="591"/>
        <v>#REF!</v>
      </c>
      <c r="O806" s="542"/>
      <c r="P806" s="445" t="e">
        <f t="shared" si="592"/>
        <v>#REF!</v>
      </c>
      <c r="Q806" s="542"/>
      <c r="R806" s="445" t="e">
        <f t="shared" si="593"/>
        <v>#REF!</v>
      </c>
      <c r="S806" s="542"/>
      <c r="T806" s="445" t="e">
        <f t="shared" si="594"/>
        <v>#REF!</v>
      </c>
      <c r="V806" s="581" t="e">
        <f>+'20,3,5  Cerramiento Malla Esla'!I19</f>
        <v>#REF!</v>
      </c>
      <c r="W806" s="582" t="e">
        <f t="shared" si="595"/>
        <v>#REF!</v>
      </c>
      <c r="X806" s="581">
        <f>+'20,3,5  Cerramiento Malla Esla'!I50</f>
        <v>17956.25</v>
      </c>
      <c r="Y806" s="582">
        <f t="shared" si="596"/>
        <v>0</v>
      </c>
      <c r="Z806" s="581">
        <f>+'20,3,5  Cerramiento Malla Esla'!I30</f>
        <v>6814.29</v>
      </c>
      <c r="AA806" s="582">
        <f t="shared" si="597"/>
        <v>0</v>
      </c>
      <c r="AB806" s="581">
        <f>+'20,3,5  Cerramiento Malla Esla'!I41</f>
        <v>0</v>
      </c>
      <c r="AC806" s="582">
        <f t="shared" si="598"/>
        <v>0</v>
      </c>
      <c r="AE806" s="769" t="e">
        <f t="shared" si="586"/>
        <v>#REF!</v>
      </c>
    </row>
    <row r="807" spans="1:31" ht="15" hidden="1" customHeight="1" x14ac:dyDescent="0.2">
      <c r="A807" s="611" t="s">
        <v>1975</v>
      </c>
      <c r="B807" s="601" t="s">
        <v>1976</v>
      </c>
      <c r="C807" s="611" t="s">
        <v>155</v>
      </c>
      <c r="D807" s="576">
        <f t="shared" si="587"/>
        <v>0</v>
      </c>
      <c r="E807" s="577" t="e">
        <f t="shared" si="573"/>
        <v>#REF!</v>
      </c>
      <c r="F807" s="577" t="e">
        <f t="shared" si="588"/>
        <v>#REF!</v>
      </c>
      <c r="G807" s="578"/>
      <c r="I807" s="584"/>
      <c r="J807" s="585" t="e">
        <f t="shared" si="589"/>
        <v>#REF!</v>
      </c>
      <c r="K807" s="537"/>
      <c r="L807" s="445" t="e">
        <f t="shared" si="590"/>
        <v>#REF!</v>
      </c>
      <c r="M807" s="542"/>
      <c r="N807" s="445" t="e">
        <f t="shared" si="591"/>
        <v>#REF!</v>
      </c>
      <c r="O807" s="542"/>
      <c r="P807" s="445" t="e">
        <f t="shared" si="592"/>
        <v>#REF!</v>
      </c>
      <c r="Q807" s="542"/>
      <c r="R807" s="445" t="e">
        <f t="shared" si="593"/>
        <v>#REF!</v>
      </c>
      <c r="S807" s="542"/>
      <c r="T807" s="445" t="e">
        <f t="shared" si="594"/>
        <v>#REF!</v>
      </c>
      <c r="V807" s="581" t="e">
        <f>+#REF!</f>
        <v>#REF!</v>
      </c>
      <c r="W807" s="582" t="e">
        <f t="shared" si="595"/>
        <v>#REF!</v>
      </c>
      <c r="X807" s="581" t="e">
        <f>+#REF!</f>
        <v>#REF!</v>
      </c>
      <c r="Y807" s="582" t="e">
        <f t="shared" si="596"/>
        <v>#REF!</v>
      </c>
      <c r="Z807" s="581" t="e">
        <f>+#REF!</f>
        <v>#REF!</v>
      </c>
      <c r="AA807" s="582" t="e">
        <f t="shared" si="597"/>
        <v>#REF!</v>
      </c>
      <c r="AB807" s="581" t="e">
        <f>+#REF!</f>
        <v>#REF!</v>
      </c>
      <c r="AC807" s="582" t="e">
        <f t="shared" si="598"/>
        <v>#REF!</v>
      </c>
      <c r="AE807" s="769" t="e">
        <f t="shared" si="586"/>
        <v>#REF!</v>
      </c>
    </row>
    <row r="808" spans="1:31" ht="15" hidden="1" customHeight="1" x14ac:dyDescent="0.2">
      <c r="A808" s="611" t="s">
        <v>1977</v>
      </c>
      <c r="B808" s="601" t="s">
        <v>1395</v>
      </c>
      <c r="C808" s="611"/>
      <c r="D808" s="576">
        <f t="shared" si="587"/>
        <v>0</v>
      </c>
      <c r="E808" s="577">
        <f t="shared" si="573"/>
        <v>0</v>
      </c>
      <c r="F808" s="577">
        <f t="shared" si="588"/>
        <v>0</v>
      </c>
      <c r="G808" s="578"/>
      <c r="I808" s="597"/>
      <c r="J808" s="598">
        <f t="shared" si="589"/>
        <v>0</v>
      </c>
      <c r="K808" s="537"/>
      <c r="L808" s="445">
        <f t="shared" si="590"/>
        <v>0</v>
      </c>
      <c r="M808" s="542"/>
      <c r="N808" s="445">
        <f t="shared" si="591"/>
        <v>0</v>
      </c>
      <c r="O808" s="542"/>
      <c r="P808" s="445">
        <f t="shared" si="592"/>
        <v>0</v>
      </c>
      <c r="Q808" s="542"/>
      <c r="R808" s="445">
        <f t="shared" si="593"/>
        <v>0</v>
      </c>
      <c r="S808" s="542"/>
      <c r="T808" s="445">
        <f t="shared" si="594"/>
        <v>0</v>
      </c>
      <c r="V808" s="581"/>
      <c r="W808" s="582">
        <f t="shared" si="595"/>
        <v>0</v>
      </c>
      <c r="X808" s="581"/>
      <c r="Y808" s="582">
        <f t="shared" si="596"/>
        <v>0</v>
      </c>
      <c r="Z808" s="581"/>
      <c r="AA808" s="582">
        <f t="shared" si="597"/>
        <v>0</v>
      </c>
      <c r="AB808" s="581"/>
      <c r="AC808" s="582">
        <f t="shared" si="598"/>
        <v>0</v>
      </c>
      <c r="AE808" s="769">
        <f t="shared" si="586"/>
        <v>0</v>
      </c>
    </row>
    <row r="809" spans="1:31" ht="15" customHeight="1" x14ac:dyDescent="0.2">
      <c r="A809" s="572" t="s">
        <v>1978</v>
      </c>
      <c r="B809" s="573" t="s">
        <v>1979</v>
      </c>
      <c r="C809" s="611"/>
      <c r="D809" s="576"/>
      <c r="E809" s="577"/>
      <c r="F809" s="626" t="e">
        <f>+ROUND(SUM(F810:F814),10)</f>
        <v>#REF!</v>
      </c>
      <c r="G809" s="578"/>
      <c r="I809" s="613"/>
      <c r="J809" s="440" t="e">
        <f>ROUND(SUM(J810:J814),10)</f>
        <v>#REF!</v>
      </c>
      <c r="K809" s="537"/>
      <c r="L809" s="180" t="e">
        <f>ROUND(SUM(L810:L814),10)</f>
        <v>#REF!</v>
      </c>
      <c r="M809" s="542"/>
      <c r="N809" s="180" t="e">
        <f>ROUND(SUM(N810:N814),10)</f>
        <v>#REF!</v>
      </c>
      <c r="O809" s="542"/>
      <c r="P809" s="180" t="e">
        <f>ROUND(SUM(P810:P814),10)</f>
        <v>#REF!</v>
      </c>
      <c r="Q809" s="542"/>
      <c r="R809" s="180" t="e">
        <f>ROUND(SUM(R810:R814),10)</f>
        <v>#REF!</v>
      </c>
      <c r="S809" s="542"/>
      <c r="T809" s="180" t="e">
        <f>ROUND(SUM(T810:T814),10)</f>
        <v>#REF!</v>
      </c>
      <c r="V809" s="581"/>
      <c r="W809" s="570" t="e">
        <f>ROUND(SUM(W810:W814),10)</f>
        <v>#REF!</v>
      </c>
      <c r="X809" s="581"/>
      <c r="Y809" s="570">
        <f>ROUND(SUM(Y810:Y814),10)</f>
        <v>3915309.9835999999</v>
      </c>
      <c r="Z809" s="581"/>
      <c r="AA809" s="570">
        <f>ROUND(SUM(AA810:AA814),10)</f>
        <v>760806.83799999999</v>
      </c>
      <c r="AB809" s="581"/>
      <c r="AC809" s="570">
        <f>ROUND(SUM(AC810:AC814),10)</f>
        <v>0</v>
      </c>
      <c r="AE809" s="769" t="e">
        <f t="shared" si="586"/>
        <v>#REF!</v>
      </c>
    </row>
    <row r="810" spans="1:31" ht="15" customHeight="1" x14ac:dyDescent="0.2">
      <c r="A810" s="611" t="s">
        <v>1980</v>
      </c>
      <c r="B810" s="649" t="s">
        <v>1981</v>
      </c>
      <c r="C810" s="611" t="s">
        <v>155</v>
      </c>
      <c r="D810" s="576">
        <f>+I810+K810+M810+O810+Q810+S810</f>
        <v>74.38</v>
      </c>
      <c r="E810" s="577">
        <f t="shared" si="573"/>
        <v>6105.6</v>
      </c>
      <c r="F810" s="577">
        <f>ROUND(D810*E810,10)</f>
        <v>454134.52799999999</v>
      </c>
      <c r="G810" s="578"/>
      <c r="I810" s="594"/>
      <c r="J810" s="580">
        <f>+ROUND(E810*I810,10)</f>
        <v>0</v>
      </c>
      <c r="K810" s="537"/>
      <c r="L810" s="445">
        <f>+ROUND(E810*K810,10)</f>
        <v>0</v>
      </c>
      <c r="M810" s="542"/>
      <c r="N810" s="445">
        <f>+ROUND(E810*M810,10)</f>
        <v>0</v>
      </c>
      <c r="O810" s="542"/>
      <c r="P810" s="445">
        <f>+ROUND(E810*O810,10)</f>
        <v>0</v>
      </c>
      <c r="Q810" s="542">
        <v>32.58</v>
      </c>
      <c r="R810" s="445">
        <f>+ROUND(E810*Q810,10)</f>
        <v>198920.448</v>
      </c>
      <c r="S810" s="542">
        <v>41.8</v>
      </c>
      <c r="T810" s="445">
        <f>+ROUND(E810*S810,10)</f>
        <v>255214.07999999999</v>
      </c>
      <c r="V810" s="581">
        <f>'20,4,1 Mov Tierras'!I19</f>
        <v>0</v>
      </c>
      <c r="W810" s="582">
        <f>ROUND(V810*$D810,10)</f>
        <v>0</v>
      </c>
      <c r="X810" s="581">
        <f>'20,4,1 Mov Tierras'!I50</f>
        <v>0</v>
      </c>
      <c r="Y810" s="582">
        <f>ROUND(X810*$D810,10)</f>
        <v>0</v>
      </c>
      <c r="Z810" s="581">
        <f>'20,4,1 Mov Tierras'!I30</f>
        <v>6105.6</v>
      </c>
      <c r="AA810" s="582">
        <f>ROUND(Z810*$D810,10)</f>
        <v>454134.52799999999</v>
      </c>
      <c r="AB810" s="581">
        <f>'20,4,1 Mov Tierras'!I41</f>
        <v>0</v>
      </c>
      <c r="AC810" s="582">
        <f>ROUND(AB810*$D810,10)</f>
        <v>0</v>
      </c>
      <c r="AE810" s="769">
        <f t="shared" si="586"/>
        <v>0</v>
      </c>
    </row>
    <row r="811" spans="1:31" ht="15" customHeight="1" x14ac:dyDescent="0.2">
      <c r="A811" s="611" t="s">
        <v>1982</v>
      </c>
      <c r="B811" s="601" t="s">
        <v>1983</v>
      </c>
      <c r="C811" s="611" t="s">
        <v>130</v>
      </c>
      <c r="D811" s="576">
        <f>+I811+K811+M811+O811+Q811+S811</f>
        <v>786.61</v>
      </c>
      <c r="E811" s="577" t="e">
        <f t="shared" si="573"/>
        <v>#REF!</v>
      </c>
      <c r="F811" s="577" t="e">
        <f>ROUND(D811*E811,10)</f>
        <v>#REF!</v>
      </c>
      <c r="G811" s="578"/>
      <c r="I811" s="584"/>
      <c r="J811" s="585" t="e">
        <f>+ROUND(E811*I811,10)</f>
        <v>#REF!</v>
      </c>
      <c r="K811" s="537"/>
      <c r="L811" s="445" t="e">
        <f>+ROUND(E811*K811,10)</f>
        <v>#REF!</v>
      </c>
      <c r="M811" s="542"/>
      <c r="N811" s="445" t="e">
        <f>+ROUND(E811*M811,10)</f>
        <v>#REF!</v>
      </c>
      <c r="O811" s="542"/>
      <c r="P811" s="445" t="e">
        <f>+ROUND(E811*O811,10)</f>
        <v>#REF!</v>
      </c>
      <c r="Q811" s="542">
        <v>75.91</v>
      </c>
      <c r="R811" s="445" t="e">
        <f>+ROUND(E811*Q811,10)</f>
        <v>#REF!</v>
      </c>
      <c r="S811" s="542">
        <f>140.58+150+420.12</f>
        <v>710.7</v>
      </c>
      <c r="T811" s="445" t="e">
        <f>+ROUND(E811*S811,10)</f>
        <v>#REF!</v>
      </c>
      <c r="V811" s="581" t="e">
        <f>+'20,4,2 Pradización'!I19</f>
        <v>#REF!</v>
      </c>
      <c r="W811" s="582" t="e">
        <f>ROUND(V811*$D811,10)</f>
        <v>#REF!</v>
      </c>
      <c r="X811" s="581">
        <f>+'20,4,2 Pradización'!I50</f>
        <v>3856.76</v>
      </c>
      <c r="Y811" s="582">
        <f>ROUND(X811*$D811,10)</f>
        <v>3033765.9835999999</v>
      </c>
      <c r="Z811" s="581">
        <f>+'20,4,2 Pradización'!I30</f>
        <v>371</v>
      </c>
      <c r="AA811" s="582">
        <f>ROUND(Z811*$D811,10)</f>
        <v>291832.31</v>
      </c>
      <c r="AB811" s="581">
        <f>+'20,4,2 Pradización'!I41</f>
        <v>0</v>
      </c>
      <c r="AC811" s="582">
        <f>ROUND(AB811*$D811,10)</f>
        <v>0</v>
      </c>
      <c r="AE811" s="769" t="e">
        <f t="shared" si="586"/>
        <v>#REF!</v>
      </c>
    </row>
    <row r="812" spans="1:31" ht="15" hidden="1" customHeight="1" x14ac:dyDescent="0.2">
      <c r="A812" s="611" t="s">
        <v>1984</v>
      </c>
      <c r="B812" s="601" t="s">
        <v>1985</v>
      </c>
      <c r="C812" s="611" t="s">
        <v>130</v>
      </c>
      <c r="D812" s="576">
        <f>+I812+K812+M812+O812+Q812+S812</f>
        <v>0</v>
      </c>
      <c r="E812" s="577">
        <f t="shared" si="573"/>
        <v>0</v>
      </c>
      <c r="F812" s="577">
        <f>ROUND(D812*E812,10)</f>
        <v>0</v>
      </c>
      <c r="G812" s="578"/>
      <c r="I812" s="584"/>
      <c r="J812" s="585">
        <f>+ROUND(E812*I812,10)</f>
        <v>0</v>
      </c>
      <c r="K812" s="537"/>
      <c r="L812" s="445">
        <f>+ROUND(E812*K812,10)</f>
        <v>0</v>
      </c>
      <c r="M812" s="542"/>
      <c r="N812" s="445">
        <f>+ROUND(E812*M812,10)</f>
        <v>0</v>
      </c>
      <c r="O812" s="542"/>
      <c r="P812" s="445">
        <f>+ROUND(E812*O812,10)</f>
        <v>0</v>
      </c>
      <c r="Q812" s="542"/>
      <c r="R812" s="445">
        <f>+ROUND(E812*Q812,10)</f>
        <v>0</v>
      </c>
      <c r="S812" s="542"/>
      <c r="T812" s="445">
        <f>+ROUND(E812*S812,10)</f>
        <v>0</v>
      </c>
      <c r="V812" s="581"/>
      <c r="W812" s="582">
        <f>ROUND(V812*$D812,10)</f>
        <v>0</v>
      </c>
      <c r="X812" s="581"/>
      <c r="Y812" s="582">
        <f>ROUND(X812*$D812,10)</f>
        <v>0</v>
      </c>
      <c r="Z812" s="581"/>
      <c r="AA812" s="582">
        <f>ROUND(Z812*$D812,10)</f>
        <v>0</v>
      </c>
      <c r="AB812" s="581"/>
      <c r="AC812" s="582">
        <f>ROUND(AB812*$D812,10)</f>
        <v>0</v>
      </c>
      <c r="AE812" s="769">
        <f t="shared" si="586"/>
        <v>0</v>
      </c>
    </row>
    <row r="813" spans="1:31" ht="15.75" customHeight="1" x14ac:dyDescent="0.2">
      <c r="A813" s="611" t="s">
        <v>1986</v>
      </c>
      <c r="B813" s="601" t="s">
        <v>1987</v>
      </c>
      <c r="C813" s="611" t="s">
        <v>111</v>
      </c>
      <c r="D813" s="576">
        <f>+I813+K813+M813+O813+Q813+S813</f>
        <v>40</v>
      </c>
      <c r="E813" s="577" t="e">
        <f t="shared" si="573"/>
        <v>#REF!</v>
      </c>
      <c r="F813" s="577" t="e">
        <f>ROUND(D813*E813,10)</f>
        <v>#REF!</v>
      </c>
      <c r="G813" s="578"/>
      <c r="I813" s="584"/>
      <c r="J813" s="585" t="e">
        <f>+ROUND(E813*I813,10)</f>
        <v>#REF!</v>
      </c>
      <c r="K813" s="537"/>
      <c r="L813" s="445" t="e">
        <f>+ROUND(E813*K813,10)</f>
        <v>#REF!</v>
      </c>
      <c r="M813" s="542"/>
      <c r="N813" s="445" t="e">
        <f>+ROUND(E813*M813,10)</f>
        <v>#REF!</v>
      </c>
      <c r="O813" s="542"/>
      <c r="P813" s="445" t="e">
        <f>+ROUND(E813*O813,10)</f>
        <v>#REF!</v>
      </c>
      <c r="Q813" s="542">
        <v>24</v>
      </c>
      <c r="R813" s="445" t="e">
        <f>+ROUND(E813*Q813,10)</f>
        <v>#REF!</v>
      </c>
      <c r="S813" s="542">
        <v>16</v>
      </c>
      <c r="T813" s="445" t="e">
        <f>+ROUND(E813*S813,10)</f>
        <v>#REF!</v>
      </c>
      <c r="V813" s="581" t="e">
        <f>+'20,4,4 Arborización'!I19</f>
        <v>#REF!</v>
      </c>
      <c r="W813" s="582" t="e">
        <f>ROUND(V813*$D813,10)</f>
        <v>#REF!</v>
      </c>
      <c r="X813" s="581">
        <f>+'20,4,4 Arborización'!I50</f>
        <v>22038.6</v>
      </c>
      <c r="Y813" s="582">
        <f>ROUND(X813*$D813,10)</f>
        <v>881544</v>
      </c>
      <c r="Z813" s="581">
        <f>+'20,4,4 Arborización'!I30</f>
        <v>371</v>
      </c>
      <c r="AA813" s="582">
        <f>ROUND(Z813*$D813,10)</f>
        <v>14840</v>
      </c>
      <c r="AB813" s="581"/>
      <c r="AC813" s="582">
        <f>ROUND(AB813*$D813,10)</f>
        <v>0</v>
      </c>
      <c r="AE813" s="769" t="e">
        <f t="shared" si="586"/>
        <v>#REF!</v>
      </c>
    </row>
    <row r="814" spans="1:31" s="595" customFormat="1" ht="18" hidden="1" customHeight="1" x14ac:dyDescent="0.2">
      <c r="A814" s="611" t="s">
        <v>1988</v>
      </c>
      <c r="B814" s="601" t="s">
        <v>1395</v>
      </c>
      <c r="C814" s="611"/>
      <c r="D814" s="576">
        <f>+I814+K814+M814+O814+Q814+S814</f>
        <v>0</v>
      </c>
      <c r="E814" s="577">
        <f t="shared" si="573"/>
        <v>0</v>
      </c>
      <c r="F814" s="577">
        <f>ROUND(D814*E814,10)</f>
        <v>0</v>
      </c>
      <c r="G814" s="578"/>
      <c r="H814" s="552"/>
      <c r="I814" s="597"/>
      <c r="J814" s="598">
        <f>+ROUND(E814*I814,10)</f>
        <v>0</v>
      </c>
      <c r="K814" s="537"/>
      <c r="L814" s="445">
        <f>+ROUND(E814*K814,10)</f>
        <v>0</v>
      </c>
      <c r="M814" s="542"/>
      <c r="N814" s="445">
        <f>+ROUND(E814*M814,10)</f>
        <v>0</v>
      </c>
      <c r="O814" s="542"/>
      <c r="P814" s="445">
        <f>+ROUND(E814*O814,10)</f>
        <v>0</v>
      </c>
      <c r="Q814" s="542"/>
      <c r="R814" s="445">
        <f>+ROUND(E814*Q814,10)</f>
        <v>0</v>
      </c>
      <c r="S814" s="542"/>
      <c r="T814" s="445">
        <f>+ROUND(E814*S814,10)</f>
        <v>0</v>
      </c>
      <c r="U814" s="552"/>
      <c r="V814" s="581"/>
      <c r="W814" s="582">
        <f>ROUND(V814*$D814,10)</f>
        <v>0</v>
      </c>
      <c r="X814" s="581"/>
      <c r="Y814" s="582">
        <f>ROUND(X814*$D814,10)</f>
        <v>0</v>
      </c>
      <c r="Z814" s="581"/>
      <c r="AA814" s="582">
        <f>ROUND(Z814*$D814,10)</f>
        <v>0</v>
      </c>
      <c r="AB814" s="581"/>
      <c r="AC814" s="582">
        <f>ROUND(AB814*$D814,10)</f>
        <v>0</v>
      </c>
      <c r="AD814" s="912"/>
      <c r="AE814" s="769">
        <f t="shared" si="586"/>
        <v>0</v>
      </c>
    </row>
    <row r="815" spans="1:31" ht="15" hidden="1" customHeight="1" x14ac:dyDescent="0.2">
      <c r="A815" s="572" t="s">
        <v>1989</v>
      </c>
      <c r="B815" s="573" t="s">
        <v>1395</v>
      </c>
      <c r="C815" s="846"/>
      <c r="D815" s="576"/>
      <c r="E815" s="577"/>
      <c r="F815" s="180" t="e">
        <f>+ROUND(SUM(F816:F821),10)</f>
        <v>#REF!</v>
      </c>
      <c r="G815" s="473"/>
      <c r="H815" s="568"/>
      <c r="I815" s="613"/>
      <c r="J815" s="440" t="e">
        <f>ROUND(SUM(J816:J821),10)</f>
        <v>#REF!</v>
      </c>
      <c r="K815" s="537"/>
      <c r="L815" s="180" t="e">
        <f>ROUND(SUM(L816:L821),10)</f>
        <v>#REF!</v>
      </c>
      <c r="M815" s="542"/>
      <c r="N815" s="180" t="e">
        <f>ROUND(SUM(N816:N821),10)</f>
        <v>#REF!</v>
      </c>
      <c r="O815" s="542"/>
      <c r="P815" s="180" t="e">
        <f>ROUND(SUM(P816:P821),10)</f>
        <v>#REF!</v>
      </c>
      <c r="Q815" s="542"/>
      <c r="R815" s="180" t="e">
        <f>ROUND(SUM(R816:R821),10)</f>
        <v>#REF!</v>
      </c>
      <c r="S815" s="542"/>
      <c r="T815" s="180" t="e">
        <f>ROUND(SUM(T816:T821),10)</f>
        <v>#REF!</v>
      </c>
      <c r="U815" s="568"/>
      <c r="V815" s="575"/>
      <c r="W815" s="570" t="e">
        <f>ROUND(SUM(W816:W821),10)</f>
        <v>#REF!</v>
      </c>
      <c r="X815" s="575"/>
      <c r="Y815" s="570">
        <f>ROUND(SUM(Y816:Y821),10)</f>
        <v>0</v>
      </c>
      <c r="Z815" s="575"/>
      <c r="AA815" s="570">
        <f>ROUND(SUM(AA816:AA821),10)</f>
        <v>0</v>
      </c>
      <c r="AB815" s="575"/>
      <c r="AC815" s="570">
        <f>ROUND(SUM(AC816:AC821),10)</f>
        <v>0</v>
      </c>
      <c r="AE815" s="769" t="e">
        <f t="shared" si="586"/>
        <v>#REF!</v>
      </c>
    </row>
    <row r="816" spans="1:31" ht="15" hidden="1" customHeight="1" x14ac:dyDescent="0.2">
      <c r="A816" s="611" t="s">
        <v>1990</v>
      </c>
      <c r="B816" s="601" t="s">
        <v>681</v>
      </c>
      <c r="C816" s="611" t="s">
        <v>155</v>
      </c>
      <c r="D816" s="576">
        <f t="shared" ref="D816:D821" si="599">+I816+K816+M816+O816+Q816+S816</f>
        <v>0</v>
      </c>
      <c r="E816" s="577" t="e">
        <f t="shared" si="573"/>
        <v>#REF!</v>
      </c>
      <c r="F816" s="577" t="e">
        <f t="shared" ref="F816:F821" si="600">ROUND(D816*E816,10)</f>
        <v>#REF!</v>
      </c>
      <c r="G816" s="578"/>
      <c r="I816" s="594"/>
      <c r="J816" s="580" t="e">
        <f t="shared" ref="J816:J821" si="601">+ROUND(E816*I816,10)</f>
        <v>#REF!</v>
      </c>
      <c r="K816" s="537"/>
      <c r="L816" s="445" t="e">
        <f t="shared" ref="L816:L821" si="602">+ROUND(E816*K816,10)</f>
        <v>#REF!</v>
      </c>
      <c r="M816" s="542"/>
      <c r="N816" s="445" t="e">
        <f t="shared" ref="N816:N821" si="603">+ROUND(E816*M816,10)</f>
        <v>#REF!</v>
      </c>
      <c r="O816" s="542"/>
      <c r="P816" s="445" t="e">
        <f t="shared" ref="P816:P821" si="604">+ROUND(E816*O816,10)</f>
        <v>#REF!</v>
      </c>
      <c r="Q816" s="542"/>
      <c r="R816" s="445" t="e">
        <f t="shared" ref="R816:R821" si="605">+ROUND(E816*Q816,10)</f>
        <v>#REF!</v>
      </c>
      <c r="S816" s="542"/>
      <c r="T816" s="445" t="e">
        <f t="shared" ref="T816:T821" si="606">+ROUND(E816*S816,10)</f>
        <v>#REF!</v>
      </c>
      <c r="V816" s="581" t="e">
        <f>+'20,5,1 Gaviones en piedra'!I19</f>
        <v>#REF!</v>
      </c>
      <c r="W816" s="582" t="e">
        <f t="shared" ref="W816:W821" si="607">ROUND(V816*$D816,10)</f>
        <v>#REF!</v>
      </c>
      <c r="X816" s="581">
        <f>+'20,5,1 Gaviones en piedra'!I50</f>
        <v>135029.95000000001</v>
      </c>
      <c r="Y816" s="582">
        <f t="shared" ref="Y816:Y821" si="608">ROUND(X816*$D816,10)</f>
        <v>0</v>
      </c>
      <c r="Z816" s="581">
        <f>+'20,5,1 Gaviones en piedra'!I30</f>
        <v>3710</v>
      </c>
      <c r="AA816" s="582">
        <f t="shared" ref="AA816:AA821" si="609">ROUND(Z816*$D816,10)</f>
        <v>0</v>
      </c>
      <c r="AB816" s="581">
        <f>+'20,5,1 Gaviones en piedra'!I41</f>
        <v>0</v>
      </c>
      <c r="AC816" s="582">
        <f t="shared" ref="AC816:AC821" si="610">ROUND(AB816*$D816,10)</f>
        <v>0</v>
      </c>
      <c r="AE816" s="769" t="e">
        <f t="shared" si="586"/>
        <v>#REF!</v>
      </c>
    </row>
    <row r="817" spans="1:31" ht="15" hidden="1" customHeight="1" x14ac:dyDescent="0.2">
      <c r="A817" s="611" t="s">
        <v>1991</v>
      </c>
      <c r="B817" s="601" t="s">
        <v>1992</v>
      </c>
      <c r="C817" s="611" t="s">
        <v>119</v>
      </c>
      <c r="D817" s="576">
        <f t="shared" si="599"/>
        <v>0</v>
      </c>
      <c r="E817" s="577" t="e">
        <f t="shared" si="573"/>
        <v>#REF!</v>
      </c>
      <c r="F817" s="577" t="e">
        <f t="shared" si="600"/>
        <v>#REF!</v>
      </c>
      <c r="G817" s="578"/>
      <c r="I817" s="584"/>
      <c r="J817" s="585" t="e">
        <f t="shared" si="601"/>
        <v>#REF!</v>
      </c>
      <c r="K817" s="537"/>
      <c r="L817" s="445" t="e">
        <f t="shared" si="602"/>
        <v>#REF!</v>
      </c>
      <c r="M817" s="542"/>
      <c r="N817" s="445" t="e">
        <f t="shared" si="603"/>
        <v>#REF!</v>
      </c>
      <c r="O817" s="542"/>
      <c r="P817" s="445" t="e">
        <f t="shared" si="604"/>
        <v>#REF!</v>
      </c>
      <c r="Q817" s="542"/>
      <c r="R817" s="445" t="e">
        <f t="shared" si="605"/>
        <v>#REF!</v>
      </c>
      <c r="S817" s="542"/>
      <c r="T817" s="445" t="e">
        <f t="shared" si="606"/>
        <v>#REF!</v>
      </c>
      <c r="V817" s="581" t="e">
        <f>+'20,5,2 PERGOLA  METALICA'!I19</f>
        <v>#REF!</v>
      </c>
      <c r="W817" s="582" t="e">
        <f t="shared" si="607"/>
        <v>#REF!</v>
      </c>
      <c r="X817" s="581">
        <f>+'20,5,2 PERGOLA  METALICA'!I50</f>
        <v>7027.8</v>
      </c>
      <c r="Y817" s="582">
        <f t="shared" si="608"/>
        <v>0</v>
      </c>
      <c r="Z817" s="581">
        <f>+'20,5,2 PERGOLA  METALICA'!I30</f>
        <v>573.41</v>
      </c>
      <c r="AA817" s="582">
        <f t="shared" si="609"/>
        <v>0</v>
      </c>
      <c r="AB817" s="581">
        <f>+'20,5,2 PERGOLA  METALICA'!I41</f>
        <v>0</v>
      </c>
      <c r="AC817" s="582">
        <f t="shared" si="610"/>
        <v>0</v>
      </c>
      <c r="AE817" s="769" t="e">
        <f t="shared" si="586"/>
        <v>#REF!</v>
      </c>
    </row>
    <row r="818" spans="1:31" ht="15" hidden="1" customHeight="1" x14ac:dyDescent="0.2">
      <c r="A818" s="611" t="s">
        <v>1993</v>
      </c>
      <c r="B818" s="601" t="s">
        <v>1994</v>
      </c>
      <c r="C818" s="611" t="s">
        <v>119</v>
      </c>
      <c r="D818" s="576">
        <f t="shared" si="599"/>
        <v>0</v>
      </c>
      <c r="E818" s="577" t="e">
        <f t="shared" si="573"/>
        <v>#REF!</v>
      </c>
      <c r="F818" s="577" t="e">
        <f t="shared" si="600"/>
        <v>#REF!</v>
      </c>
      <c r="G818" s="578"/>
      <c r="I818" s="584"/>
      <c r="J818" s="585" t="e">
        <f t="shared" si="601"/>
        <v>#REF!</v>
      </c>
      <c r="K818" s="537"/>
      <c r="L818" s="445" t="e">
        <f t="shared" si="602"/>
        <v>#REF!</v>
      </c>
      <c r="M818" s="542"/>
      <c r="N818" s="445" t="e">
        <f t="shared" si="603"/>
        <v>#REF!</v>
      </c>
      <c r="O818" s="542"/>
      <c r="P818" s="445" t="e">
        <f t="shared" si="604"/>
        <v>#REF!</v>
      </c>
      <c r="Q818" s="542"/>
      <c r="R818" s="445" t="e">
        <f t="shared" si="605"/>
        <v>#REF!</v>
      </c>
      <c r="S818" s="542"/>
      <c r="T818" s="445" t="e">
        <f t="shared" si="606"/>
        <v>#REF!</v>
      </c>
      <c r="V818" s="581" t="e">
        <f>+'20,5,3  Acero 37000  Ext.'!I19</f>
        <v>#REF!</v>
      </c>
      <c r="W818" s="582" t="e">
        <f t="shared" si="607"/>
        <v>#REF!</v>
      </c>
      <c r="X818" s="581">
        <f>+'20,5,3  Acero 37000  Ext.'!I50</f>
        <v>360.08</v>
      </c>
      <c r="Y818" s="582">
        <f t="shared" si="608"/>
        <v>0</v>
      </c>
      <c r="Z818" s="581">
        <f>+'20,5,3  Acero 37000  Ext.'!I30</f>
        <v>20.61</v>
      </c>
      <c r="AA818" s="582">
        <f t="shared" si="609"/>
        <v>0</v>
      </c>
      <c r="AB818" s="581">
        <f>+'20,5,3  Acero 37000  Ext.'!I41</f>
        <v>0</v>
      </c>
      <c r="AC818" s="582">
        <f t="shared" si="610"/>
        <v>0</v>
      </c>
      <c r="AE818" s="769" t="e">
        <f t="shared" si="586"/>
        <v>#REF!</v>
      </c>
    </row>
    <row r="819" spans="1:31" ht="15" hidden="1" customHeight="1" x14ac:dyDescent="0.2">
      <c r="A819" s="611" t="s">
        <v>1995</v>
      </c>
      <c r="B819" s="601" t="s">
        <v>1996</v>
      </c>
      <c r="C819" s="611" t="s">
        <v>119</v>
      </c>
      <c r="D819" s="576">
        <f t="shared" si="599"/>
        <v>0</v>
      </c>
      <c r="E819" s="577" t="e">
        <f t="shared" si="573"/>
        <v>#REF!</v>
      </c>
      <c r="F819" s="577" t="e">
        <f t="shared" si="600"/>
        <v>#REF!</v>
      </c>
      <c r="G819" s="578"/>
      <c r="I819" s="584"/>
      <c r="J819" s="585" t="e">
        <f t="shared" si="601"/>
        <v>#REF!</v>
      </c>
      <c r="K819" s="537"/>
      <c r="L819" s="445" t="e">
        <f t="shared" si="602"/>
        <v>#REF!</v>
      </c>
      <c r="M819" s="542"/>
      <c r="N819" s="445" t="e">
        <f t="shared" si="603"/>
        <v>#REF!</v>
      </c>
      <c r="O819" s="542"/>
      <c r="P819" s="445" t="e">
        <f t="shared" si="604"/>
        <v>#REF!</v>
      </c>
      <c r="Q819" s="542"/>
      <c r="R819" s="445" t="e">
        <f t="shared" si="605"/>
        <v>#REF!</v>
      </c>
      <c r="S819" s="542"/>
      <c r="T819" s="445" t="e">
        <f t="shared" si="606"/>
        <v>#REF!</v>
      </c>
      <c r="V819" s="581" t="e">
        <f>+'20,5,4 Acero 60000 psi'!I19</f>
        <v>#REF!</v>
      </c>
      <c r="W819" s="582" t="e">
        <f t="shared" si="607"/>
        <v>#REF!</v>
      </c>
      <c r="X819" s="581">
        <f>+'20,5,4 Acero 60000 psi'!I50</f>
        <v>392.81</v>
      </c>
      <c r="Y819" s="582">
        <f t="shared" si="608"/>
        <v>0</v>
      </c>
      <c r="Z819" s="581">
        <f>+'20,5,4 Acero 60000 psi'!I30</f>
        <v>20.61</v>
      </c>
      <c r="AA819" s="582">
        <f t="shared" si="609"/>
        <v>0</v>
      </c>
      <c r="AB819" s="581">
        <f>+'20,5,4 Acero 60000 psi'!I41</f>
        <v>0</v>
      </c>
      <c r="AC819" s="582">
        <f t="shared" si="610"/>
        <v>0</v>
      </c>
      <c r="AE819" s="769" t="e">
        <f t="shared" si="586"/>
        <v>#REF!</v>
      </c>
    </row>
    <row r="820" spans="1:31" ht="15" hidden="1" customHeight="1" x14ac:dyDescent="0.2">
      <c r="A820" s="611" t="s">
        <v>1997</v>
      </c>
      <c r="B820" s="601" t="s">
        <v>678</v>
      </c>
      <c r="C820" s="611" t="s">
        <v>119</v>
      </c>
      <c r="D820" s="576">
        <f t="shared" si="599"/>
        <v>0</v>
      </c>
      <c r="E820" s="577" t="e">
        <f t="shared" si="573"/>
        <v>#REF!</v>
      </c>
      <c r="F820" s="577" t="e">
        <f t="shared" si="600"/>
        <v>#REF!</v>
      </c>
      <c r="G820" s="578"/>
      <c r="I820" s="584"/>
      <c r="J820" s="585" t="e">
        <f t="shared" si="601"/>
        <v>#REF!</v>
      </c>
      <c r="K820" s="537"/>
      <c r="L820" s="445" t="e">
        <f t="shared" si="602"/>
        <v>#REF!</v>
      </c>
      <c r="M820" s="542"/>
      <c r="N820" s="445" t="e">
        <f t="shared" si="603"/>
        <v>#REF!</v>
      </c>
      <c r="O820" s="542"/>
      <c r="P820" s="445" t="e">
        <f t="shared" si="604"/>
        <v>#REF!</v>
      </c>
      <c r="Q820" s="542"/>
      <c r="R820" s="445" t="e">
        <f t="shared" si="605"/>
        <v>#REF!</v>
      </c>
      <c r="S820" s="542"/>
      <c r="T820" s="445" t="e">
        <f t="shared" si="606"/>
        <v>#REF!</v>
      </c>
      <c r="V820" s="581" t="e">
        <f>+'20,5,5 Malla Electrosoldada  '!I19</f>
        <v>#REF!</v>
      </c>
      <c r="W820" s="582" t="e">
        <f t="shared" si="607"/>
        <v>#REF!</v>
      </c>
      <c r="X820" s="581">
        <f>+'20,5,5 Malla Electrosoldada  '!I50</f>
        <v>617.28</v>
      </c>
      <c r="Y820" s="582">
        <f t="shared" si="608"/>
        <v>0</v>
      </c>
      <c r="Z820" s="581">
        <f>+'20,5,5 Malla Electrosoldada  '!I30</f>
        <v>18.55</v>
      </c>
      <c r="AA820" s="582">
        <f t="shared" si="609"/>
        <v>0</v>
      </c>
      <c r="AB820" s="581">
        <f>+'20,5,5 Malla Electrosoldada  '!I41</f>
        <v>0</v>
      </c>
      <c r="AC820" s="582">
        <f t="shared" si="610"/>
        <v>0</v>
      </c>
      <c r="AE820" s="769" t="e">
        <f t="shared" si="586"/>
        <v>#REF!</v>
      </c>
    </row>
    <row r="821" spans="1:31" ht="15" hidden="1" customHeight="1" thickBot="1" x14ac:dyDescent="0.25">
      <c r="A821" s="611" t="s">
        <v>1998</v>
      </c>
      <c r="B821" s="601" t="s">
        <v>1395</v>
      </c>
      <c r="C821" s="611"/>
      <c r="D821" s="576">
        <f t="shared" si="599"/>
        <v>0</v>
      </c>
      <c r="E821" s="577">
        <f t="shared" si="573"/>
        <v>0</v>
      </c>
      <c r="F821" s="577">
        <f t="shared" si="600"/>
        <v>0</v>
      </c>
      <c r="G821" s="578"/>
      <c r="H821" s="695"/>
      <c r="I821" s="602"/>
      <c r="J821" s="603">
        <f t="shared" si="601"/>
        <v>0</v>
      </c>
      <c r="K821" s="537"/>
      <c r="L821" s="445">
        <f t="shared" si="602"/>
        <v>0</v>
      </c>
      <c r="M821" s="542"/>
      <c r="N821" s="445">
        <f t="shared" si="603"/>
        <v>0</v>
      </c>
      <c r="O821" s="542"/>
      <c r="P821" s="445">
        <f t="shared" si="604"/>
        <v>0</v>
      </c>
      <c r="Q821" s="542"/>
      <c r="R821" s="445">
        <f t="shared" si="605"/>
        <v>0</v>
      </c>
      <c r="S821" s="542"/>
      <c r="T821" s="445">
        <f t="shared" si="606"/>
        <v>0</v>
      </c>
      <c r="V821" s="581"/>
      <c r="W821" s="582">
        <f t="shared" si="607"/>
        <v>0</v>
      </c>
      <c r="X821" s="581"/>
      <c r="Y821" s="582">
        <f t="shared" si="608"/>
        <v>0</v>
      </c>
      <c r="Z821" s="581"/>
      <c r="AA821" s="582">
        <f t="shared" si="609"/>
        <v>0</v>
      </c>
      <c r="AB821" s="581"/>
      <c r="AC821" s="582">
        <f t="shared" si="610"/>
        <v>0</v>
      </c>
      <c r="AE821" s="769">
        <f t="shared" si="586"/>
        <v>0</v>
      </c>
    </row>
    <row r="822" spans="1:31" ht="15" hidden="1" customHeight="1" thickTop="1" x14ac:dyDescent="0.2">
      <c r="A822" s="611"/>
      <c r="B822" s="601"/>
      <c r="C822" s="611"/>
      <c r="D822" s="576"/>
      <c r="E822" s="577"/>
      <c r="F822" s="577"/>
      <c r="G822" s="578"/>
      <c r="I822" s="604"/>
      <c r="J822" s="635"/>
      <c r="K822" s="537"/>
      <c r="L822" s="445"/>
      <c r="M822" s="542"/>
      <c r="N822" s="445"/>
      <c r="O822" s="542"/>
      <c r="P822" s="445"/>
      <c r="Q822" s="542"/>
      <c r="R822" s="445"/>
      <c r="S822" s="542"/>
      <c r="T822" s="445"/>
      <c r="V822" s="581"/>
      <c r="W822" s="582"/>
      <c r="X822" s="581"/>
      <c r="Y822" s="582"/>
      <c r="Z822" s="581"/>
      <c r="AA822" s="582"/>
      <c r="AB822" s="581"/>
      <c r="AC822" s="582"/>
      <c r="AE822" s="769">
        <f t="shared" si="586"/>
        <v>0</v>
      </c>
    </row>
    <row r="823" spans="1:31" s="672" customFormat="1" ht="6.75" customHeight="1" thickBot="1" x14ac:dyDescent="0.25">
      <c r="A823" s="919"/>
      <c r="B823" s="920"/>
      <c r="C823" s="919"/>
      <c r="D823" s="655"/>
      <c r="E823" s="656"/>
      <c r="F823" s="656"/>
      <c r="G823" s="656"/>
      <c r="H823" s="657"/>
      <c r="I823" s="658"/>
      <c r="J823" s="658"/>
      <c r="K823" s="659"/>
      <c r="L823" s="658"/>
      <c r="M823" s="174"/>
      <c r="N823" s="658"/>
      <c r="O823" s="174"/>
      <c r="P823" s="658"/>
      <c r="Q823" s="174"/>
      <c r="R823" s="658"/>
      <c r="S823" s="174"/>
      <c r="T823" s="658"/>
      <c r="U823" s="657"/>
      <c r="V823" s="667"/>
      <c r="W823" s="667"/>
      <c r="X823" s="667"/>
      <c r="Y823" s="667"/>
      <c r="Z823" s="667"/>
      <c r="AA823" s="667"/>
      <c r="AB823" s="667"/>
      <c r="AC823" s="667"/>
      <c r="AE823" s="769">
        <f t="shared" si="586"/>
        <v>0</v>
      </c>
    </row>
    <row r="824" spans="1:31" s="571" customFormat="1" ht="30" customHeight="1" thickTop="1" thickBot="1" x14ac:dyDescent="0.25">
      <c r="A824" s="564">
        <v>21</v>
      </c>
      <c r="B824" s="1045" t="s">
        <v>1999</v>
      </c>
      <c r="C824" s="1045"/>
      <c r="D824" s="1045"/>
      <c r="E824" s="1045"/>
      <c r="F824" s="1045"/>
      <c r="G824" s="180" t="e">
        <f>ROUND(F825+F830,10)</f>
        <v>#REF!</v>
      </c>
      <c r="H824" s="639"/>
      <c r="I824" s="696"/>
      <c r="J824" s="439" t="e">
        <f>+ROUND(J825+J830,10)</f>
        <v>#REF!</v>
      </c>
      <c r="K824" s="617"/>
      <c r="L824" s="180" t="e">
        <f>+ROUND(L825+L830,10)</f>
        <v>#REF!</v>
      </c>
      <c r="M824" s="180"/>
      <c r="N824" s="180" t="e">
        <f>+ROUND(N825+N830,10)</f>
        <v>#REF!</v>
      </c>
      <c r="O824" s="180"/>
      <c r="P824" s="180" t="e">
        <f>+ROUND(P825+P830,10)</f>
        <v>#REF!</v>
      </c>
      <c r="Q824" s="180"/>
      <c r="R824" s="180" t="e">
        <f>+ROUND(R825+R830,10)</f>
        <v>#REF!</v>
      </c>
      <c r="S824" s="180"/>
      <c r="T824" s="180" t="e">
        <f>+ROUND(T825+T830,10)</f>
        <v>#REF!</v>
      </c>
      <c r="U824" s="568"/>
      <c r="V824" s="569" t="e">
        <f>W824/$G$824</f>
        <v>#REF!</v>
      </c>
      <c r="W824" s="570" t="e">
        <f>ROUND(W825+W830,10)</f>
        <v>#REF!</v>
      </c>
      <c r="X824" s="569" t="e">
        <f>Y824/$G$824</f>
        <v>#REF!</v>
      </c>
      <c r="Y824" s="570">
        <f>ROUND(Y825+Y830,10)</f>
        <v>2702425.4338006298</v>
      </c>
      <c r="Z824" s="569" t="e">
        <f>AA824/$G$824</f>
        <v>#REF!</v>
      </c>
      <c r="AA824" s="570">
        <f>ROUND(AA825+AA830,10)</f>
        <v>147098.44690668801</v>
      </c>
      <c r="AB824" s="569" t="e">
        <f>AC824/$G$824</f>
        <v>#REF!</v>
      </c>
      <c r="AC824" s="570">
        <f>ROUND(AC825+AC830,10)</f>
        <v>0</v>
      </c>
      <c r="AE824" s="769" t="e">
        <f t="shared" si="586"/>
        <v>#REF!</v>
      </c>
    </row>
    <row r="825" spans="1:31" ht="15" customHeight="1" thickTop="1" x14ac:dyDescent="0.2">
      <c r="A825" s="572" t="s">
        <v>2000</v>
      </c>
      <c r="B825" s="573" t="s">
        <v>2001</v>
      </c>
      <c r="C825" s="611"/>
      <c r="D825" s="576"/>
      <c r="E825" s="577"/>
      <c r="F825" s="626" t="e">
        <f>+ROUND(SUM(F826:F829),10)</f>
        <v>#REF!</v>
      </c>
      <c r="G825" s="578"/>
      <c r="H825" s="636"/>
      <c r="I825" s="697"/>
      <c r="J825" s="439" t="e">
        <f>ROUND(SUM(J826:J829),10)</f>
        <v>#REF!</v>
      </c>
      <c r="K825" s="619"/>
      <c r="L825" s="180" t="e">
        <f>ROUND(SUM(L826:L829),10)</f>
        <v>#REF!</v>
      </c>
      <c r="M825" s="473"/>
      <c r="N825" s="180" t="e">
        <f>ROUND(SUM(N826:N829),10)</f>
        <v>#REF!</v>
      </c>
      <c r="O825" s="473"/>
      <c r="P825" s="180" t="e">
        <f>ROUND(SUM(P826:P829),10)</f>
        <v>#REF!</v>
      </c>
      <c r="Q825" s="473"/>
      <c r="R825" s="180" t="e">
        <f>ROUND(SUM(R826:R829),10)</f>
        <v>#REF!</v>
      </c>
      <c r="S825" s="473"/>
      <c r="T825" s="180" t="e">
        <f>ROUND(SUM(T826:T829),10)</f>
        <v>#REF!</v>
      </c>
      <c r="V825" s="581"/>
      <c r="W825" s="570" t="e">
        <f>ROUND(SUM(W826:W829),10)</f>
        <v>#REF!</v>
      </c>
      <c r="X825" s="581"/>
      <c r="Y825" s="570">
        <f>ROUND(SUM(Y826:Y829),10)</f>
        <v>2702425.4338006298</v>
      </c>
      <c r="Z825" s="581"/>
      <c r="AA825" s="570">
        <f>ROUND(SUM(AA826:AA829),10)</f>
        <v>147098.44690668801</v>
      </c>
      <c r="AB825" s="581"/>
      <c r="AC825" s="570">
        <f>ROUND(SUM(AC826:AC829),10)</f>
        <v>0</v>
      </c>
      <c r="AE825" s="769" t="e">
        <f t="shared" si="586"/>
        <v>#REF!</v>
      </c>
    </row>
    <row r="826" spans="1:31" ht="15" hidden="1" customHeight="1" x14ac:dyDescent="0.2">
      <c r="A826" s="611" t="s">
        <v>2002</v>
      </c>
      <c r="B826" s="601" t="s">
        <v>2003</v>
      </c>
      <c r="C826" s="611" t="s">
        <v>130</v>
      </c>
      <c r="D826" s="576">
        <f>+I826+K826+M826+O826+Q826+S826</f>
        <v>0</v>
      </c>
      <c r="E826" s="577" t="e">
        <f t="shared" ref="E826:E837" si="611">V826+X826+Z826+AB826</f>
        <v>#REF!</v>
      </c>
      <c r="F826" s="577" t="e">
        <f>ROUND(D826*E826,10)</f>
        <v>#REF!</v>
      </c>
      <c r="G826" s="578"/>
      <c r="I826" s="594"/>
      <c r="J826" s="580" t="e">
        <f>+ROUND(E826*I826,10)</f>
        <v>#REF!</v>
      </c>
      <c r="K826" s="538"/>
      <c r="L826" s="445" t="e">
        <f>+ROUND(E826*K826,10)</f>
        <v>#REF!</v>
      </c>
      <c r="M826" s="542"/>
      <c r="N826" s="445" t="e">
        <f>+ROUND(E826*M826,10)</f>
        <v>#REF!</v>
      </c>
      <c r="O826" s="542"/>
      <c r="P826" s="445" t="e">
        <f>+ROUND(E826*O826,10)</f>
        <v>#REF!</v>
      </c>
      <c r="Q826" s="542"/>
      <c r="R826" s="445" t="e">
        <f>+ROUND(E826*Q826,10)</f>
        <v>#REF!</v>
      </c>
      <c r="S826" s="542"/>
      <c r="T826" s="445" t="e">
        <f>+ROUND(E826*S826,10)</f>
        <v>#REF!</v>
      </c>
      <c r="V826" s="581" t="e">
        <f>+'21,1,1 Lavada ladrillo '!I19</f>
        <v>#REF!</v>
      </c>
      <c r="W826" s="582" t="e">
        <f>ROUND(V826*$D826,10)</f>
        <v>#REF!</v>
      </c>
      <c r="X826" s="581">
        <f>+'21,1,1 Lavada ladrillo '!I50</f>
        <v>2524.2399999999998</v>
      </c>
      <c r="Y826" s="582">
        <f>ROUND(X826*$D826,10)</f>
        <v>0</v>
      </c>
      <c r="Z826" s="581">
        <f>+'21,1,1 Lavada ladrillo '!I30</f>
        <v>562.39</v>
      </c>
      <c r="AA826" s="582">
        <f>ROUND(Z826*$D826,10)</f>
        <v>0</v>
      </c>
      <c r="AB826" s="581">
        <f>+'21,1,1 Lavada ladrillo '!I41</f>
        <v>0</v>
      </c>
      <c r="AC826" s="582">
        <f>ROUND(AB826*$D826,10)</f>
        <v>0</v>
      </c>
      <c r="AE826" s="769" t="e">
        <f t="shared" si="586"/>
        <v>#REF!</v>
      </c>
    </row>
    <row r="827" spans="1:31" ht="15" hidden="1" customHeight="1" x14ac:dyDescent="0.2">
      <c r="A827" s="611" t="s">
        <v>2004</v>
      </c>
      <c r="B827" s="601" t="s">
        <v>2005</v>
      </c>
      <c r="C827" s="611" t="s">
        <v>130</v>
      </c>
      <c r="D827" s="576">
        <f>+I827+K827+M827+O827+Q827+S827</f>
        <v>0</v>
      </c>
      <c r="E827" s="577">
        <f t="shared" si="611"/>
        <v>0</v>
      </c>
      <c r="F827" s="577">
        <f>ROUND(D827*E827,10)</f>
        <v>0</v>
      </c>
      <c r="G827" s="578"/>
      <c r="I827" s="584"/>
      <c r="J827" s="585">
        <f>+ROUND(E827*I827,10)</f>
        <v>0</v>
      </c>
      <c r="K827" s="537"/>
      <c r="L827" s="445">
        <f>+ROUND(E827*K827,10)</f>
        <v>0</v>
      </c>
      <c r="M827" s="542"/>
      <c r="N827" s="445">
        <f>+ROUND(E827*M827,10)</f>
        <v>0</v>
      </c>
      <c r="O827" s="542"/>
      <c r="P827" s="445">
        <f>+ROUND(E827*O827,10)</f>
        <v>0</v>
      </c>
      <c r="Q827" s="542"/>
      <c r="R827" s="445">
        <f>+ROUND(E827*Q827,10)</f>
        <v>0</v>
      </c>
      <c r="S827" s="542"/>
      <c r="T827" s="445">
        <f>+ROUND(E827*S827,10)</f>
        <v>0</v>
      </c>
      <c r="V827" s="581"/>
      <c r="W827" s="582">
        <f>ROUND(V827*$D827,10)</f>
        <v>0</v>
      </c>
      <c r="X827" s="581"/>
      <c r="Y827" s="582">
        <f>ROUND(X827*$D827,10)</f>
        <v>0</v>
      </c>
      <c r="Z827" s="581"/>
      <c r="AA827" s="582">
        <f>ROUND(Z827*$D827,10)</f>
        <v>0</v>
      </c>
      <c r="AB827" s="581"/>
      <c r="AC827" s="582">
        <f>ROUND(AB827*$D827,10)</f>
        <v>0</v>
      </c>
      <c r="AE827" s="769">
        <f t="shared" si="586"/>
        <v>0</v>
      </c>
    </row>
    <row r="828" spans="1:31" ht="15.75" customHeight="1" x14ac:dyDescent="0.2">
      <c r="A828" s="611" t="s">
        <v>2006</v>
      </c>
      <c r="B828" s="601" t="s">
        <v>2007</v>
      </c>
      <c r="C828" s="611" t="s">
        <v>130</v>
      </c>
      <c r="D828" s="576">
        <f>+I828+K828+M828+O828+Q828+S828</f>
        <v>1784.3091570437628</v>
      </c>
      <c r="E828" s="577" t="e">
        <f t="shared" si="611"/>
        <v>#REF!</v>
      </c>
      <c r="F828" s="577" t="e">
        <f>ROUND(D828*E828,10)</f>
        <v>#REF!</v>
      </c>
      <c r="G828" s="578"/>
      <c r="I828" s="584"/>
      <c r="J828" s="585" t="e">
        <f>+ROUND(E828*I828,10)</f>
        <v>#REF!</v>
      </c>
      <c r="K828" s="537">
        <v>780.48915704376293</v>
      </c>
      <c r="L828" s="445" t="e">
        <f>+ROUND(E828*K828,10)</f>
        <v>#REF!</v>
      </c>
      <c r="M828" s="542">
        <v>87.29</v>
      </c>
      <c r="N828" s="445" t="e">
        <f>+ROUND(E828*M828,10)</f>
        <v>#REF!</v>
      </c>
      <c r="O828" s="542">
        <v>118.77</v>
      </c>
      <c r="P828" s="445" t="e">
        <f>+ROUND(E828*O828,10)</f>
        <v>#REF!</v>
      </c>
      <c r="Q828" s="542">
        <v>336.01</v>
      </c>
      <c r="R828" s="445" t="e">
        <f>+ROUND(E828*Q828,10)</f>
        <v>#REF!</v>
      </c>
      <c r="S828" s="542">
        <f>74.13+209.99+177.63</f>
        <v>461.75</v>
      </c>
      <c r="T828" s="445" t="e">
        <f>+ROUND(E828*S828,10)</f>
        <v>#REF!</v>
      </c>
      <c r="V828" s="581" t="e">
        <f>+'21,1,3 Aseo'!I19</f>
        <v>#REF!</v>
      </c>
      <c r="W828" s="582" t="e">
        <f>ROUND(V828*$D828,10)</f>
        <v>#REF!</v>
      </c>
      <c r="X828" s="581">
        <f>+'21,1,3 Aseo'!I50</f>
        <v>1514.55</v>
      </c>
      <c r="Y828" s="582">
        <f>ROUND(X828*$D828,10)</f>
        <v>2702425.4338006298</v>
      </c>
      <c r="Z828" s="581">
        <f>+'21,1,3 Aseo'!I30</f>
        <v>82.44</v>
      </c>
      <c r="AA828" s="582">
        <f>ROUND(Z828*$D828,10)</f>
        <v>147098.44690668801</v>
      </c>
      <c r="AB828" s="581"/>
      <c r="AC828" s="582">
        <f>ROUND(AB828*$D828,10)</f>
        <v>0</v>
      </c>
      <c r="AE828" s="769" t="e">
        <f t="shared" si="586"/>
        <v>#REF!</v>
      </c>
    </row>
    <row r="829" spans="1:31" s="595" customFormat="1" ht="18" hidden="1" customHeight="1" x14ac:dyDescent="0.2">
      <c r="A829" s="611" t="s">
        <v>2008</v>
      </c>
      <c r="B829" s="601" t="s">
        <v>2009</v>
      </c>
      <c r="C829" s="611" t="s">
        <v>155</v>
      </c>
      <c r="D829" s="576">
        <f>+I829+K829+M829+O829+Q829+S829</f>
        <v>0</v>
      </c>
      <c r="E829" s="577">
        <f t="shared" si="611"/>
        <v>9568.51</v>
      </c>
      <c r="F829" s="577">
        <f>ROUND(D829*E829,10)</f>
        <v>0</v>
      </c>
      <c r="G829" s="578"/>
      <c r="H829" s="552"/>
      <c r="I829" s="597"/>
      <c r="J829" s="598">
        <f>+ROUND(E829*I829,10)</f>
        <v>0</v>
      </c>
      <c r="K829" s="537"/>
      <c r="L829" s="445">
        <f>+ROUND(E829*K829,10)</f>
        <v>0</v>
      </c>
      <c r="M829" s="542"/>
      <c r="N829" s="445">
        <f>+ROUND(E829*M829,10)</f>
        <v>0</v>
      </c>
      <c r="O829" s="542"/>
      <c r="P829" s="445">
        <f>+ROUND(E829*O829,10)</f>
        <v>0</v>
      </c>
      <c r="Q829" s="542"/>
      <c r="R829" s="445">
        <f>+ROUND(E829*Q829,10)</f>
        <v>0</v>
      </c>
      <c r="S829" s="542"/>
      <c r="T829" s="445">
        <f>+ROUND(E829*S829,10)</f>
        <v>0</v>
      </c>
      <c r="U829" s="552"/>
      <c r="V829" s="645"/>
      <c r="W829" s="582">
        <f>ROUND(V829*$D829,10)</f>
        <v>0</v>
      </c>
      <c r="X829" s="581">
        <f>+'21,1,4 Retiro Escombros'!I50</f>
        <v>7713.51</v>
      </c>
      <c r="Y829" s="582">
        <f>ROUND(X829*$D829,10)</f>
        <v>0</v>
      </c>
      <c r="Z829" s="581">
        <f>+'21,1,4 Retiro Escombros'!I30</f>
        <v>1855</v>
      </c>
      <c r="AA829" s="582">
        <f>ROUND(Z829*$D829,10)</f>
        <v>0</v>
      </c>
      <c r="AB829" s="581">
        <f>+'21,1,4 Retiro Escombros'!I41</f>
        <v>0</v>
      </c>
      <c r="AC829" s="582">
        <f>ROUND(AB829*$D829,10)</f>
        <v>0</v>
      </c>
      <c r="AD829" s="912"/>
      <c r="AE829" s="769">
        <f t="shared" si="586"/>
        <v>0</v>
      </c>
    </row>
    <row r="830" spans="1:31" ht="15" hidden="1" customHeight="1" x14ac:dyDescent="0.2">
      <c r="A830" s="572" t="s">
        <v>2010</v>
      </c>
      <c r="B830" s="573" t="s">
        <v>2011</v>
      </c>
      <c r="C830" s="846"/>
      <c r="D830" s="576"/>
      <c r="E830" s="577"/>
      <c r="F830" s="180">
        <f>+ROUND(SUM(F831:F837),10)</f>
        <v>0</v>
      </c>
      <c r="G830" s="473"/>
      <c r="H830" s="568"/>
      <c r="I830" s="613"/>
      <c r="J830" s="440">
        <f>ROUND(SUM(J831:J837),10)</f>
        <v>0</v>
      </c>
      <c r="K830" s="537"/>
      <c r="L830" s="180">
        <f>ROUND(SUM(L831:L837),10)</f>
        <v>0</v>
      </c>
      <c r="M830" s="542"/>
      <c r="N830" s="180">
        <f>ROUND(SUM(N831:N837),10)</f>
        <v>0</v>
      </c>
      <c r="O830" s="542"/>
      <c r="P830" s="180">
        <f>ROUND(SUM(P831:P837),10)</f>
        <v>0</v>
      </c>
      <c r="Q830" s="542"/>
      <c r="R830" s="180">
        <f>ROUND(SUM(R831:R837),10)</f>
        <v>0</v>
      </c>
      <c r="S830" s="542"/>
      <c r="T830" s="180">
        <f>ROUND(SUM(T831:T837),10)</f>
        <v>0</v>
      </c>
      <c r="U830" s="568"/>
      <c r="V830" s="646"/>
      <c r="W830" s="570">
        <f>ROUND(SUM(W831:W837),10)</f>
        <v>0</v>
      </c>
      <c r="X830" s="646"/>
      <c r="Y830" s="570">
        <f>ROUND(SUM(Y831:Y837),10)</f>
        <v>0</v>
      </c>
      <c r="Z830" s="646"/>
      <c r="AA830" s="570">
        <f>ROUND(SUM(AA831:AA837),10)</f>
        <v>0</v>
      </c>
      <c r="AB830" s="646"/>
      <c r="AC830" s="570">
        <f>ROUND(SUM(AC831:AC837),10)</f>
        <v>0</v>
      </c>
      <c r="AE830" s="769">
        <f t="shared" si="586"/>
        <v>0</v>
      </c>
    </row>
    <row r="831" spans="1:31" ht="15" hidden="1" customHeight="1" x14ac:dyDescent="0.2">
      <c r="A831" s="611" t="s">
        <v>2012</v>
      </c>
      <c r="B831" s="601" t="s">
        <v>2013</v>
      </c>
      <c r="C831" s="611" t="s">
        <v>111</v>
      </c>
      <c r="D831" s="576">
        <f t="shared" ref="D831:D837" si="612">+I831+K831+M831+O831+Q831+S831</f>
        <v>0</v>
      </c>
      <c r="E831" s="577">
        <f t="shared" si="611"/>
        <v>0</v>
      </c>
      <c r="F831" s="577">
        <f t="shared" ref="F831:F837" si="613">ROUND(D831*E831,10)</f>
        <v>0</v>
      </c>
      <c r="G831" s="578"/>
      <c r="I831" s="594"/>
      <c r="J831" s="580">
        <f t="shared" ref="J831:J837" si="614">+ROUND(E831*I831,10)</f>
        <v>0</v>
      </c>
      <c r="K831" s="537"/>
      <c r="L831" s="445">
        <f t="shared" ref="L831:L837" si="615">+ROUND(E831*K831,10)</f>
        <v>0</v>
      </c>
      <c r="M831" s="542"/>
      <c r="N831" s="445">
        <f t="shared" ref="N831:N837" si="616">+ROUND(E831*M831,10)</f>
        <v>0</v>
      </c>
      <c r="O831" s="542"/>
      <c r="P831" s="445">
        <f t="shared" ref="P831:P837" si="617">+ROUND(E831*O831,10)</f>
        <v>0</v>
      </c>
      <c r="Q831" s="542"/>
      <c r="R831" s="445">
        <f t="shared" ref="R831:R837" si="618">+ROUND(E831*Q831,10)</f>
        <v>0</v>
      </c>
      <c r="S831" s="542"/>
      <c r="T831" s="445">
        <f t="shared" ref="T831:T837" si="619">+ROUND(E831*S831,10)</f>
        <v>0</v>
      </c>
      <c r="V831" s="645"/>
      <c r="W831" s="582">
        <f t="shared" ref="W831:W837" si="620">ROUND(V831*$D831,10)</f>
        <v>0</v>
      </c>
      <c r="X831" s="645"/>
      <c r="Y831" s="582">
        <f t="shared" ref="Y831:Y837" si="621">ROUND(X831*$D831,10)</f>
        <v>0</v>
      </c>
      <c r="Z831" s="645"/>
      <c r="AA831" s="582">
        <f t="shared" ref="AA831:AA837" si="622">ROUND(Z831*$D831,10)</f>
        <v>0</v>
      </c>
      <c r="AB831" s="645"/>
      <c r="AC831" s="582">
        <f t="shared" ref="AC831:AC837" si="623">ROUND(AB831*$D831,10)</f>
        <v>0</v>
      </c>
      <c r="AE831" s="769">
        <f t="shared" si="586"/>
        <v>0</v>
      </c>
    </row>
    <row r="832" spans="1:31" ht="15" hidden="1" customHeight="1" x14ac:dyDescent="0.2">
      <c r="A832" s="611" t="s">
        <v>2014</v>
      </c>
      <c r="B832" s="601" t="s">
        <v>2015</v>
      </c>
      <c r="C832" s="611" t="s">
        <v>111</v>
      </c>
      <c r="D832" s="576">
        <f t="shared" si="612"/>
        <v>0</v>
      </c>
      <c r="E832" s="577">
        <f t="shared" si="611"/>
        <v>0</v>
      </c>
      <c r="F832" s="577">
        <f t="shared" si="613"/>
        <v>0</v>
      </c>
      <c r="G832" s="578"/>
      <c r="I832" s="584"/>
      <c r="J832" s="585">
        <f t="shared" si="614"/>
        <v>0</v>
      </c>
      <c r="K832" s="537"/>
      <c r="L832" s="445">
        <f t="shared" si="615"/>
        <v>0</v>
      </c>
      <c r="M832" s="542"/>
      <c r="N832" s="445">
        <f t="shared" si="616"/>
        <v>0</v>
      </c>
      <c r="O832" s="542"/>
      <c r="P832" s="445">
        <f t="shared" si="617"/>
        <v>0</v>
      </c>
      <c r="Q832" s="542"/>
      <c r="R832" s="445">
        <f t="shared" si="618"/>
        <v>0</v>
      </c>
      <c r="S832" s="542"/>
      <c r="T832" s="445">
        <f t="shared" si="619"/>
        <v>0</v>
      </c>
      <c r="V832" s="645"/>
      <c r="W832" s="582">
        <f t="shared" si="620"/>
        <v>0</v>
      </c>
      <c r="X832" s="645"/>
      <c r="Y832" s="582">
        <f t="shared" si="621"/>
        <v>0</v>
      </c>
      <c r="Z832" s="645"/>
      <c r="AA832" s="582">
        <f t="shared" si="622"/>
        <v>0</v>
      </c>
      <c r="AB832" s="645"/>
      <c r="AC832" s="582">
        <f t="shared" si="623"/>
        <v>0</v>
      </c>
      <c r="AE832" s="769">
        <f t="shared" si="586"/>
        <v>0</v>
      </c>
    </row>
    <row r="833" spans="1:31" ht="15" hidden="1" customHeight="1" x14ac:dyDescent="0.2">
      <c r="A833" s="611" t="s">
        <v>2016</v>
      </c>
      <c r="B833" s="601" t="s">
        <v>2017</v>
      </c>
      <c r="C833" s="611" t="s">
        <v>111</v>
      </c>
      <c r="D833" s="576">
        <f t="shared" si="612"/>
        <v>0</v>
      </c>
      <c r="E833" s="577">
        <f t="shared" si="611"/>
        <v>0</v>
      </c>
      <c r="F833" s="577">
        <f t="shared" si="613"/>
        <v>0</v>
      </c>
      <c r="G833" s="578"/>
      <c r="I833" s="584"/>
      <c r="J833" s="585">
        <f t="shared" si="614"/>
        <v>0</v>
      </c>
      <c r="K833" s="537"/>
      <c r="L833" s="445">
        <f t="shared" si="615"/>
        <v>0</v>
      </c>
      <c r="M833" s="542"/>
      <c r="N833" s="445">
        <f t="shared" si="616"/>
        <v>0</v>
      </c>
      <c r="O833" s="542"/>
      <c r="P833" s="445">
        <f t="shared" si="617"/>
        <v>0</v>
      </c>
      <c r="Q833" s="542"/>
      <c r="R833" s="445">
        <f t="shared" si="618"/>
        <v>0</v>
      </c>
      <c r="S833" s="542"/>
      <c r="T833" s="445">
        <f t="shared" si="619"/>
        <v>0</v>
      </c>
      <c r="V833" s="645"/>
      <c r="W833" s="582">
        <f t="shared" si="620"/>
        <v>0</v>
      </c>
      <c r="X833" s="645"/>
      <c r="Y833" s="582">
        <f t="shared" si="621"/>
        <v>0</v>
      </c>
      <c r="Z833" s="645"/>
      <c r="AA833" s="582">
        <f t="shared" si="622"/>
        <v>0</v>
      </c>
      <c r="AB833" s="645"/>
      <c r="AC833" s="582">
        <f t="shared" si="623"/>
        <v>0</v>
      </c>
      <c r="AE833" s="769">
        <f t="shared" si="586"/>
        <v>0</v>
      </c>
    </row>
    <row r="834" spans="1:31" ht="15" hidden="1" customHeight="1" x14ac:dyDescent="0.2">
      <c r="A834" s="611" t="s">
        <v>2018</v>
      </c>
      <c r="B834" s="601" t="s">
        <v>2019</v>
      </c>
      <c r="C834" s="611" t="s">
        <v>111</v>
      </c>
      <c r="D834" s="576">
        <f t="shared" si="612"/>
        <v>0</v>
      </c>
      <c r="E834" s="577">
        <f t="shared" si="611"/>
        <v>0</v>
      </c>
      <c r="F834" s="577">
        <f t="shared" si="613"/>
        <v>0</v>
      </c>
      <c r="G834" s="578"/>
      <c r="I834" s="584"/>
      <c r="J834" s="585">
        <f t="shared" si="614"/>
        <v>0</v>
      </c>
      <c r="K834" s="537"/>
      <c r="L834" s="445">
        <f t="shared" si="615"/>
        <v>0</v>
      </c>
      <c r="M834" s="542"/>
      <c r="N834" s="445">
        <f t="shared" si="616"/>
        <v>0</v>
      </c>
      <c r="O834" s="542"/>
      <c r="P834" s="445">
        <f t="shared" si="617"/>
        <v>0</v>
      </c>
      <c r="Q834" s="542"/>
      <c r="R834" s="445">
        <f t="shared" si="618"/>
        <v>0</v>
      </c>
      <c r="S834" s="542"/>
      <c r="T834" s="445">
        <f t="shared" si="619"/>
        <v>0</v>
      </c>
      <c r="V834" s="645"/>
      <c r="W834" s="582">
        <f t="shared" si="620"/>
        <v>0</v>
      </c>
      <c r="X834" s="645"/>
      <c r="Y834" s="582">
        <f t="shared" si="621"/>
        <v>0</v>
      </c>
      <c r="Z834" s="645"/>
      <c r="AA834" s="582">
        <f t="shared" si="622"/>
        <v>0</v>
      </c>
      <c r="AB834" s="645"/>
      <c r="AC834" s="582">
        <f t="shared" si="623"/>
        <v>0</v>
      </c>
      <c r="AE834" s="769">
        <f t="shared" si="586"/>
        <v>0</v>
      </c>
    </row>
    <row r="835" spans="1:31" ht="15" hidden="1" customHeight="1" x14ac:dyDescent="0.2">
      <c r="A835" s="611" t="s">
        <v>2020</v>
      </c>
      <c r="B835" s="601" t="s">
        <v>2021</v>
      </c>
      <c r="C835" s="611" t="s">
        <v>111</v>
      </c>
      <c r="D835" s="576">
        <f t="shared" si="612"/>
        <v>0</v>
      </c>
      <c r="E835" s="577">
        <f t="shared" si="611"/>
        <v>0</v>
      </c>
      <c r="F835" s="577">
        <f t="shared" si="613"/>
        <v>0</v>
      </c>
      <c r="G835" s="578"/>
      <c r="I835" s="584"/>
      <c r="J835" s="585">
        <f t="shared" si="614"/>
        <v>0</v>
      </c>
      <c r="K835" s="537"/>
      <c r="L835" s="445">
        <f t="shared" si="615"/>
        <v>0</v>
      </c>
      <c r="M835" s="542"/>
      <c r="N835" s="445">
        <f t="shared" si="616"/>
        <v>0</v>
      </c>
      <c r="O835" s="542"/>
      <c r="P835" s="445">
        <f t="shared" si="617"/>
        <v>0</v>
      </c>
      <c r="Q835" s="542"/>
      <c r="R835" s="445">
        <f t="shared" si="618"/>
        <v>0</v>
      </c>
      <c r="S835" s="542"/>
      <c r="T835" s="445">
        <f t="shared" si="619"/>
        <v>0</v>
      </c>
      <c r="V835" s="645"/>
      <c r="W835" s="582">
        <f t="shared" si="620"/>
        <v>0</v>
      </c>
      <c r="X835" s="645"/>
      <c r="Y835" s="582">
        <f t="shared" si="621"/>
        <v>0</v>
      </c>
      <c r="Z835" s="645"/>
      <c r="AA835" s="582">
        <f t="shared" si="622"/>
        <v>0</v>
      </c>
      <c r="AB835" s="645"/>
      <c r="AC835" s="582">
        <f t="shared" si="623"/>
        <v>0</v>
      </c>
      <c r="AE835" s="769">
        <f t="shared" si="586"/>
        <v>0</v>
      </c>
    </row>
    <row r="836" spans="1:31" ht="15" hidden="1" customHeight="1" x14ac:dyDescent="0.2">
      <c r="A836" s="611" t="s">
        <v>2022</v>
      </c>
      <c r="B836" s="601" t="s">
        <v>2023</v>
      </c>
      <c r="C836" s="611" t="s">
        <v>111</v>
      </c>
      <c r="D836" s="576">
        <f t="shared" si="612"/>
        <v>0</v>
      </c>
      <c r="E836" s="577">
        <f t="shared" si="611"/>
        <v>0</v>
      </c>
      <c r="F836" s="577">
        <f t="shared" si="613"/>
        <v>0</v>
      </c>
      <c r="G836" s="578"/>
      <c r="I836" s="584"/>
      <c r="J836" s="585">
        <f t="shared" si="614"/>
        <v>0</v>
      </c>
      <c r="K836" s="537"/>
      <c r="L836" s="445">
        <f t="shared" si="615"/>
        <v>0</v>
      </c>
      <c r="M836" s="542"/>
      <c r="N836" s="445">
        <f t="shared" si="616"/>
        <v>0</v>
      </c>
      <c r="O836" s="542"/>
      <c r="P836" s="445">
        <f t="shared" si="617"/>
        <v>0</v>
      </c>
      <c r="Q836" s="542"/>
      <c r="R836" s="445">
        <f t="shared" si="618"/>
        <v>0</v>
      </c>
      <c r="S836" s="542"/>
      <c r="T836" s="445">
        <f t="shared" si="619"/>
        <v>0</v>
      </c>
      <c r="V836" s="645"/>
      <c r="W836" s="582">
        <f t="shared" si="620"/>
        <v>0</v>
      </c>
      <c r="X836" s="645"/>
      <c r="Y836" s="582">
        <f t="shared" si="621"/>
        <v>0</v>
      </c>
      <c r="Z836" s="645"/>
      <c r="AA836" s="582">
        <f t="shared" si="622"/>
        <v>0</v>
      </c>
      <c r="AB836" s="645"/>
      <c r="AC836" s="582">
        <f t="shared" si="623"/>
        <v>0</v>
      </c>
      <c r="AE836" s="769">
        <f t="shared" si="586"/>
        <v>0</v>
      </c>
    </row>
    <row r="837" spans="1:31" ht="15" hidden="1" customHeight="1" thickBot="1" x14ac:dyDescent="0.25">
      <c r="A837" s="611" t="s">
        <v>2024</v>
      </c>
      <c r="B837" s="601" t="s">
        <v>1395</v>
      </c>
      <c r="C837" s="611"/>
      <c r="D837" s="576">
        <f t="shared" si="612"/>
        <v>0</v>
      </c>
      <c r="E837" s="577">
        <f t="shared" si="611"/>
        <v>0</v>
      </c>
      <c r="F837" s="577">
        <f t="shared" si="613"/>
        <v>0</v>
      </c>
      <c r="G837" s="578"/>
      <c r="I837" s="602"/>
      <c r="J837" s="603">
        <f t="shared" si="614"/>
        <v>0</v>
      </c>
      <c r="K837" s="537"/>
      <c r="L837" s="445">
        <f t="shared" si="615"/>
        <v>0</v>
      </c>
      <c r="M837" s="542"/>
      <c r="N837" s="445">
        <f t="shared" si="616"/>
        <v>0</v>
      </c>
      <c r="O837" s="542"/>
      <c r="P837" s="445">
        <f t="shared" si="617"/>
        <v>0</v>
      </c>
      <c r="Q837" s="542"/>
      <c r="R837" s="445">
        <f t="shared" si="618"/>
        <v>0</v>
      </c>
      <c r="S837" s="542"/>
      <c r="T837" s="445">
        <f t="shared" si="619"/>
        <v>0</v>
      </c>
      <c r="V837" s="645"/>
      <c r="W837" s="582">
        <f t="shared" si="620"/>
        <v>0</v>
      </c>
      <c r="X837" s="645"/>
      <c r="Y837" s="582">
        <f t="shared" si="621"/>
        <v>0</v>
      </c>
      <c r="Z837" s="645"/>
      <c r="AA837" s="582">
        <f t="shared" si="622"/>
        <v>0</v>
      </c>
      <c r="AB837" s="645"/>
      <c r="AC837" s="582">
        <f t="shared" si="623"/>
        <v>0</v>
      </c>
      <c r="AE837" s="769">
        <f t="shared" si="586"/>
        <v>0</v>
      </c>
    </row>
    <row r="838" spans="1:31" s="672" customFormat="1" ht="15" hidden="1" customHeight="1" thickTop="1" x14ac:dyDescent="0.2">
      <c r="A838" s="627"/>
      <c r="B838" s="610"/>
      <c r="C838" s="627"/>
      <c r="D838" s="576"/>
      <c r="E838" s="668"/>
      <c r="F838" s="668"/>
      <c r="G838" s="668"/>
      <c r="H838" s="657"/>
      <c r="I838" s="658"/>
      <c r="J838" s="193" t="e">
        <f>+ROUND(J11+J42+J81+J123+J172+J205+J243+J375+J469+J481+J545+J580+J627+J647+J664+J692+J715+J727+J757+J775+J824,10)</f>
        <v>#REF!</v>
      </c>
      <c r="K838" s="600"/>
      <c r="L838" s="473" t="e">
        <f>+ROUND(L11+L42+L81+L123+L172+L205+L243+L375+L469+L481+L545+L580+L627+L647+L664+L692+L715+L727+L757+L775+L824,10)</f>
        <v>#REF!</v>
      </c>
      <c r="M838" s="474"/>
      <c r="N838" s="473" t="e">
        <f>+ROUND(N11+N42+N81+N123+N172+N205+N243+N375+N469+N481+N545+N580+N627+N647+N664+N692+N715+N727+N757+N775+N824,10)</f>
        <v>#REF!</v>
      </c>
      <c r="O838" s="474"/>
      <c r="P838" s="473" t="e">
        <f>+ROUND(P11+P42+P81+P123+P172+P205+P243+P375+P469+P481+P545+P580+P627+P647+P664+P692+P715+P727+P757+P775+P824,10)</f>
        <v>#REF!</v>
      </c>
      <c r="Q838" s="474"/>
      <c r="R838" s="473" t="e">
        <f>+ROUND(R11+R42+R81+R123+R172+R205+R243+R375+R469+R481+R545+R580+R627+R647+R664+R692+R715+R727+R757+R775+R824,10)</f>
        <v>#REF!</v>
      </c>
      <c r="S838" s="474"/>
      <c r="T838" s="473" t="e">
        <f>+ROUND(T11+T42+T81+T123+T172+T205+T243+T375+T469+T481+T545+T580+T627+T647+T664+T692+T715+T727+T757+T775+T824,10)</f>
        <v>#REF!</v>
      </c>
      <c r="U838" s="657"/>
      <c r="V838" s="643" t="e">
        <f t="shared" ref="V838:AC838" si="624">+V824+V775+V757+V727+V715+V692+V647+V580+V545+V481+V469+V375+V243+V205+V172+V123+V81+V42+V11</f>
        <v>#REF!</v>
      </c>
      <c r="W838" s="643" t="e">
        <f t="shared" si="624"/>
        <v>#REF!</v>
      </c>
      <c r="X838" s="643" t="e">
        <f t="shared" si="624"/>
        <v>#REF!</v>
      </c>
      <c r="Y838" s="643" t="e">
        <f t="shared" si="624"/>
        <v>#REF!</v>
      </c>
      <c r="Z838" s="643" t="e">
        <f t="shared" si="624"/>
        <v>#REF!</v>
      </c>
      <c r="AA838" s="643" t="e">
        <f t="shared" si="624"/>
        <v>#REF!</v>
      </c>
      <c r="AB838" s="643" t="e">
        <f t="shared" si="624"/>
        <v>#REF!</v>
      </c>
      <c r="AC838" s="643" t="e">
        <f t="shared" si="624"/>
        <v>#REF!</v>
      </c>
      <c r="AE838" s="769" t="e">
        <f t="shared" si="586"/>
        <v>#REF!</v>
      </c>
    </row>
    <row r="839" spans="1:31" s="672" customFormat="1" ht="15" customHeight="1" x14ac:dyDescent="0.2">
      <c r="A839" s="919"/>
      <c r="B839" s="920"/>
      <c r="C839" s="919"/>
      <c r="D839" s="655"/>
      <c r="E839" s="656"/>
      <c r="F839" s="656"/>
      <c r="G839" s="926"/>
      <c r="H839" s="657"/>
      <c r="I839" s="658"/>
      <c r="J839" s="177"/>
      <c r="K839" s="659"/>
      <c r="L839" s="177"/>
      <c r="M839" s="174"/>
      <c r="N839" s="177"/>
      <c r="O839" s="174"/>
      <c r="P839" s="177"/>
      <c r="Q839" s="174"/>
      <c r="R839" s="177"/>
      <c r="S839" s="174"/>
      <c r="T839" s="177"/>
      <c r="U839" s="657"/>
      <c r="V839" s="660"/>
      <c r="W839" s="667"/>
      <c r="X839" s="660"/>
      <c r="Y839" s="667"/>
      <c r="Z839" s="660"/>
      <c r="AA839" s="667"/>
      <c r="AB839" s="660"/>
      <c r="AC839" s="667"/>
    </row>
    <row r="840" spans="1:31" s="672" customFormat="1" ht="15" customHeight="1" x14ac:dyDescent="0.2">
      <c r="A840" s="1046" t="s">
        <v>2025</v>
      </c>
      <c r="B840" s="1046"/>
      <c r="C840" s="698" t="s">
        <v>2026</v>
      </c>
      <c r="D840" s="622" t="s">
        <v>2027</v>
      </c>
      <c r="E840" s="622" t="s">
        <v>2028</v>
      </c>
      <c r="F840" s="699" t="s">
        <v>2029</v>
      </c>
      <c r="G840" s="699" t="s">
        <v>2030</v>
      </c>
      <c r="H840" s="657"/>
      <c r="I840" s="658"/>
      <c r="J840" s="177"/>
      <c r="K840" s="659"/>
      <c r="L840" s="174"/>
      <c r="M840" s="174"/>
      <c r="N840" s="174"/>
      <c r="O840" s="174"/>
      <c r="P840" s="174"/>
      <c r="Q840" s="174"/>
      <c r="R840" s="174"/>
      <c r="S840" s="174"/>
      <c r="T840" s="174"/>
      <c r="U840" s="657"/>
      <c r="V840" s="660"/>
      <c r="W840" s="667"/>
      <c r="X840" s="660"/>
      <c r="Y840" s="667"/>
      <c r="Z840" s="660"/>
      <c r="AA840" s="667"/>
      <c r="AB840" s="660"/>
      <c r="AC840" s="667"/>
    </row>
    <row r="841" spans="1:31" s="672" customFormat="1" ht="15" customHeight="1" x14ac:dyDescent="0.2">
      <c r="A841" s="1044" t="s">
        <v>2031</v>
      </c>
      <c r="B841" s="1044"/>
      <c r="C841" s="783">
        <f>SUM(C842:C846)</f>
        <v>1478.48</v>
      </c>
      <c r="D841" s="474"/>
      <c r="E841" s="668"/>
      <c r="F841" s="700"/>
      <c r="G841" s="577"/>
      <c r="H841" s="657"/>
      <c r="I841" s="658"/>
      <c r="J841" s="657"/>
      <c r="K841" s="659"/>
      <c r="M841" s="174"/>
      <c r="O841" s="174"/>
      <c r="Q841" s="174"/>
      <c r="S841" s="174"/>
      <c r="U841" s="657"/>
      <c r="V841" s="660"/>
      <c r="W841" s="667"/>
      <c r="X841" s="660"/>
      <c r="Y841" s="667"/>
      <c r="Z841" s="660"/>
      <c r="AA841" s="667"/>
      <c r="AB841" s="660"/>
      <c r="AC841" s="667"/>
    </row>
    <row r="842" spans="1:31" s="672" customFormat="1" ht="15" customHeight="1" x14ac:dyDescent="0.2">
      <c r="A842" s="1044" t="s">
        <v>2032</v>
      </c>
      <c r="B842" s="1044"/>
      <c r="C842" s="784">
        <f>G868</f>
        <v>652.29</v>
      </c>
      <c r="D842" s="474" t="e">
        <f>+L838</f>
        <v>#REF!</v>
      </c>
      <c r="E842" s="668">
        <f>IFERROR(D842/C842,0)</f>
        <v>0</v>
      </c>
      <c r="F842" s="474">
        <f>IFERROR(ROUND(G842/C842,10)*1.2,0)</f>
        <v>0</v>
      </c>
      <c r="G842" s="577" t="e">
        <f>+D842</f>
        <v>#REF!</v>
      </c>
      <c r="H842" s="657"/>
      <c r="I842" s="658"/>
      <c r="J842" s="174"/>
      <c r="K842" s="659"/>
      <c r="L842" s="174"/>
      <c r="M842" s="174"/>
      <c r="N842" s="174"/>
      <c r="O842" s="174"/>
      <c r="P842" s="174"/>
      <c r="Q842" s="174"/>
      <c r="R842" s="174"/>
      <c r="S842" s="174"/>
      <c r="T842" s="174"/>
      <c r="U842" s="657"/>
      <c r="V842" s="660"/>
      <c r="W842" s="667"/>
      <c r="X842" s="660"/>
      <c r="Y842" s="667"/>
      <c r="Z842" s="660"/>
      <c r="AA842" s="667"/>
      <c r="AB842" s="660"/>
      <c r="AC842" s="667"/>
    </row>
    <row r="843" spans="1:31" s="672" customFormat="1" ht="15" customHeight="1" x14ac:dyDescent="0.2">
      <c r="A843" s="1044" t="s">
        <v>2033</v>
      </c>
      <c r="B843" s="1044"/>
      <c r="C843" s="784">
        <f>G869</f>
        <v>87.29</v>
      </c>
      <c r="D843" s="474" t="e">
        <f>+N838</f>
        <v>#REF!</v>
      </c>
      <c r="E843" s="668">
        <f>IFERROR(D843/C843,0)</f>
        <v>0</v>
      </c>
      <c r="F843" s="474">
        <f>IFERROR(ROUND(G843/C843,10)*1.2,0)</f>
        <v>0</v>
      </c>
      <c r="G843" s="577" t="e">
        <f>+D843</f>
        <v>#REF!</v>
      </c>
      <c r="H843" s="657"/>
      <c r="I843" s="658"/>
      <c r="J843" s="174"/>
      <c r="K843" s="659"/>
      <c r="L843" s="174"/>
      <c r="M843" s="174"/>
      <c r="N843" s="174"/>
      <c r="O843" s="174"/>
      <c r="P843" s="174"/>
      <c r="Q843" s="174"/>
      <c r="R843" s="174"/>
      <c r="S843" s="174"/>
      <c r="T843" s="174"/>
      <c r="U843" s="657"/>
      <c r="V843" s="660"/>
      <c r="W843" s="667"/>
      <c r="X843" s="660"/>
      <c r="Y843" s="667"/>
      <c r="Z843" s="660"/>
      <c r="AA843" s="667"/>
      <c r="AB843" s="660"/>
      <c r="AC843" s="667"/>
    </row>
    <row r="844" spans="1:31" s="672" customFormat="1" ht="15" customHeight="1" x14ac:dyDescent="0.2">
      <c r="A844" s="1044" t="s">
        <v>2034</v>
      </c>
      <c r="B844" s="1044"/>
      <c r="C844" s="784">
        <f>G870</f>
        <v>118.77</v>
      </c>
      <c r="D844" s="474" t="e">
        <f>+P838</f>
        <v>#REF!</v>
      </c>
      <c r="E844" s="668">
        <f>IFERROR(D844/C844,0)</f>
        <v>0</v>
      </c>
      <c r="F844" s="474">
        <f>IFERROR(ROUND(G844/C844,10)*1.2,0)</f>
        <v>0</v>
      </c>
      <c r="G844" s="577" t="e">
        <f>+D844</f>
        <v>#REF!</v>
      </c>
      <c r="H844" s="657"/>
      <c r="I844" s="658"/>
      <c r="J844" s="174"/>
      <c r="K844" s="659"/>
      <c r="L844" s="174"/>
      <c r="M844" s="174"/>
      <c r="N844" s="174"/>
      <c r="O844" s="174"/>
      <c r="P844" s="174"/>
      <c r="Q844" s="174"/>
      <c r="R844" s="174"/>
      <c r="S844" s="174"/>
      <c r="T844" s="174"/>
      <c r="U844" s="657"/>
      <c r="V844" s="660"/>
      <c r="W844" s="667"/>
      <c r="X844" s="660"/>
      <c r="Y844" s="667"/>
      <c r="Z844" s="660"/>
      <c r="AA844" s="667"/>
      <c r="AB844" s="660"/>
      <c r="AC844" s="667"/>
    </row>
    <row r="845" spans="1:31" s="672" customFormat="1" ht="15" customHeight="1" x14ac:dyDescent="0.2">
      <c r="A845" s="1044" t="s">
        <v>2035</v>
      </c>
      <c r="B845" s="1044"/>
      <c r="C845" s="784">
        <f>G871</f>
        <v>336.01</v>
      </c>
      <c r="D845" s="474" t="e">
        <f>+R838</f>
        <v>#REF!</v>
      </c>
      <c r="E845" s="668">
        <f>IFERROR(D845/C845,0)</f>
        <v>0</v>
      </c>
      <c r="F845" s="474">
        <f>IFERROR(ROUND(G845/C845,10)*1.2,0)</f>
        <v>0</v>
      </c>
      <c r="G845" s="577" t="e">
        <f>+D845</f>
        <v>#REF!</v>
      </c>
      <c r="H845" s="657"/>
      <c r="I845" s="658"/>
      <c r="J845" s="174"/>
      <c r="K845" s="659"/>
      <c r="L845" s="174"/>
      <c r="M845" s="174"/>
      <c r="N845" s="174"/>
      <c r="O845" s="174"/>
      <c r="P845" s="174"/>
      <c r="Q845" s="174"/>
      <c r="R845" s="174"/>
      <c r="S845" s="174"/>
      <c r="T845" s="174"/>
      <c r="U845" s="657"/>
      <c r="V845" s="660"/>
      <c r="W845" s="667"/>
      <c r="X845" s="660"/>
      <c r="Y845" s="667"/>
      <c r="Z845" s="660"/>
      <c r="AA845" s="667"/>
      <c r="AB845" s="660"/>
      <c r="AC845" s="667"/>
    </row>
    <row r="846" spans="1:31" s="672" customFormat="1" ht="15" customHeight="1" x14ac:dyDescent="0.2">
      <c r="A846" s="1044" t="s">
        <v>2036</v>
      </c>
      <c r="B846" s="1044"/>
      <c r="C846" s="784">
        <f>G872</f>
        <v>284.12</v>
      </c>
      <c r="D846" s="474" t="e">
        <f>+T838</f>
        <v>#REF!</v>
      </c>
      <c r="E846" s="668">
        <f>IFERROR(D846/C846,0)</f>
        <v>0</v>
      </c>
      <c r="F846" s="474">
        <f>IFERROR(ROUND(G846/C846,10)*1.2,0)</f>
        <v>0</v>
      </c>
      <c r="G846" s="577" t="e">
        <f>+D846</f>
        <v>#REF!</v>
      </c>
      <c r="H846" s="657"/>
      <c r="I846" s="658"/>
      <c r="J846" s="174"/>
      <c r="K846" s="659"/>
      <c r="L846" s="174"/>
      <c r="M846" s="174"/>
      <c r="N846" s="174"/>
      <c r="O846" s="174"/>
      <c r="P846" s="174"/>
      <c r="Q846" s="174"/>
      <c r="R846" s="174"/>
      <c r="S846" s="174"/>
      <c r="T846" s="174"/>
      <c r="U846" s="657"/>
      <c r="V846" s="660"/>
      <c r="W846" s="667"/>
      <c r="X846" s="660"/>
      <c r="Y846" s="667"/>
      <c r="Z846" s="660"/>
      <c r="AA846" s="667"/>
      <c r="AB846" s="660"/>
      <c r="AC846" s="667"/>
    </row>
    <row r="847" spans="1:31" s="672" customFormat="1" ht="15" customHeight="1" x14ac:dyDescent="0.2">
      <c r="A847" s="919"/>
      <c r="B847" s="920"/>
      <c r="C847" s="919"/>
      <c r="D847" s="655"/>
      <c r="E847" s="656"/>
      <c r="F847" s="656"/>
      <c r="G847" s="926"/>
      <c r="H847" s="657"/>
      <c r="I847" s="658"/>
      <c r="J847" s="174"/>
      <c r="K847" s="659"/>
      <c r="L847" s="174"/>
      <c r="M847" s="174"/>
      <c r="N847" s="174"/>
      <c r="O847" s="174"/>
      <c r="P847" s="174"/>
      <c r="Q847" s="174"/>
      <c r="R847" s="174"/>
      <c r="S847" s="174"/>
      <c r="T847" s="174"/>
      <c r="U847" s="657"/>
      <c r="V847" s="660"/>
      <c r="W847" s="667"/>
      <c r="X847" s="660"/>
      <c r="Y847" s="667"/>
      <c r="Z847" s="660"/>
      <c r="AA847" s="667"/>
      <c r="AB847" s="660"/>
      <c r="AC847" s="667"/>
    </row>
    <row r="848" spans="1:31" x14ac:dyDescent="0.2">
      <c r="A848" s="1042" t="s">
        <v>2037</v>
      </c>
      <c r="B848" s="1042"/>
      <c r="C848" s="1042"/>
      <c r="D848" s="1043" t="e">
        <f>ROUND(G11+G42+G81+G123+G172+G205+G243+G375+G469+G481+G545+G580+G627+G647+G664+G692+G715+G727+G757+G775+G824,10)</f>
        <v>#REF!</v>
      </c>
      <c r="E848" s="1043"/>
      <c r="F848" s="1043"/>
      <c r="G848" s="1043"/>
      <c r="I848" s="604"/>
      <c r="J848" s="604"/>
      <c r="K848" s="605"/>
      <c r="L848" s="604"/>
      <c r="M848" s="606"/>
      <c r="N848" s="604"/>
      <c r="O848" s="606"/>
      <c r="P848" s="604"/>
      <c r="Q848" s="606"/>
      <c r="R848" s="604"/>
      <c r="S848" s="606"/>
      <c r="T848" s="604"/>
    </row>
    <row r="849" spans="1:29" x14ac:dyDescent="0.2">
      <c r="A849" s="1042" t="s">
        <v>2038</v>
      </c>
      <c r="B849" s="1042"/>
      <c r="C849" s="1042"/>
      <c r="D849" s="1043" t="e">
        <f>D848*0.2</f>
        <v>#REF!</v>
      </c>
      <c r="E849" s="1043"/>
      <c r="F849" s="1043"/>
      <c r="G849" s="1043"/>
      <c r="I849" s="604"/>
      <c r="J849" s="604"/>
      <c r="K849" s="605"/>
      <c r="L849" s="604"/>
      <c r="M849" s="606"/>
      <c r="N849" s="604"/>
      <c r="O849" s="606"/>
      <c r="P849" s="604"/>
      <c r="Q849" s="606"/>
      <c r="R849" s="604"/>
      <c r="S849" s="606"/>
      <c r="T849" s="604"/>
    </row>
    <row r="850" spans="1:29" x14ac:dyDescent="0.2">
      <c r="A850" s="1042" t="s">
        <v>2039</v>
      </c>
      <c r="B850" s="1042"/>
      <c r="C850" s="1042"/>
      <c r="D850" s="1043" t="e">
        <f>+ROUND((D848+D849)*0.05,10)</f>
        <v>#REF!</v>
      </c>
      <c r="E850" s="1043"/>
      <c r="F850" s="1043"/>
      <c r="G850" s="1043"/>
      <c r="I850" s="604"/>
      <c r="J850" s="604"/>
      <c r="K850" s="605"/>
      <c r="L850" s="604"/>
      <c r="M850" s="606"/>
      <c r="N850" s="604"/>
      <c r="O850" s="606"/>
      <c r="P850" s="604"/>
      <c r="Q850" s="606"/>
      <c r="R850" s="604"/>
      <c r="S850" s="606"/>
      <c r="T850" s="604"/>
    </row>
    <row r="851" spans="1:29" ht="15.75" x14ac:dyDescent="0.2">
      <c r="A851" s="1037" t="s">
        <v>2040</v>
      </c>
      <c r="B851" s="1037"/>
      <c r="C851" s="1037"/>
      <c r="D851" s="1038" t="e">
        <f>+ROUND(D849+D848+D850,10)</f>
        <v>#REF!</v>
      </c>
      <c r="E851" s="1038"/>
      <c r="F851" s="1038"/>
      <c r="G851" s="1038"/>
      <c r="I851" s="604"/>
      <c r="J851" s="604"/>
      <c r="K851" s="605"/>
      <c r="L851" s="604"/>
      <c r="M851" s="606"/>
      <c r="N851" s="604"/>
      <c r="O851" s="606"/>
      <c r="P851" s="604"/>
      <c r="Q851" s="606"/>
      <c r="R851" s="604"/>
      <c r="S851" s="606"/>
      <c r="T851" s="604"/>
    </row>
    <row r="852" spans="1:29" s="672" customFormat="1" ht="15" customHeight="1" x14ac:dyDescent="0.2">
      <c r="A852" s="1039" t="s">
        <v>2041</v>
      </c>
      <c r="B852" s="1039"/>
      <c r="C852" s="1039"/>
      <c r="D852" s="1039"/>
      <c r="E852" s="1039"/>
      <c r="F852" s="1039"/>
      <c r="G852" s="1039"/>
      <c r="H852" s="657"/>
      <c r="I852" s="658"/>
      <c r="J852" s="174"/>
      <c r="K852" s="659"/>
      <c r="L852" s="174"/>
      <c r="M852" s="174"/>
      <c r="N852" s="174"/>
      <c r="O852" s="174"/>
      <c r="P852" s="174"/>
      <c r="Q852" s="174"/>
      <c r="R852" s="174"/>
      <c r="S852" s="174"/>
      <c r="T852" s="174"/>
      <c r="U852" s="657"/>
      <c r="V852" s="660"/>
      <c r="W852" s="667"/>
      <c r="X852" s="660"/>
      <c r="Y852" s="667"/>
      <c r="Z852" s="660"/>
      <c r="AA852" s="667"/>
      <c r="AB852" s="660"/>
      <c r="AC852" s="667"/>
    </row>
    <row r="853" spans="1:29" s="672" customFormat="1" ht="15" customHeight="1" x14ac:dyDescent="0.2">
      <c r="A853" s="701" t="s">
        <v>533</v>
      </c>
      <c r="B853" s="702" t="s">
        <v>534</v>
      </c>
      <c r="C853" s="701" t="s">
        <v>2042</v>
      </c>
      <c r="D853" s="703" t="s">
        <v>536</v>
      </c>
      <c r="E853" s="704" t="s">
        <v>556</v>
      </c>
      <c r="F853" s="704" t="s">
        <v>2043</v>
      </c>
      <c r="G853" s="926"/>
      <c r="H853" s="657"/>
      <c r="I853" s="658"/>
      <c r="J853" s="174"/>
      <c r="K853" s="659"/>
      <c r="L853" s="174"/>
      <c r="M853" s="174"/>
      <c r="N853" s="174"/>
      <c r="O853" s="174"/>
      <c r="P853" s="174"/>
      <c r="Q853" s="174"/>
      <c r="R853" s="174"/>
      <c r="S853" s="174"/>
      <c r="T853" s="174"/>
      <c r="U853" s="657"/>
      <c r="V853" s="660"/>
      <c r="W853" s="667"/>
      <c r="X853" s="660"/>
      <c r="Y853" s="667"/>
      <c r="Z853" s="660"/>
      <c r="AA853" s="667"/>
      <c r="AB853" s="660"/>
      <c r="AC853" s="667"/>
    </row>
    <row r="854" spans="1:29" s="672" customFormat="1" ht="25.5" x14ac:dyDescent="0.2">
      <c r="A854" s="627" t="s">
        <v>2044</v>
      </c>
      <c r="B854" s="610" t="s">
        <v>2045</v>
      </c>
      <c r="C854" s="627" t="s">
        <v>2046</v>
      </c>
      <c r="D854" s="743">
        <v>12</v>
      </c>
      <c r="E854" s="668">
        <v>214000</v>
      </c>
      <c r="F854" s="668">
        <f>+E854*D854</f>
        <v>2568000</v>
      </c>
      <c r="G854" s="926"/>
      <c r="H854" s="657"/>
      <c r="I854" s="658"/>
      <c r="J854" s="174"/>
      <c r="K854" s="659"/>
      <c r="L854" s="174"/>
      <c r="M854" s="174"/>
      <c r="N854" s="174"/>
      <c r="O854" s="174"/>
      <c r="P854" s="174"/>
      <c r="Q854" s="174"/>
      <c r="R854" s="174"/>
      <c r="S854" s="174"/>
      <c r="T854" s="174"/>
      <c r="U854" s="657"/>
      <c r="V854" s="660"/>
      <c r="W854" s="667"/>
      <c r="X854" s="660"/>
      <c r="Y854" s="667"/>
      <c r="Z854" s="660"/>
      <c r="AA854" s="667"/>
      <c r="AB854" s="660"/>
      <c r="AC854" s="667"/>
    </row>
    <row r="855" spans="1:29" s="672" customFormat="1" x14ac:dyDescent="0.2">
      <c r="A855" s="627" t="s">
        <v>2047</v>
      </c>
      <c r="B855" s="610" t="s">
        <v>2048</v>
      </c>
      <c r="C855" s="627" t="s">
        <v>111</v>
      </c>
      <c r="D855" s="731">
        <v>40</v>
      </c>
      <c r="E855" s="668">
        <v>74000</v>
      </c>
      <c r="F855" s="668">
        <f>+E855*D855</f>
        <v>2960000</v>
      </c>
      <c r="G855" s="926"/>
      <c r="H855" s="657"/>
      <c r="I855" s="658"/>
      <c r="J855" s="174"/>
      <c r="K855" s="659"/>
      <c r="L855" s="174"/>
      <c r="M855" s="174"/>
      <c r="N855" s="174"/>
      <c r="O855" s="174"/>
      <c r="P855" s="174"/>
      <c r="Q855" s="174"/>
      <c r="R855" s="174"/>
      <c r="S855" s="174"/>
      <c r="T855" s="174"/>
      <c r="U855" s="657"/>
      <c r="V855" s="660"/>
      <c r="W855" s="667"/>
      <c r="X855" s="660"/>
      <c r="Y855" s="667"/>
      <c r="Z855" s="660"/>
      <c r="AA855" s="667"/>
      <c r="AB855" s="660"/>
      <c r="AC855" s="667"/>
    </row>
    <row r="856" spans="1:29" s="672" customFormat="1" ht="38.25" x14ac:dyDescent="0.2">
      <c r="A856" s="627" t="s">
        <v>2049</v>
      </c>
      <c r="B856" s="610" t="s">
        <v>2050</v>
      </c>
      <c r="C856" s="627" t="s">
        <v>111</v>
      </c>
      <c r="D856" s="743">
        <v>12</v>
      </c>
      <c r="E856" s="668">
        <v>209000</v>
      </c>
      <c r="F856" s="668">
        <f>+E856*D856</f>
        <v>2508000</v>
      </c>
      <c r="G856" s="926"/>
      <c r="H856" s="657"/>
      <c r="I856" s="658"/>
      <c r="J856" s="174"/>
      <c r="K856" s="659"/>
      <c r="L856" s="174"/>
      <c r="M856" s="174"/>
      <c r="N856" s="174"/>
      <c r="O856" s="174"/>
      <c r="P856" s="174"/>
      <c r="Q856" s="174"/>
      <c r="R856" s="174"/>
      <c r="S856" s="174"/>
      <c r="T856" s="174"/>
      <c r="U856" s="657"/>
      <c r="V856" s="660"/>
      <c r="W856" s="667"/>
      <c r="X856" s="660"/>
      <c r="Y856" s="667"/>
      <c r="Z856" s="660"/>
      <c r="AA856" s="667"/>
      <c r="AB856" s="660"/>
      <c r="AC856" s="667"/>
    </row>
    <row r="857" spans="1:29" s="672" customFormat="1" ht="25.5" hidden="1" x14ac:dyDescent="0.2">
      <c r="A857" s="627" t="s">
        <v>2051</v>
      </c>
      <c r="B857" s="610" t="s">
        <v>2052</v>
      </c>
      <c r="C857" s="627" t="s">
        <v>111</v>
      </c>
      <c r="D857" s="731"/>
      <c r="E857" s="668">
        <v>143000</v>
      </c>
      <c r="F857" s="668">
        <f>+E857*D857</f>
        <v>0</v>
      </c>
      <c r="G857" s="926"/>
      <c r="H857" s="657"/>
      <c r="I857" s="658"/>
      <c r="J857" s="174"/>
      <c r="K857" s="659"/>
      <c r="L857" s="174"/>
      <c r="M857" s="174"/>
      <c r="N857" s="174"/>
      <c r="O857" s="174"/>
      <c r="P857" s="174"/>
      <c r="Q857" s="174"/>
      <c r="R857" s="174"/>
      <c r="S857" s="174"/>
      <c r="T857" s="174"/>
      <c r="U857" s="657"/>
      <c r="V857" s="660"/>
      <c r="W857" s="667"/>
      <c r="X857" s="660"/>
      <c r="Y857" s="667"/>
      <c r="Z857" s="660"/>
      <c r="AA857" s="667"/>
      <c r="AB857" s="660"/>
      <c r="AC857" s="667"/>
    </row>
    <row r="858" spans="1:29" s="672" customFormat="1" x14ac:dyDescent="0.2">
      <c r="A858" s="627" t="s">
        <v>2053</v>
      </c>
      <c r="B858" s="610" t="s">
        <v>2054</v>
      </c>
      <c r="C858" s="627" t="s">
        <v>2046</v>
      </c>
      <c r="D858" s="743">
        <v>440</v>
      </c>
      <c r="E858" s="668">
        <v>75000</v>
      </c>
      <c r="F858" s="668">
        <f>+E858*D858</f>
        <v>33000000</v>
      </c>
      <c r="G858" s="926"/>
      <c r="H858" s="657"/>
      <c r="I858" s="658"/>
      <c r="J858" s="174"/>
      <c r="K858" s="659"/>
      <c r="L858" s="174"/>
      <c r="M858" s="174"/>
      <c r="N858" s="174"/>
      <c r="O858" s="174"/>
      <c r="P858" s="174"/>
      <c r="Q858" s="174"/>
      <c r="R858" s="174"/>
      <c r="S858" s="174"/>
      <c r="T858" s="174"/>
      <c r="U858" s="657"/>
      <c r="V858" s="660"/>
      <c r="W858" s="667"/>
      <c r="X858" s="660"/>
      <c r="Y858" s="667"/>
      <c r="Z858" s="660"/>
      <c r="AA858" s="667"/>
      <c r="AB858" s="660"/>
      <c r="AC858" s="667"/>
    </row>
    <row r="859" spans="1:29" s="672" customFormat="1" ht="15" customHeight="1" x14ac:dyDescent="0.2">
      <c r="A859" s="627"/>
      <c r="B859" s="1040" t="s">
        <v>2055</v>
      </c>
      <c r="C859" s="1040"/>
      <c r="D859" s="1040"/>
      <c r="E859" s="1040"/>
      <c r="F859" s="705">
        <f>SUM(F854:F858)</f>
        <v>41036000</v>
      </c>
      <c r="G859" s="926"/>
      <c r="H859" s="657"/>
      <c r="I859" s="658"/>
      <c r="J859" s="174"/>
      <c r="K859" s="659"/>
      <c r="L859" s="174"/>
      <c r="M859" s="174"/>
      <c r="N859" s="174"/>
      <c r="O859" s="174"/>
      <c r="P859" s="174"/>
      <c r="Q859" s="174"/>
      <c r="R859" s="174"/>
      <c r="S859" s="174"/>
      <c r="T859" s="174"/>
      <c r="U859" s="657"/>
      <c r="V859" s="660"/>
      <c r="W859" s="667"/>
      <c r="X859" s="660"/>
      <c r="Y859" s="667"/>
      <c r="Z859" s="660"/>
      <c r="AA859" s="667"/>
      <c r="AB859" s="660"/>
      <c r="AC859" s="667"/>
    </row>
    <row r="860" spans="1:29" s="672" customFormat="1" ht="15" customHeight="1" x14ac:dyDescent="0.2">
      <c r="A860" s="919"/>
      <c r="B860" s="920"/>
      <c r="C860" s="919"/>
      <c r="D860" s="655"/>
      <c r="E860" s="656"/>
      <c r="F860" s="656"/>
      <c r="G860" s="926"/>
      <c r="H860" s="657"/>
      <c r="I860" s="658"/>
      <c r="J860" s="174"/>
      <c r="K860" s="659"/>
      <c r="L860" s="174"/>
      <c r="M860" s="174"/>
      <c r="N860" s="174"/>
      <c r="O860" s="174"/>
      <c r="P860" s="174"/>
      <c r="Q860" s="174"/>
      <c r="R860" s="174"/>
      <c r="S860" s="174"/>
      <c r="T860" s="174"/>
      <c r="U860" s="657"/>
      <c r="V860" s="660"/>
      <c r="W860" s="667"/>
      <c r="X860" s="660"/>
      <c r="Y860" s="667"/>
      <c r="Z860" s="660"/>
      <c r="AA860" s="667"/>
      <c r="AB860" s="660"/>
      <c r="AC860" s="667"/>
    </row>
    <row r="861" spans="1:29" ht="15.75" x14ac:dyDescent="0.2">
      <c r="A861" s="1041" t="s">
        <v>2056</v>
      </c>
      <c r="B861" s="1041"/>
      <c r="C861" s="1041"/>
      <c r="D861" s="1041"/>
      <c r="E861" s="1041"/>
      <c r="F861" s="1038" t="e">
        <f>+F859+D851</f>
        <v>#REF!</v>
      </c>
      <c r="G861" s="1038"/>
    </row>
    <row r="862" spans="1:29" x14ac:dyDescent="0.2">
      <c r="A862" s="910"/>
      <c r="B862" s="911"/>
      <c r="C862" s="910"/>
      <c r="E862" s="174" t="s">
        <v>2057</v>
      </c>
      <c r="F862" s="785" t="e">
        <f>VLOOKUP('Datos entrada'!B12,[1]!Consolidado,11,FALSE)</f>
        <v>#N/A</v>
      </c>
      <c r="G862" s="787"/>
    </row>
    <row r="863" spans="1:29" x14ac:dyDescent="0.2">
      <c r="A863" s="910"/>
      <c r="B863" s="911"/>
      <c r="C863" s="910"/>
      <c r="E863" s="174" t="s">
        <v>2058</v>
      </c>
      <c r="F863" s="174" t="e">
        <f>F862-F861</f>
        <v>#N/A</v>
      </c>
      <c r="G863" s="787"/>
    </row>
    <row r="864" spans="1:29" x14ac:dyDescent="0.2">
      <c r="A864" s="910"/>
      <c r="B864" s="911"/>
      <c r="C864" s="910"/>
      <c r="G864" s="787"/>
      <c r="I864" s="604"/>
      <c r="J864" s="604"/>
      <c r="K864" s="605"/>
      <c r="L864" s="604"/>
      <c r="M864" s="606"/>
      <c r="N864" s="604"/>
      <c r="O864" s="606"/>
      <c r="P864" s="604"/>
      <c r="Q864" s="606"/>
      <c r="R864" s="604"/>
      <c r="S864" s="606"/>
      <c r="T864" s="604"/>
    </row>
    <row r="865" spans="2:20" x14ac:dyDescent="0.2">
      <c r="B865" s="911"/>
      <c r="C865" s="910"/>
      <c r="G865" s="787"/>
      <c r="I865" s="604"/>
      <c r="J865" s="604"/>
      <c r="K865" s="605"/>
      <c r="L865" s="604"/>
      <c r="M865" s="606"/>
      <c r="N865" s="604"/>
      <c r="O865" s="606"/>
      <c r="P865" s="604"/>
      <c r="Q865" s="606"/>
      <c r="R865" s="604"/>
      <c r="S865" s="606"/>
      <c r="T865" s="604"/>
    </row>
    <row r="866" spans="2:20" ht="15.75" thickBot="1" x14ac:dyDescent="0.25">
      <c r="B866" s="911"/>
      <c r="C866" s="910"/>
      <c r="G866" s="787"/>
      <c r="I866" s="604"/>
      <c r="J866" s="604"/>
      <c r="K866" s="605"/>
      <c r="L866" s="604"/>
      <c r="M866" s="606"/>
      <c r="N866" s="604"/>
      <c r="O866" s="606"/>
      <c r="P866" s="604"/>
      <c r="Q866" s="606"/>
      <c r="R866" s="604"/>
      <c r="S866" s="606"/>
      <c r="T866" s="604"/>
    </row>
    <row r="867" spans="2:20" ht="16.5" thickBot="1" x14ac:dyDescent="0.25">
      <c r="B867" s="756" t="s">
        <v>2059</v>
      </c>
      <c r="C867" s="757">
        <v>1</v>
      </c>
      <c r="D867" s="758"/>
      <c r="E867" s="759">
        <v>2</v>
      </c>
      <c r="F867" s="760"/>
      <c r="G867" s="761" t="s">
        <v>2040</v>
      </c>
      <c r="H867" s="762"/>
      <c r="I867" s="763"/>
      <c r="J867" s="763"/>
      <c r="K867" s="764"/>
      <c r="L867" s="604"/>
      <c r="M867" s="606"/>
      <c r="N867" s="604"/>
      <c r="O867" s="606"/>
      <c r="P867" s="604"/>
      <c r="Q867" s="606"/>
      <c r="R867" s="604"/>
      <c r="S867" s="606"/>
      <c r="T867" s="604"/>
    </row>
    <row r="868" spans="2:20" x14ac:dyDescent="0.2">
      <c r="B868" s="754" t="s">
        <v>542</v>
      </c>
      <c r="C868" s="927">
        <v>363.51</v>
      </c>
      <c r="D868" s="752">
        <f>IFERROR(ROUND(C868/$C$873,10),0)</f>
        <v>0.39372867589999999</v>
      </c>
      <c r="E868" s="746">
        <v>288.77999999999997</v>
      </c>
      <c r="F868" s="752">
        <f>IFERROR(ROUND(E868/$E$873,10),0)</f>
        <v>0.52010878370000002</v>
      </c>
      <c r="G868" s="928">
        <f>SUM(E868,C868)</f>
        <v>652.29</v>
      </c>
      <c r="H868" s="744"/>
      <c r="I868" s="745"/>
      <c r="J868" s="745"/>
      <c r="K868" s="748">
        <f>IFERROR(ROUND(G868/$G$873,10),0)</f>
        <v>0.44118960010000002</v>
      </c>
      <c r="L868" s="604"/>
      <c r="M868" s="606"/>
      <c r="N868" s="604"/>
      <c r="O868" s="606"/>
      <c r="P868" s="604"/>
      <c r="Q868" s="606"/>
      <c r="R868" s="604"/>
      <c r="S868" s="606"/>
      <c r="T868" s="604"/>
    </row>
    <row r="869" spans="2:20" x14ac:dyDescent="0.2">
      <c r="B869" s="754" t="s">
        <v>543</v>
      </c>
      <c r="C869" s="927"/>
      <c r="D869" s="752">
        <f>IFERROR(ROUND(C869/$C$873,10),0)</f>
        <v>0</v>
      </c>
      <c r="E869" s="746">
        <v>87.29</v>
      </c>
      <c r="F869" s="752">
        <f>IFERROR(ROUND(E869/$E$873,10),0)</f>
        <v>0.15721412749999999</v>
      </c>
      <c r="G869" s="928">
        <f>SUM(E869,C869)</f>
        <v>87.29</v>
      </c>
      <c r="H869" s="744"/>
      <c r="I869" s="745"/>
      <c r="J869" s="745"/>
      <c r="K869" s="748">
        <f>IFERROR(ROUND(G869/$G$873,10),0)</f>
        <v>5.9040365800000001E-2</v>
      </c>
      <c r="L869" s="604"/>
      <c r="M869" s="606"/>
      <c r="N869" s="604"/>
      <c r="O869" s="606"/>
      <c r="P869" s="604"/>
      <c r="Q869" s="606"/>
      <c r="R869" s="604"/>
      <c r="S869" s="606"/>
      <c r="T869" s="604"/>
    </row>
    <row r="870" spans="2:20" x14ac:dyDescent="0.2">
      <c r="B870" s="754" t="s">
        <v>2060</v>
      </c>
      <c r="C870" s="927">
        <v>59.76</v>
      </c>
      <c r="D870" s="752">
        <f>IFERROR(ROUND(C870/$C$873,10),0)</f>
        <v>6.4727863499999996E-2</v>
      </c>
      <c r="E870" s="746">
        <v>59.01</v>
      </c>
      <c r="F870" s="752">
        <f>IFERROR(ROUND(E870/$E$873,10),0)</f>
        <v>0.10628028019999999</v>
      </c>
      <c r="G870" s="928">
        <f>SUM(E870,C870)</f>
        <v>118.77</v>
      </c>
      <c r="H870" s="744"/>
      <c r="I870" s="745"/>
      <c r="J870" s="745"/>
      <c r="K870" s="748">
        <f>IFERROR(ROUND(G870/$G$873,10),0)</f>
        <v>8.0332503700000002E-2</v>
      </c>
      <c r="L870" s="604"/>
      <c r="M870" s="606"/>
      <c r="N870" s="604"/>
      <c r="O870" s="606"/>
      <c r="P870" s="604"/>
      <c r="Q870" s="606"/>
      <c r="R870" s="604"/>
      <c r="S870" s="606"/>
      <c r="T870" s="604"/>
    </row>
    <row r="871" spans="2:20" x14ac:dyDescent="0.2">
      <c r="B871" s="754" t="s">
        <v>545</v>
      </c>
      <c r="C871" s="927">
        <f>187.27+28.59</f>
        <v>215.86</v>
      </c>
      <c r="D871" s="752">
        <f>IFERROR(ROUND(C871/$C$873,10),0)</f>
        <v>0.233804495</v>
      </c>
      <c r="E871" s="746">
        <f>76.91+27.28+15.96</f>
        <v>120.15</v>
      </c>
      <c r="F871" s="752">
        <f>IFERROR(ROUND(E871/$E$873,10),0)</f>
        <v>0.21639680850000001</v>
      </c>
      <c r="G871" s="928">
        <f>SUM(E871,C871)</f>
        <v>336.01</v>
      </c>
      <c r="H871" s="744"/>
      <c r="I871" s="745"/>
      <c r="J871" s="745"/>
      <c r="K871" s="748">
        <f>IFERROR(ROUND(G871/$G$873,10),0)</f>
        <v>0.2272671933</v>
      </c>
      <c r="L871" s="604"/>
      <c r="M871" s="606"/>
      <c r="N871" s="604"/>
      <c r="O871" s="606"/>
      <c r="P871" s="604"/>
      <c r="Q871" s="606"/>
      <c r="R871" s="604"/>
      <c r="S871" s="606"/>
      <c r="T871" s="604"/>
    </row>
    <row r="872" spans="2:20" x14ac:dyDescent="0.2">
      <c r="B872" s="754" t="s">
        <v>2061</v>
      </c>
      <c r="C872" s="927">
        <f>74.13+209.99</f>
        <v>284.12</v>
      </c>
      <c r="D872" s="752">
        <f>IFERROR(ROUND(C872/$C$873,10),0)</f>
        <v>0.30773896560000003</v>
      </c>
      <c r="E872" s="746"/>
      <c r="F872" s="752">
        <f>IFERROR(ROUND(E872/$E$873,10),0)</f>
        <v>0</v>
      </c>
      <c r="G872" s="928">
        <f>SUM(E872,C872)</f>
        <v>284.12</v>
      </c>
      <c r="H872" s="744"/>
      <c r="I872" s="745"/>
      <c r="J872" s="745"/>
      <c r="K872" s="748">
        <f>IFERROR(ROUND(G872/$G$873,10),0)</f>
        <v>0.1921703371</v>
      </c>
      <c r="L872" s="604"/>
      <c r="M872" s="606"/>
      <c r="N872" s="604"/>
      <c r="O872" s="606"/>
      <c r="P872" s="604"/>
      <c r="Q872" s="606"/>
      <c r="R872" s="604"/>
      <c r="S872" s="606"/>
      <c r="T872" s="604"/>
    </row>
    <row r="873" spans="2:20" ht="16.5" thickBot="1" x14ac:dyDescent="0.25">
      <c r="B873" s="755" t="s">
        <v>2062</v>
      </c>
      <c r="C873" s="753">
        <f>SUM(C868:C872)</f>
        <v>923.25</v>
      </c>
      <c r="D873" s="765">
        <f>ROUND(SUM(D868:D872),2)</f>
        <v>1</v>
      </c>
      <c r="E873" s="747">
        <f>SUM(E868:E872)</f>
        <v>555.23</v>
      </c>
      <c r="F873" s="765">
        <f>SUM(F868:F872)</f>
        <v>0.99999999989999999</v>
      </c>
      <c r="G873" s="749">
        <f>SUM(G868:G872)</f>
        <v>1478.48</v>
      </c>
      <c r="H873" s="750"/>
      <c r="I873" s="751"/>
      <c r="J873" s="751"/>
      <c r="K873" s="766">
        <f>SUM(K868:K872)</f>
        <v>1</v>
      </c>
      <c r="L873" s="604"/>
      <c r="M873" s="606"/>
      <c r="N873" s="604"/>
      <c r="O873" s="606"/>
      <c r="P873" s="604"/>
      <c r="Q873" s="606"/>
      <c r="R873" s="604"/>
      <c r="S873" s="606"/>
      <c r="T873" s="604"/>
    </row>
    <row r="874" spans="2:20" x14ac:dyDescent="0.2">
      <c r="B874" s="911"/>
      <c r="C874" s="910"/>
      <c r="G874" s="787"/>
      <c r="I874" s="604"/>
      <c r="J874" s="604"/>
      <c r="K874" s="605"/>
      <c r="L874" s="604"/>
      <c r="M874" s="606"/>
      <c r="N874" s="604"/>
      <c r="O874" s="606"/>
      <c r="P874" s="604"/>
      <c r="Q874" s="606"/>
      <c r="R874" s="604"/>
      <c r="S874" s="606"/>
      <c r="T874" s="604"/>
    </row>
    <row r="875" spans="2:20" x14ac:dyDescent="0.2">
      <c r="B875" s="911"/>
      <c r="C875" s="910"/>
      <c r="G875" s="787" t="s">
        <v>2063</v>
      </c>
      <c r="I875" s="604"/>
      <c r="J875" s="604"/>
      <c r="K875" s="605"/>
      <c r="L875" s="604"/>
      <c r="M875" s="606"/>
      <c r="N875" s="604"/>
      <c r="O875" s="606"/>
      <c r="P875" s="604"/>
      <c r="Q875" s="606"/>
      <c r="R875" s="604"/>
      <c r="S875" s="606"/>
      <c r="T875" s="604"/>
    </row>
    <row r="876" spans="2:20" x14ac:dyDescent="0.2">
      <c r="B876" s="911"/>
      <c r="C876" s="910"/>
      <c r="D876" s="172" t="str">
        <f>'[1]63'!$D$4</f>
        <v>SAN LORENZO</v>
      </c>
      <c r="E876" s="174">
        <f>'[1]63'!$P$4</f>
        <v>329138502.64399999</v>
      </c>
      <c r="F876" s="174">
        <f>E876/0.7</f>
        <v>470197860.92000002</v>
      </c>
      <c r="G876" s="787"/>
      <c r="I876" s="604"/>
      <c r="J876" s="604"/>
      <c r="K876" s="605"/>
      <c r="L876" s="604"/>
      <c r="M876" s="606"/>
      <c r="N876" s="604"/>
      <c r="O876" s="606"/>
      <c r="P876" s="604"/>
      <c r="Q876" s="606"/>
      <c r="R876" s="604"/>
      <c r="S876" s="606"/>
      <c r="T876" s="604"/>
    </row>
    <row r="877" spans="2:20" x14ac:dyDescent="0.2">
      <c r="B877" s="911"/>
      <c r="C877" s="910"/>
      <c r="D877" s="172" t="str">
        <f>'[1]63'!$D$5</f>
        <v>BARBACOAS</v>
      </c>
      <c r="E877" s="174">
        <v>329000000</v>
      </c>
      <c r="F877" s="174">
        <f>E877/0.7</f>
        <v>470000000.00000006</v>
      </c>
      <c r="G877" s="787"/>
      <c r="I877" s="604"/>
      <c r="J877" s="604"/>
      <c r="K877" s="605"/>
      <c r="L877" s="604"/>
      <c r="M877" s="606"/>
      <c r="N877" s="604"/>
      <c r="O877" s="606"/>
      <c r="P877" s="604"/>
      <c r="Q877" s="606"/>
      <c r="R877" s="604"/>
      <c r="S877" s="606"/>
      <c r="T877" s="604"/>
    </row>
    <row r="878" spans="2:20" x14ac:dyDescent="0.2">
      <c r="B878" s="911"/>
      <c r="C878" s="910"/>
      <c r="D878" s="172" t="str">
        <f>'[1]63'!$D$7</f>
        <v>ILES</v>
      </c>
      <c r="E878" s="174">
        <f>'[1]63'!$P$7</f>
        <v>262419974.46000001</v>
      </c>
      <c r="F878" s="174">
        <f>E878/0.7</f>
        <v>374885677.80000001</v>
      </c>
      <c r="G878" s="787"/>
      <c r="I878" s="604"/>
      <c r="J878" s="604"/>
      <c r="K878" s="605"/>
      <c r="L878" s="604"/>
      <c r="M878" s="606"/>
      <c r="N878" s="604"/>
      <c r="O878" s="606"/>
      <c r="P878" s="604"/>
      <c r="Q878" s="606"/>
      <c r="R878" s="604"/>
      <c r="S878" s="606"/>
      <c r="T878" s="604"/>
    </row>
    <row r="879" spans="2:20" x14ac:dyDescent="0.2">
      <c r="B879" s="911"/>
      <c r="C879" s="910"/>
      <c r="D879" s="172" t="str">
        <f>'[1]63'!$D$8</f>
        <v>YACUANQUER</v>
      </c>
      <c r="E879" s="174" t="e">
        <f>F861*0.7</f>
        <v>#REF!</v>
      </c>
      <c r="F879" s="174" t="e">
        <f>E879/0.7</f>
        <v>#REF!</v>
      </c>
      <c r="G879" s="787"/>
      <c r="I879" s="604"/>
      <c r="J879" s="604"/>
      <c r="K879" s="605"/>
      <c r="L879" s="604"/>
      <c r="M879" s="606"/>
      <c r="N879" s="604"/>
      <c r="O879" s="606"/>
      <c r="P879" s="604"/>
      <c r="Q879" s="606"/>
      <c r="R879" s="604"/>
      <c r="S879" s="606"/>
      <c r="T879" s="604"/>
    </row>
    <row r="880" spans="2:20" x14ac:dyDescent="0.2">
      <c r="B880" s="911"/>
      <c r="C880" s="910"/>
      <c r="D880" s="172" t="str">
        <f>'[1]63'!$D$9</f>
        <v>MALLAMA</v>
      </c>
      <c r="E880" s="174">
        <f>'[1]63'!$P$9</f>
        <v>330909278.5</v>
      </c>
      <c r="F880" s="174">
        <f>E880/0.7</f>
        <v>472727540.71428573</v>
      </c>
      <c r="G880" s="787"/>
      <c r="I880" s="604"/>
      <c r="J880" s="604"/>
      <c r="K880" s="605"/>
      <c r="L880" s="604"/>
      <c r="M880" s="606"/>
      <c r="N880" s="604"/>
      <c r="O880" s="606"/>
      <c r="P880" s="604"/>
      <c r="Q880" s="606"/>
      <c r="R880" s="604"/>
      <c r="S880" s="606"/>
      <c r="T880" s="604"/>
    </row>
    <row r="881" spans="5:20" x14ac:dyDescent="0.2">
      <c r="E881" s="174" t="e">
        <f>SUM(E876:E880)</f>
        <v>#REF!</v>
      </c>
      <c r="F881" s="174" t="e">
        <f>SUM(F878:F880,F876)</f>
        <v>#REF!</v>
      </c>
      <c r="G881" s="787"/>
      <c r="I881" s="604"/>
      <c r="J881" s="604"/>
      <c r="K881" s="605"/>
      <c r="L881" s="604"/>
      <c r="M881" s="606"/>
      <c r="N881" s="604"/>
      <c r="O881" s="606"/>
      <c r="P881" s="604"/>
      <c r="Q881" s="606"/>
      <c r="R881" s="604"/>
      <c r="S881" s="606"/>
      <c r="T881" s="604"/>
    </row>
    <row r="882" spans="5:20" x14ac:dyDescent="0.2">
      <c r="E882" s="174" t="e">
        <f>E881-E877</f>
        <v>#REF!</v>
      </c>
      <c r="G882" s="787"/>
      <c r="I882" s="604"/>
      <c r="J882" s="604"/>
      <c r="K882" s="605"/>
      <c r="L882" s="604"/>
      <c r="M882" s="606"/>
      <c r="N882" s="604"/>
      <c r="O882" s="606"/>
      <c r="P882" s="604"/>
      <c r="Q882" s="606"/>
      <c r="R882" s="604"/>
      <c r="S882" s="606"/>
      <c r="T882" s="604"/>
    </row>
    <row r="883" spans="5:20" x14ac:dyDescent="0.2">
      <c r="E883" s="174" t="e">
        <f>1800000000-E882</f>
        <v>#REF!</v>
      </c>
      <c r="F883" s="174" t="e">
        <f>E883/0.7</f>
        <v>#REF!</v>
      </c>
      <c r="G883" s="787"/>
      <c r="I883" s="604"/>
      <c r="J883" s="604"/>
      <c r="K883" s="605"/>
      <c r="L883" s="604"/>
      <c r="M883" s="606"/>
      <c r="N883" s="604"/>
      <c r="O883" s="606"/>
      <c r="P883" s="604"/>
      <c r="Q883" s="606"/>
      <c r="R883" s="604"/>
      <c r="S883" s="606"/>
      <c r="T883" s="604"/>
    </row>
    <row r="884" spans="5:20" x14ac:dyDescent="0.2">
      <c r="G884" s="787"/>
      <c r="I884" s="604"/>
      <c r="J884" s="604"/>
      <c r="K884" s="605"/>
      <c r="L884" s="604"/>
      <c r="M884" s="606"/>
      <c r="N884" s="604"/>
      <c r="O884" s="606"/>
      <c r="P884" s="604"/>
      <c r="Q884" s="606"/>
      <c r="R884" s="604"/>
      <c r="S884" s="606"/>
      <c r="T884" s="604"/>
    </row>
    <row r="885" spans="5:20" x14ac:dyDescent="0.2">
      <c r="G885" s="787"/>
      <c r="I885" s="604"/>
      <c r="J885" s="604"/>
      <c r="K885" s="605"/>
      <c r="L885" s="604"/>
      <c r="M885" s="606"/>
      <c r="N885" s="604"/>
      <c r="O885" s="606"/>
      <c r="P885" s="604"/>
      <c r="Q885" s="606"/>
      <c r="R885" s="604"/>
      <c r="S885" s="606"/>
      <c r="T885" s="604"/>
    </row>
    <row r="886" spans="5:20" x14ac:dyDescent="0.2">
      <c r="G886" s="787"/>
      <c r="I886" s="604"/>
      <c r="J886" s="604"/>
      <c r="K886" s="605"/>
      <c r="L886" s="604"/>
      <c r="M886" s="606"/>
      <c r="N886" s="604"/>
      <c r="O886" s="606"/>
      <c r="P886" s="604"/>
      <c r="Q886" s="606"/>
      <c r="R886" s="604"/>
      <c r="S886" s="606"/>
      <c r="T886" s="604"/>
    </row>
    <row r="887" spans="5:20" x14ac:dyDescent="0.2">
      <c r="G887" s="787"/>
      <c r="I887" s="604"/>
      <c r="J887" s="604"/>
      <c r="K887" s="605"/>
      <c r="L887" s="604"/>
      <c r="M887" s="606"/>
      <c r="N887" s="604"/>
      <c r="O887" s="606"/>
      <c r="P887" s="604"/>
      <c r="Q887" s="606"/>
      <c r="R887" s="604"/>
      <c r="S887" s="606"/>
      <c r="T887" s="604"/>
    </row>
    <row r="888" spans="5:20" x14ac:dyDescent="0.2">
      <c r="G888" s="787"/>
      <c r="I888" s="604"/>
      <c r="J888" s="604"/>
      <c r="K888" s="605"/>
      <c r="L888" s="604"/>
      <c r="M888" s="606"/>
      <c r="N888" s="604"/>
      <c r="O888" s="606"/>
      <c r="P888" s="604"/>
      <c r="Q888" s="606"/>
      <c r="R888" s="604"/>
      <c r="S888" s="606"/>
      <c r="T888" s="604"/>
    </row>
    <row r="889" spans="5:20" x14ac:dyDescent="0.2">
      <c r="G889" s="787"/>
      <c r="I889" s="604"/>
      <c r="J889" s="604"/>
      <c r="K889" s="605"/>
      <c r="L889" s="604"/>
      <c r="M889" s="606"/>
      <c r="N889" s="604"/>
      <c r="O889" s="606"/>
      <c r="P889" s="604"/>
      <c r="Q889" s="606"/>
      <c r="R889" s="604"/>
      <c r="S889" s="606"/>
      <c r="T889" s="604"/>
    </row>
    <row r="890" spans="5:20" x14ac:dyDescent="0.2">
      <c r="G890" s="787"/>
      <c r="I890" s="604"/>
      <c r="J890" s="604"/>
      <c r="K890" s="605"/>
      <c r="L890" s="604"/>
      <c r="M890" s="606"/>
      <c r="N890" s="604"/>
      <c r="O890" s="606"/>
      <c r="P890" s="604"/>
      <c r="Q890" s="606"/>
      <c r="R890" s="604"/>
      <c r="S890" s="606"/>
      <c r="T890" s="604"/>
    </row>
    <row r="891" spans="5:20" x14ac:dyDescent="0.2">
      <c r="G891" s="787"/>
      <c r="I891" s="604"/>
      <c r="J891" s="604"/>
      <c r="K891" s="605"/>
      <c r="L891" s="604"/>
      <c r="M891" s="606"/>
      <c r="N891" s="604"/>
      <c r="O891" s="606"/>
      <c r="P891" s="604"/>
      <c r="Q891" s="606"/>
      <c r="R891" s="604"/>
      <c r="S891" s="606"/>
      <c r="T891" s="604"/>
    </row>
    <row r="892" spans="5:20" x14ac:dyDescent="0.2">
      <c r="G892" s="787"/>
      <c r="I892" s="604"/>
      <c r="J892" s="604"/>
      <c r="K892" s="605"/>
      <c r="L892" s="604"/>
      <c r="M892" s="606"/>
      <c r="N892" s="604"/>
      <c r="O892" s="606"/>
      <c r="P892" s="604"/>
      <c r="Q892" s="606"/>
      <c r="R892" s="604"/>
      <c r="S892" s="606"/>
      <c r="T892" s="604"/>
    </row>
    <row r="893" spans="5:20" x14ac:dyDescent="0.2">
      <c r="G893" s="787"/>
      <c r="I893" s="604"/>
      <c r="J893" s="604"/>
      <c r="K893" s="605"/>
      <c r="L893" s="604"/>
      <c r="M893" s="606"/>
      <c r="N893" s="604"/>
      <c r="O893" s="606"/>
      <c r="P893" s="604"/>
      <c r="Q893" s="606"/>
      <c r="R893" s="604"/>
      <c r="S893" s="606"/>
      <c r="T893" s="604"/>
    </row>
    <row r="894" spans="5:20" x14ac:dyDescent="0.2">
      <c r="G894" s="787"/>
      <c r="I894" s="604"/>
      <c r="J894" s="604"/>
      <c r="K894" s="605"/>
      <c r="L894" s="604"/>
      <c r="M894" s="606"/>
      <c r="N894" s="604"/>
      <c r="O894" s="606"/>
      <c r="P894" s="604"/>
      <c r="Q894" s="606"/>
      <c r="R894" s="604"/>
      <c r="S894" s="606"/>
      <c r="T894" s="604"/>
    </row>
    <row r="895" spans="5:20" x14ac:dyDescent="0.2">
      <c r="G895" s="787"/>
      <c r="I895" s="604"/>
      <c r="J895" s="604"/>
      <c r="K895" s="605"/>
      <c r="L895" s="604"/>
      <c r="M895" s="606"/>
      <c r="N895" s="604"/>
      <c r="O895" s="606"/>
      <c r="P895" s="604"/>
      <c r="Q895" s="606"/>
      <c r="R895" s="604"/>
      <c r="S895" s="606"/>
      <c r="T895" s="604"/>
    </row>
    <row r="896" spans="5:20" x14ac:dyDescent="0.2">
      <c r="G896" s="787"/>
      <c r="I896" s="604"/>
      <c r="J896" s="604"/>
      <c r="K896" s="605"/>
      <c r="L896" s="604"/>
      <c r="M896" s="606"/>
      <c r="N896" s="604"/>
      <c r="O896" s="606"/>
      <c r="P896" s="604"/>
      <c r="Q896" s="606"/>
      <c r="R896" s="604"/>
      <c r="S896" s="606"/>
      <c r="T896" s="604"/>
    </row>
  </sheetData>
  <sheetProtection formatCells="0" formatColumns="0" formatRows="0" insertColumns="0" insertRows="0"/>
  <protectedRanges>
    <protectedRange sqref="D854:D858" name="Rango6"/>
  </protectedRanges>
  <customSheetViews>
    <customSheetView guid="{93F324B6-F965-4669-93FF-DBB148734A46}" scale="60" showPageBreaks="1" fitToPage="1" printArea="1" hiddenRows="1" hiddenColumns="1" state="hidden" view="pageBreakPreview" topLeftCell="A570">
      <selection sqref="A1:T1"/>
      <pageMargins left="0" right="0" top="0" bottom="0" header="0" footer="0"/>
      <printOptions horizontalCentered="1"/>
      <pageSetup scale="39" fitToHeight="10" orientation="landscape" errors="blank" r:id="rId1"/>
      <headerFooter alignWithMargins="0"/>
    </customSheetView>
  </customSheetViews>
  <mergeCells count="74">
    <mergeCell ref="A7:A9"/>
    <mergeCell ref="B7:B9"/>
    <mergeCell ref="C7:C9"/>
    <mergeCell ref="D7:D9"/>
    <mergeCell ref="E7:E9"/>
    <mergeCell ref="V7:AC7"/>
    <mergeCell ref="K8:K9"/>
    <mergeCell ref="L8:L9"/>
    <mergeCell ref="M8:M9"/>
    <mergeCell ref="N8:N9"/>
    <mergeCell ref="O8:O9"/>
    <mergeCell ref="P8:P9"/>
    <mergeCell ref="K7:L7"/>
    <mergeCell ref="M7:N7"/>
    <mergeCell ref="Z8:AA8"/>
    <mergeCell ref="AB8:AC8"/>
    <mergeCell ref="V8:W8"/>
    <mergeCell ref="X8:Y8"/>
    <mergeCell ref="B123:F123"/>
    <mergeCell ref="Q8:Q9"/>
    <mergeCell ref="R8:R9"/>
    <mergeCell ref="S8:S9"/>
    <mergeCell ref="T8:T9"/>
    <mergeCell ref="F7:F9"/>
    <mergeCell ref="G7:G9"/>
    <mergeCell ref="I7:I9"/>
    <mergeCell ref="J7:J9"/>
    <mergeCell ref="B11:F11"/>
    <mergeCell ref="B42:F42"/>
    <mergeCell ref="B81:F81"/>
    <mergeCell ref="O7:P7"/>
    <mergeCell ref="Q7:R7"/>
    <mergeCell ref="S7:T7"/>
    <mergeCell ref="B692:F692"/>
    <mergeCell ref="B172:F172"/>
    <mergeCell ref="B205:F205"/>
    <mergeCell ref="B243:F243"/>
    <mergeCell ref="B375:F375"/>
    <mergeCell ref="B469:F469"/>
    <mergeCell ref="B481:F481"/>
    <mergeCell ref="B545:F545"/>
    <mergeCell ref="B580:F580"/>
    <mergeCell ref="B627:F627"/>
    <mergeCell ref="B647:F647"/>
    <mergeCell ref="B664:F664"/>
    <mergeCell ref="A846:B846"/>
    <mergeCell ref="B715:F715"/>
    <mergeCell ref="B727:F727"/>
    <mergeCell ref="B757:F757"/>
    <mergeCell ref="B775:F775"/>
    <mergeCell ref="B824:F824"/>
    <mergeCell ref="A840:B840"/>
    <mergeCell ref="A841:B841"/>
    <mergeCell ref="A842:B842"/>
    <mergeCell ref="A843:B843"/>
    <mergeCell ref="A844:B844"/>
    <mergeCell ref="A845:B845"/>
    <mergeCell ref="A848:C848"/>
    <mergeCell ref="D848:G848"/>
    <mergeCell ref="A849:C849"/>
    <mergeCell ref="D849:G849"/>
    <mergeCell ref="A850:C850"/>
    <mergeCell ref="D850:G850"/>
    <mergeCell ref="A851:C851"/>
    <mergeCell ref="D851:G851"/>
    <mergeCell ref="A852:G852"/>
    <mergeCell ref="B859:E859"/>
    <mergeCell ref="A861:E861"/>
    <mergeCell ref="F861:G861"/>
    <mergeCell ref="A5:T5"/>
    <mergeCell ref="A4:T4"/>
    <mergeCell ref="A3:T3"/>
    <mergeCell ref="A2:T2"/>
    <mergeCell ref="A1:T1"/>
  </mergeCells>
  <conditionalFormatting sqref="D167:D170 D160:D165 D153:D158 D148:D150 D203 D198:D201 D195:D196 D189:D193 D182:D187 D174:D180 D235:D241 D226:D233 D207:D224 D371:D373 D367:D369 D359:D365 D355:D356 D336:D340 D329:D334 D317:D327 D303:D315 D295:D301 D283:D293 D274:D281 D266:D272 D258:D264 D253:D256 D246:D251 D476:D479 D471:D474 D538:D543 D532:D536 D530 D528 D525:D526 D518:D523 D516 D512 D507:D510 D503:D505 D500:D501 D496:D498 D491:D494 D483:D488 D573:D578 D571 D567:D569 D560:D565 D615:D625 D608:D613 D603:D606 D593:D601 D582:D590 D643:D645 D634:D641 D659:D662 D654:D657 D649:D652 D688:D690 D680:D686 D673:D678 D666:D671 D706:D713 D694:D704 D722:D725 D717:D720 D753:D755 D745:D751 D735:D743 D729:D733 D769:D773 D765:D767 D759:D763 D816:D822 D810:D814 D802:D808 D783:D800 D777:D781 D831:D838 D826:D829 D32:D40 D24:D30 D20:D22 D76:D79 D72:D74 D61:D70 D55:D59 D44:D53 D114:D121 D104:D112 D83:D88 D90:D95 D143:D146 D97:D102 D133:D141 D129:D131 D125:D127 D629:D632 D555:D558 D13:D18 D376:D467 D342:D353 D547:D552">
    <cfRule type="cellIs" dxfId="15" priority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scale="39" fitToHeight="10" orientation="landscape" errors="blank" r:id="rId2"/>
  <headerFooter alignWithMargins="0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6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99" t="s">
        <v>231</v>
      </c>
      <c r="B8" s="1300"/>
      <c r="C8" s="1301"/>
      <c r="D8" s="851" t="e">
        <f t="shared" ref="D8:D18" si="0">IF(A8&lt;&gt;0,VLOOKUP(A8,Materiales,2,FALSE),$J$1)</f>
        <v>#REF!</v>
      </c>
      <c r="E8" s="12">
        <v>0.31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165</v>
      </c>
      <c r="B9" s="1216"/>
      <c r="C9" s="1217"/>
      <c r="D9" s="851" t="e">
        <f t="shared" si="0"/>
        <v>#REF!</v>
      </c>
      <c r="E9" s="12">
        <f>0.3*0.31</f>
        <v>9.2999999999999999E-2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2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>IF(A12&lt;&gt;0,VLOOKUP(A12,Materiales,6,FALSE),$J$1)</f>
        <v>-</v>
      </c>
      <c r="G12" s="22"/>
      <c r="H12" s="8" t="str">
        <f t="shared" si="1"/>
        <v>-</v>
      </c>
      <c r="I12" s="69"/>
    </row>
    <row r="13" spans="1:10" x14ac:dyDescent="0.2">
      <c r="A13" s="1215"/>
      <c r="B13" s="1216"/>
      <c r="C13" s="1217"/>
      <c r="D13" s="851" t="str">
        <f t="shared" si="0"/>
        <v>-</v>
      </c>
      <c r="E13" s="12"/>
      <c r="F13" s="21" t="str">
        <f t="shared" ref="F13:F18" si="2">IF(A13&lt;&gt;0,VLOOKUP(A13,Materiales,5,FALSE),$J$1)</f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3.5</v>
      </c>
      <c r="E23" s="28"/>
      <c r="F23" s="12">
        <f t="shared" ref="F23:F29" si="3">IF(A23&lt;&gt;0,VLOOKUP(A23,Equipos,6,FALSE),$J$1)</f>
        <v>3710</v>
      </c>
      <c r="G23" s="14">
        <v>0.1</v>
      </c>
      <c r="H23" s="8">
        <f t="shared" ref="H23:H29" si="4">IF(A23&lt;&gt;0,ROUND((F23/D23)*G23,2),$J$1)</f>
        <v>106</v>
      </c>
      <c r="I23" s="69"/>
    </row>
    <row r="24" spans="1:9" x14ac:dyDescent="0.2">
      <c r="A24" s="1210" t="s">
        <v>511</v>
      </c>
      <c r="B24" s="1211"/>
      <c r="C24" s="1212"/>
      <c r="D24" s="26">
        <v>1</v>
      </c>
      <c r="E24" s="28"/>
      <c r="F24" s="12">
        <f t="shared" si="3"/>
        <v>68900</v>
      </c>
      <c r="G24" s="14">
        <v>1</v>
      </c>
      <c r="H24" s="8">
        <f t="shared" si="4"/>
        <v>68900</v>
      </c>
      <c r="I24" s="69"/>
    </row>
    <row r="25" spans="1:9" x14ac:dyDescent="0.2">
      <c r="A25" s="1215" t="s">
        <v>515</v>
      </c>
      <c r="B25" s="1216"/>
      <c r="C25" s="1217"/>
      <c r="D25" s="26">
        <v>0.7</v>
      </c>
      <c r="E25" s="28"/>
      <c r="F25" s="12">
        <f t="shared" si="3"/>
        <v>31800</v>
      </c>
      <c r="G25" s="14">
        <v>0.3</v>
      </c>
      <c r="H25" s="8">
        <f t="shared" si="4"/>
        <v>13628.57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82634.570000000007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16000</v>
      </c>
    </row>
    <row r="35" spans="1:9" x14ac:dyDescent="0.2">
      <c r="A35" s="1299" t="s">
        <v>2072</v>
      </c>
      <c r="B35" s="1300"/>
      <c r="C35" s="1301"/>
      <c r="D35" s="46">
        <f>IF(A35&lt;&gt;0,VLOOKUP(A35,Transporte,8,FALSE),$J$1)</f>
        <v>256000</v>
      </c>
      <c r="E35" s="47"/>
      <c r="F35" s="15">
        <f t="shared" ref="F35:F40" si="5">IF(A35&lt;&gt;0,VLOOKUP(A35,Transporte,2,FALSE),$J$1)</f>
        <v>6</v>
      </c>
      <c r="G35" s="12">
        <f>0.3*1.25</f>
        <v>0.375</v>
      </c>
      <c r="H35" s="8">
        <f t="shared" ref="H35:H40" si="6">IF(A35&lt;&gt;0,D35/F35*G35,$J$1)</f>
        <v>16000</v>
      </c>
      <c r="I35" s="344"/>
    </row>
    <row r="36" spans="1:9" x14ac:dyDescent="0.2">
      <c r="A36" s="871"/>
      <c r="B36" s="872"/>
      <c r="C36" s="873"/>
      <c r="D36" s="46"/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16000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39</v>
      </c>
      <c r="B45" s="1216"/>
      <c r="C45" s="1217"/>
      <c r="D45" s="1225">
        <f>IF(A45&lt;&gt;0,VLOOKUP(A45,Cuadrillas,7,FALSE),$J$1)</f>
        <v>154270.22</v>
      </c>
      <c r="E45" s="1226"/>
      <c r="F45" s="1302">
        <v>7</v>
      </c>
      <c r="G45" s="1222"/>
      <c r="H45" s="8">
        <f>IF(A45&lt;&gt;0,ROUND(D45/F45,2),$J$1)</f>
        <v>22038.6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22038.6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22038.6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5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4:C44"/>
    <mergeCell ref="D44:E44"/>
    <mergeCell ref="F44:G44"/>
    <mergeCell ref="A11:C11"/>
    <mergeCell ref="A12:C12"/>
    <mergeCell ref="A13:C13"/>
    <mergeCell ref="A24:C24"/>
    <mergeCell ref="A25:C25"/>
    <mergeCell ref="B34:C34"/>
    <mergeCell ref="A35:C35"/>
    <mergeCell ref="B38:C38"/>
    <mergeCell ref="A41:H41"/>
    <mergeCell ref="A42:I42"/>
    <mergeCell ref="A43:I43"/>
    <mergeCell ref="A10:C10"/>
    <mergeCell ref="A1:C1"/>
    <mergeCell ref="H1:I1"/>
    <mergeCell ref="C5:I5"/>
    <mergeCell ref="A8:C8"/>
    <mergeCell ref="A9:C9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3:C23 A23:A29 B26:C29 B39:C40 B36:C37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14:C18 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7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99" t="s">
        <v>231</v>
      </c>
      <c r="B8" s="1300"/>
      <c r="C8" s="1301"/>
      <c r="D8" s="851" t="e">
        <f t="shared" ref="D8:D18" si="0">IF(A8&lt;&gt;0,VLOOKUP(A8,Materiales,2,FALSE),$J$1)</f>
        <v>#REF!</v>
      </c>
      <c r="E8" s="12">
        <v>0.55000000000000004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165</v>
      </c>
      <c r="B9" s="1216"/>
      <c r="C9" s="1217"/>
      <c r="D9" s="851" t="e">
        <f t="shared" si="0"/>
        <v>#REF!</v>
      </c>
      <c r="E9" s="12">
        <f>0.55*0.3</f>
        <v>0.16500000000000001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2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>IF(A12&lt;&gt;0,VLOOKUP(A12,Materiales,6,FALSE),$J$1)</f>
        <v>-</v>
      </c>
      <c r="G12" s="22"/>
      <c r="H12" s="8" t="str">
        <f t="shared" si="1"/>
        <v>-</v>
      </c>
      <c r="I12" s="69"/>
    </row>
    <row r="13" spans="1:10" x14ac:dyDescent="0.2">
      <c r="A13" s="1215"/>
      <c r="B13" s="1216"/>
      <c r="C13" s="1217"/>
      <c r="D13" s="851" t="str">
        <f t="shared" si="0"/>
        <v>-</v>
      </c>
      <c r="E13" s="12"/>
      <c r="F13" s="21" t="str">
        <f t="shared" ref="F13:F18" si="2">IF(A13&lt;&gt;0,VLOOKUP(A13,Materiales,5,FALSE),$J$1)</f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3.5</v>
      </c>
      <c r="E23" s="28"/>
      <c r="F23" s="12">
        <f t="shared" ref="F23:F29" si="3">IF(A23&lt;&gt;0,VLOOKUP(A23,Equipos,6,FALSE),$J$1)</f>
        <v>3710</v>
      </c>
      <c r="G23" s="14">
        <v>0.1</v>
      </c>
      <c r="H23" s="8">
        <f t="shared" ref="H23:H29" si="4">IF(A23&lt;&gt;0,ROUND((F23/D23)*G23,2),$J$1)</f>
        <v>106</v>
      </c>
      <c r="I23" s="69"/>
    </row>
    <row r="24" spans="1:9" x14ac:dyDescent="0.2">
      <c r="A24" s="1210" t="s">
        <v>512</v>
      </c>
      <c r="B24" s="1211"/>
      <c r="C24" s="1212"/>
      <c r="D24" s="26">
        <v>1</v>
      </c>
      <c r="E24" s="28"/>
      <c r="F24" s="12">
        <f t="shared" si="3"/>
        <v>120840</v>
      </c>
      <c r="G24" s="14">
        <v>1</v>
      </c>
      <c r="H24" s="8">
        <f t="shared" si="4"/>
        <v>120840</v>
      </c>
      <c r="I24" s="69"/>
    </row>
    <row r="25" spans="1:9" x14ac:dyDescent="0.2">
      <c r="A25" s="1215" t="s">
        <v>515</v>
      </c>
      <c r="B25" s="1216"/>
      <c r="C25" s="1217"/>
      <c r="D25" s="26">
        <v>0.6</v>
      </c>
      <c r="E25" s="28"/>
      <c r="F25" s="12">
        <f t="shared" si="3"/>
        <v>31800</v>
      </c>
      <c r="G25" s="14">
        <v>0.35</v>
      </c>
      <c r="H25" s="8">
        <f t="shared" si="4"/>
        <v>18550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139496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29333.333333333332</v>
      </c>
    </row>
    <row r="35" spans="1:9" x14ac:dyDescent="0.2">
      <c r="A35" s="1299" t="s">
        <v>2072</v>
      </c>
      <c r="B35" s="1300"/>
      <c r="C35" s="1301"/>
      <c r="D35" s="46">
        <f>IF(A35&lt;&gt;0,VLOOKUP(A35,Transporte,8,FALSE),$J$1)</f>
        <v>256000</v>
      </c>
      <c r="E35" s="47"/>
      <c r="F35" s="15">
        <f t="shared" ref="F35:F40" si="5">IF(A35&lt;&gt;0,VLOOKUP(A35,Transporte,2,FALSE),$J$1)</f>
        <v>6</v>
      </c>
      <c r="G35" s="12">
        <f>0.55*1.25</f>
        <v>0.6875</v>
      </c>
      <c r="H35" s="8">
        <f t="shared" ref="H35:H40" si="6">IF(A35&lt;&gt;0,D35/F35*G35,$J$1)</f>
        <v>29333.333333333332</v>
      </c>
      <c r="I35" s="344"/>
    </row>
    <row r="36" spans="1:9" x14ac:dyDescent="0.2">
      <c r="A36" s="871"/>
      <c r="B36" s="872"/>
      <c r="C36" s="873"/>
      <c r="D36" s="46"/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29333.333333333332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39</v>
      </c>
      <c r="B45" s="1216"/>
      <c r="C45" s="1217"/>
      <c r="D45" s="1225">
        <f>IF(A45&lt;&gt;0,VLOOKUP(A45,Cuadrillas,7,FALSE),$J$1)</f>
        <v>154270.22</v>
      </c>
      <c r="E45" s="1226"/>
      <c r="F45" s="1302">
        <v>7</v>
      </c>
      <c r="G45" s="1222"/>
      <c r="H45" s="8">
        <f>IF(A45&lt;&gt;0,ROUND(D45/F45,2),$J$1)</f>
        <v>22038.6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22038.6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22038.6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5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4:C44"/>
    <mergeCell ref="D44:E44"/>
    <mergeCell ref="F44:G44"/>
    <mergeCell ref="A11:C11"/>
    <mergeCell ref="A12:C12"/>
    <mergeCell ref="A13:C13"/>
    <mergeCell ref="A24:C24"/>
    <mergeCell ref="A25:C25"/>
    <mergeCell ref="B34:C34"/>
    <mergeCell ref="A35:C35"/>
    <mergeCell ref="B38:C38"/>
    <mergeCell ref="A41:H41"/>
    <mergeCell ref="A42:I42"/>
    <mergeCell ref="A43:I43"/>
    <mergeCell ref="A10:C10"/>
    <mergeCell ref="A1:C1"/>
    <mergeCell ref="H1:I1"/>
    <mergeCell ref="C5:I5"/>
    <mergeCell ref="A8:C8"/>
    <mergeCell ref="A9:C9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3:C23 A23:A29 B26:C29 B39:C40 B36:C37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14:C18 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8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99" t="s">
        <v>231</v>
      </c>
      <c r="B8" s="1300"/>
      <c r="C8" s="1301"/>
      <c r="D8" s="851" t="e">
        <f t="shared" ref="D8:D18" si="0">IF(A8&lt;&gt;0,VLOOKUP(A8,Materiales,2,FALSE),$J$1)</f>
        <v>#REF!</v>
      </c>
      <c r="E8" s="12">
        <v>0.7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165</v>
      </c>
      <c r="B9" s="1216"/>
      <c r="C9" s="1217"/>
      <c r="D9" s="851" t="e">
        <f t="shared" si="0"/>
        <v>#REF!</v>
      </c>
      <c r="E9" s="12">
        <v>0.21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2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>IF(A12&lt;&gt;0,VLOOKUP(A12,Materiales,6,FALSE),$J$1)</f>
        <v>-</v>
      </c>
      <c r="G12" s="22"/>
      <c r="H12" s="8" t="str">
        <f t="shared" si="1"/>
        <v>-</v>
      </c>
      <c r="I12" s="69"/>
    </row>
    <row r="13" spans="1:10" x14ac:dyDescent="0.2">
      <c r="A13" s="1215"/>
      <c r="B13" s="1216"/>
      <c r="C13" s="1217"/>
      <c r="D13" s="851" t="str">
        <f t="shared" si="0"/>
        <v>-</v>
      </c>
      <c r="E13" s="12"/>
      <c r="F13" s="21" t="str">
        <f t="shared" ref="F13:F18" si="2">IF(A13&lt;&gt;0,VLOOKUP(A13,Materiales,5,FALSE),$J$1)</f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3.5</v>
      </c>
      <c r="E23" s="28"/>
      <c r="F23" s="12">
        <f t="shared" ref="F23:F29" si="3">IF(A23&lt;&gt;0,VLOOKUP(A23,Equipos,6,FALSE),$J$1)</f>
        <v>3710</v>
      </c>
      <c r="G23" s="14">
        <v>0.1</v>
      </c>
      <c r="H23" s="8">
        <f t="shared" ref="H23:H29" si="4">IF(A23&lt;&gt;0,ROUND((F23/D23)*G23,2),$J$1)</f>
        <v>106</v>
      </c>
      <c r="I23" s="69"/>
    </row>
    <row r="24" spans="1:9" x14ac:dyDescent="0.2">
      <c r="A24" s="1210" t="s">
        <v>513</v>
      </c>
      <c r="B24" s="1211"/>
      <c r="C24" s="1212"/>
      <c r="D24" s="26">
        <v>1</v>
      </c>
      <c r="E24" s="28"/>
      <c r="F24" s="12">
        <f t="shared" si="3"/>
        <v>161120</v>
      </c>
      <c r="G24" s="14">
        <v>1</v>
      </c>
      <c r="H24" s="8">
        <f t="shared" si="4"/>
        <v>161120</v>
      </c>
      <c r="I24" s="69"/>
    </row>
    <row r="25" spans="1:9" x14ac:dyDescent="0.2">
      <c r="A25" s="1215" t="s">
        <v>515</v>
      </c>
      <c r="B25" s="1216"/>
      <c r="C25" s="1217"/>
      <c r="D25" s="26">
        <v>0.5</v>
      </c>
      <c r="E25" s="28"/>
      <c r="F25" s="12">
        <f t="shared" si="3"/>
        <v>31800</v>
      </c>
      <c r="G25" s="14">
        <v>0.4</v>
      </c>
      <c r="H25" s="8">
        <f t="shared" si="4"/>
        <v>25440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186666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37333.333333333328</v>
      </c>
    </row>
    <row r="35" spans="1:9" x14ac:dyDescent="0.2">
      <c r="A35" s="1299" t="s">
        <v>2072</v>
      </c>
      <c r="B35" s="1300"/>
      <c r="C35" s="1301"/>
      <c r="D35" s="46">
        <f>IF(A35&lt;&gt;0,VLOOKUP(A35,Transporte,8,FALSE),$J$1)</f>
        <v>256000</v>
      </c>
      <c r="E35" s="47"/>
      <c r="F35" s="15">
        <f t="shared" ref="F35:F40" si="5">IF(A35&lt;&gt;0,VLOOKUP(A35,Transporte,2,FALSE),$J$1)</f>
        <v>6</v>
      </c>
      <c r="G35" s="12">
        <f>0.7*1.25</f>
        <v>0.875</v>
      </c>
      <c r="H35" s="8">
        <f t="shared" ref="H35:H40" si="6">IF(A35&lt;&gt;0,D35/F35*G35,$J$1)</f>
        <v>37333.333333333328</v>
      </c>
      <c r="I35" s="344"/>
    </row>
    <row r="36" spans="1:9" x14ac:dyDescent="0.2">
      <c r="A36" s="871"/>
      <c r="B36" s="872"/>
      <c r="C36" s="873"/>
      <c r="D36" s="46"/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37333.333333333328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39</v>
      </c>
      <c r="B45" s="1216"/>
      <c r="C45" s="1217"/>
      <c r="D45" s="1225">
        <f>IF(A45&lt;&gt;0,VLOOKUP(A45,Cuadrillas,7,FALSE),$J$1)</f>
        <v>154270.22</v>
      </c>
      <c r="E45" s="1226"/>
      <c r="F45" s="1302">
        <v>7</v>
      </c>
      <c r="G45" s="1222"/>
      <c r="H45" s="8">
        <f>IF(A45&lt;&gt;0,ROUND(D45/F45,2),$J$1)</f>
        <v>22038.6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22038.6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22038.6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5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4:C44"/>
    <mergeCell ref="D44:E44"/>
    <mergeCell ref="F44:G44"/>
    <mergeCell ref="A11:C11"/>
    <mergeCell ref="A12:C12"/>
    <mergeCell ref="A13:C13"/>
    <mergeCell ref="A24:C24"/>
    <mergeCell ref="A25:C25"/>
    <mergeCell ref="B34:C34"/>
    <mergeCell ref="A35:C35"/>
    <mergeCell ref="B38:C38"/>
    <mergeCell ref="A41:H41"/>
    <mergeCell ref="A42:I42"/>
    <mergeCell ref="A43:I43"/>
    <mergeCell ref="A10:C10"/>
    <mergeCell ref="A1:C1"/>
    <mergeCell ref="H1:I1"/>
    <mergeCell ref="C5:I5"/>
    <mergeCell ref="A8:C8"/>
    <mergeCell ref="A9:C9"/>
  </mergeCells>
  <dataValidations disablePrompts="1" count="5">
    <dataValidation type="list" allowBlank="1" showInputMessage="1" showErrorMessage="1" sqref="B14:C18 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3:C23 A23:A29 B26:C29 B39:C40 B36:C37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52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2302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1.05</v>
      </c>
      <c r="F8" s="21" t="e">
        <f t="shared" ref="F8:F13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330</v>
      </c>
      <c r="B9" s="1216"/>
      <c r="C9" s="1217"/>
      <c r="D9" s="851" t="e">
        <f t="shared" si="0"/>
        <v>#REF!</v>
      </c>
      <c r="E9" s="13">
        <v>0.8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145</v>
      </c>
      <c r="B10" s="1216"/>
      <c r="C10" s="1217"/>
      <c r="D10" s="851" t="e">
        <f t="shared" si="0"/>
        <v>#REF!</v>
      </c>
      <c r="E10" s="13">
        <v>0.5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345</v>
      </c>
      <c r="B11" s="1216"/>
      <c r="C11" s="1217"/>
      <c r="D11" s="851" t="e">
        <f t="shared" si="0"/>
        <v>#REF!</v>
      </c>
      <c r="E11" s="12">
        <v>6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362</v>
      </c>
      <c r="B12" s="1216"/>
      <c r="C12" s="1217"/>
      <c r="D12" s="851" t="e">
        <f t="shared" si="0"/>
        <v>#REF!</v>
      </c>
      <c r="E12" s="12">
        <v>1.8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871" t="s">
        <v>242</v>
      </c>
      <c r="B13" s="872"/>
      <c r="C13" s="873"/>
      <c r="D13" s="851" t="e">
        <f t="shared" si="0"/>
        <v>#REF!</v>
      </c>
      <c r="E13" s="12">
        <v>4.8499999999999996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3.5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1060</v>
      </c>
      <c r="I23" s="69"/>
    </row>
    <row r="24" spans="1:9" x14ac:dyDescent="0.2">
      <c r="A24" s="1215" t="s">
        <v>497</v>
      </c>
      <c r="B24" s="1216"/>
      <c r="C24" s="1217"/>
      <c r="D24" s="26">
        <v>2</v>
      </c>
      <c r="E24" s="28"/>
      <c r="F24" s="12">
        <f t="shared" si="3"/>
        <v>42400</v>
      </c>
      <c r="G24" s="14">
        <v>0.25</v>
      </c>
      <c r="H24" s="8">
        <f t="shared" si="4"/>
        <v>5300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6360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3</v>
      </c>
      <c r="G45" s="1222"/>
      <c r="H45" s="8">
        <f>IF(A45&lt;&gt;0,ROUND(D45/F45,2),$J$1)</f>
        <v>144031.95000000001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144031.95000000001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144031.95000000001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3">
    <mergeCell ref="A1:C1"/>
    <mergeCell ref="B34:C34"/>
    <mergeCell ref="B38:C38"/>
    <mergeCell ref="C5:I5"/>
    <mergeCell ref="A24:C24"/>
    <mergeCell ref="A8:C8"/>
    <mergeCell ref="A44:C44"/>
    <mergeCell ref="A41:H41"/>
    <mergeCell ref="A42:I42"/>
    <mergeCell ref="F44:G44"/>
    <mergeCell ref="A9:C9"/>
    <mergeCell ref="A10:C10"/>
    <mergeCell ref="A11:C11"/>
    <mergeCell ref="A12:C12"/>
    <mergeCell ref="D44:E44"/>
    <mergeCell ref="A25:C25"/>
    <mergeCell ref="H56:I56"/>
    <mergeCell ref="F47:G47"/>
    <mergeCell ref="A49:C49"/>
    <mergeCell ref="A52:H52"/>
    <mergeCell ref="A51:I51"/>
    <mergeCell ref="A50:H50"/>
    <mergeCell ref="A54:G54"/>
    <mergeCell ref="F49:G49"/>
    <mergeCell ref="A48:C48"/>
    <mergeCell ref="A56:G56"/>
    <mergeCell ref="D48:E48"/>
    <mergeCell ref="A46:C46"/>
    <mergeCell ref="D46:E46"/>
    <mergeCell ref="A45:C45"/>
    <mergeCell ref="H1:I1"/>
    <mergeCell ref="A55:C55"/>
    <mergeCell ref="D55:E55"/>
    <mergeCell ref="F48:G48"/>
    <mergeCell ref="F55:I55"/>
    <mergeCell ref="A53:H53"/>
    <mergeCell ref="D49:E49"/>
    <mergeCell ref="A43:I43"/>
    <mergeCell ref="F46:G46"/>
    <mergeCell ref="D47:E47"/>
    <mergeCell ref="F45:G45"/>
    <mergeCell ref="D45:E45"/>
    <mergeCell ref="A47:C47"/>
  </mergeCells>
  <phoneticPr fontId="0" type="noConversion"/>
  <dataValidations count="5">
    <dataValidation type="list" allowBlank="1" showInputMessage="1" showErrorMessage="1" sqref="B13:C18 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3:C23 A23:A29 B26:C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0">
    <tabColor theme="7" tint="0.79998168889431442"/>
    <pageSetUpPr fitToPage="1"/>
  </sheetPr>
  <dimension ref="A1:J54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6" si="0">IF(A8&lt;&gt;0,VLOOKUP(A8,Materiales,2,FALSE),$J$1)</f>
        <v>#REF!</v>
      </c>
      <c r="E8" s="13">
        <v>0.26</v>
      </c>
      <c r="F8" s="21" t="e">
        <f t="shared" ref="F8:F13" si="1">IF(A8&lt;&gt;0,VLOOKUP(A8,Materiales,6,FALSE),$J$1)</f>
        <v>#REF!</v>
      </c>
      <c r="G8" s="22"/>
      <c r="H8" s="8" t="e">
        <f t="shared" ref="H8:H16" si="2">IF(A8&lt;&gt;0,ROUND(E8*F8,2),$J$1)</f>
        <v>#REF!</v>
      </c>
      <c r="I8" s="69"/>
    </row>
    <row r="9" spans="1:10" x14ac:dyDescent="0.2">
      <c r="A9" s="1215" t="s">
        <v>208</v>
      </c>
      <c r="B9" s="1216"/>
      <c r="C9" s="1217"/>
      <c r="D9" s="851" t="e">
        <f t="shared" si="0"/>
        <v>#REF!</v>
      </c>
      <c r="E9" s="13">
        <v>0.8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330</v>
      </c>
      <c r="B10" s="1216"/>
      <c r="C10" s="1217"/>
      <c r="D10" s="851" t="e">
        <f t="shared" si="0"/>
        <v>#REF!</v>
      </c>
      <c r="E10" s="161">
        <v>0.2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362</v>
      </c>
      <c r="B11" s="1216"/>
      <c r="C11" s="1217"/>
      <c r="D11" s="851" t="e">
        <f t="shared" si="0"/>
        <v>#REF!</v>
      </c>
      <c r="E11" s="12">
        <v>0.1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242</v>
      </c>
      <c r="B12" s="1216"/>
      <c r="C12" s="1217"/>
      <c r="D12" s="851" t="e">
        <f t="shared" si="0"/>
        <v>#REF!</v>
      </c>
      <c r="E12" s="12">
        <v>0.25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/>
      <c r="B13" s="1216"/>
      <c r="C13" s="1217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50" t="s">
        <v>2217</v>
      </c>
      <c r="B17" s="872"/>
      <c r="C17" s="872"/>
      <c r="D17" s="872"/>
      <c r="E17" s="872"/>
      <c r="F17" s="872"/>
      <c r="G17" s="872"/>
      <c r="H17" s="873"/>
      <c r="I17" s="241" t="e">
        <f>SUM(H8:H16)</f>
        <v>#REF!</v>
      </c>
    </row>
    <row r="18" spans="1:9" x14ac:dyDescent="0.2">
      <c r="A18" s="76"/>
      <c r="B18" s="27"/>
      <c r="C18" s="27"/>
      <c r="D18" s="27"/>
      <c r="E18" s="27"/>
      <c r="F18" s="27"/>
      <c r="G18" s="27"/>
      <c r="H18" s="27"/>
      <c r="I18" s="64"/>
    </row>
    <row r="19" spans="1:9" x14ac:dyDescent="0.2">
      <c r="A19" s="875" t="s">
        <v>454</v>
      </c>
      <c r="B19" s="876"/>
      <c r="C19" s="876"/>
      <c r="D19" s="876"/>
      <c r="E19" s="876"/>
      <c r="F19" s="876"/>
      <c r="G19" s="876"/>
      <c r="H19" s="876"/>
      <c r="I19" s="877"/>
    </row>
    <row r="20" spans="1:9" s="9" customFormat="1" ht="25.5" x14ac:dyDescent="0.2">
      <c r="A20" s="255" t="s">
        <v>26</v>
      </c>
      <c r="B20" s="256"/>
      <c r="C20" s="254"/>
      <c r="D20" s="253" t="s">
        <v>2218</v>
      </c>
      <c r="E20" s="254"/>
      <c r="F20" s="235" t="s">
        <v>2219</v>
      </c>
      <c r="G20" s="881" t="s">
        <v>2220</v>
      </c>
      <c r="H20" s="257" t="s">
        <v>2216</v>
      </c>
      <c r="I20" s="72"/>
    </row>
    <row r="21" spans="1:9" x14ac:dyDescent="0.2">
      <c r="A21" s="1303" t="s">
        <v>477</v>
      </c>
      <c r="B21" s="1304"/>
      <c r="C21" s="1305"/>
      <c r="D21" s="26">
        <v>14</v>
      </c>
      <c r="E21" s="28"/>
      <c r="F21" s="12">
        <f t="shared" ref="F21:F26" si="3">IF(A21&lt;&gt;0,VLOOKUP(A21,Equipos,6,FALSE),$J$1)</f>
        <v>3710</v>
      </c>
      <c r="G21" s="14">
        <v>0.5</v>
      </c>
      <c r="H21" s="8">
        <f>IF(A21&lt;&gt;0,ROUND((F21/D21)*G21,2),$J$1)</f>
        <v>132.5</v>
      </c>
      <c r="I21" s="69"/>
    </row>
    <row r="22" spans="1:9" x14ac:dyDescent="0.2">
      <c r="A22" s="1303" t="s">
        <v>503</v>
      </c>
      <c r="B22" s="1304"/>
      <c r="C22" s="1305"/>
      <c r="D22" s="26">
        <v>0.5</v>
      </c>
      <c r="E22" s="28"/>
      <c r="F22" s="12">
        <f>IF(A22&lt;&gt;0,VLOOKUP(A22,Equipos,6,FALSE),$J$1)</f>
        <v>3180</v>
      </c>
      <c r="G22" s="14">
        <v>7.0000000000000007E-2</v>
      </c>
      <c r="H22" s="8">
        <f>IF(A22&lt;&gt;0,ROUND((F22/D22)*G22,2),$J$1)</f>
        <v>445.2</v>
      </c>
      <c r="I22" s="69"/>
    </row>
    <row r="23" spans="1:9" x14ac:dyDescent="0.2">
      <c r="A23" s="1303" t="s">
        <v>497</v>
      </c>
      <c r="B23" s="1304"/>
      <c r="C23" s="1305"/>
      <c r="D23" s="451">
        <v>1</v>
      </c>
      <c r="E23" s="28"/>
      <c r="F23" s="12">
        <f>IF(A23&lt;&gt;0,VLOOKUP(A23,Equipos,6,FALSE),$J$1)</f>
        <v>42400</v>
      </c>
      <c r="G23" s="14">
        <v>0.04</v>
      </c>
      <c r="H23" s="8">
        <f>IF(A23&lt;&gt;0,ROUND((F23*D23)*G23,2),$J$1)</f>
        <v>1696</v>
      </c>
      <c r="I23" s="69"/>
    </row>
    <row r="24" spans="1:9" ht="12.75" customHeight="1" x14ac:dyDescent="0.2">
      <c r="A24" s="1303"/>
      <c r="B24" s="1304"/>
      <c r="C24" s="1305"/>
      <c r="D24" s="451"/>
      <c r="E24" s="28"/>
      <c r="F24" s="12" t="str">
        <f>IF(A24&lt;&gt;0,VLOOKUP(A24,Equipos,6,FALSE),$J$1)</f>
        <v>-</v>
      </c>
      <c r="G24" s="14"/>
      <c r="H24" s="8" t="str">
        <f>IF(A24&lt;&gt;0,ROUND((F24*D24)*G24,2),$J$1)</f>
        <v>-</v>
      </c>
      <c r="I24" s="69"/>
    </row>
    <row r="25" spans="1:9" x14ac:dyDescent="0.2">
      <c r="A25" s="1299"/>
      <c r="B25" s="1300"/>
      <c r="C25" s="1301"/>
      <c r="D25" s="26"/>
      <c r="E25" s="28"/>
      <c r="F25" s="12" t="str">
        <f t="shared" si="3"/>
        <v>-</v>
      </c>
      <c r="G25" s="14"/>
      <c r="H25" s="8" t="str">
        <f>IF(A25&lt;&gt;0,ROUND((F25/D25)*G25,2),$J$1)</f>
        <v>-</v>
      </c>
      <c r="I25" s="69"/>
    </row>
    <row r="26" spans="1:9" x14ac:dyDescent="0.2">
      <c r="A26" s="1215"/>
      <c r="B26" s="1216"/>
      <c r="C26" s="1217"/>
      <c r="D26" s="26"/>
      <c r="E26" s="28"/>
      <c r="F26" s="12" t="str">
        <f t="shared" si="3"/>
        <v>-</v>
      </c>
      <c r="G26" s="14"/>
      <c r="H26" s="8" t="str">
        <f>IF(A26&lt;&gt;0,ROUND((F26/D26)*G26,2),$J$1)</f>
        <v>-</v>
      </c>
      <c r="I26" s="73"/>
    </row>
    <row r="27" spans="1:9" x14ac:dyDescent="0.2">
      <c r="A27" s="850" t="s">
        <v>2221</v>
      </c>
      <c r="B27" s="872"/>
      <c r="C27" s="872"/>
      <c r="D27" s="872"/>
      <c r="E27" s="872"/>
      <c r="F27" s="872"/>
      <c r="G27" s="872"/>
      <c r="H27" s="873"/>
      <c r="I27" s="241">
        <f>SUM(H21:H26)</f>
        <v>2273.6999999999998</v>
      </c>
    </row>
    <row r="28" spans="1:9" x14ac:dyDescent="0.2">
      <c r="A28" s="76"/>
      <c r="B28" s="27"/>
      <c r="C28" s="27"/>
      <c r="D28" s="27"/>
      <c r="E28" s="27"/>
      <c r="F28" s="27"/>
      <c r="G28" s="27"/>
      <c r="H28" s="27"/>
      <c r="I28" s="64"/>
    </row>
    <row r="29" spans="1:9" x14ac:dyDescent="0.2">
      <c r="A29" s="875" t="s">
        <v>2222</v>
      </c>
      <c r="B29" s="876"/>
      <c r="C29" s="876"/>
      <c r="D29" s="876"/>
      <c r="E29" s="876"/>
      <c r="F29" s="876"/>
      <c r="G29" s="876"/>
      <c r="H29" s="876"/>
      <c r="I29" s="877"/>
    </row>
    <row r="30" spans="1:9" s="9" customFormat="1" ht="25.5" x14ac:dyDescent="0.2">
      <c r="A30" s="250" t="s">
        <v>26</v>
      </c>
      <c r="B30" s="251"/>
      <c r="C30" s="252"/>
      <c r="D30" s="253" t="s">
        <v>2223</v>
      </c>
      <c r="E30" s="254"/>
      <c r="F30" s="881" t="s">
        <v>2224</v>
      </c>
      <c r="G30" s="881" t="s">
        <v>2225</v>
      </c>
      <c r="H30" s="257" t="s">
        <v>2216</v>
      </c>
      <c r="I30" s="72"/>
    </row>
    <row r="31" spans="1:9" x14ac:dyDescent="0.2">
      <c r="A31" s="890"/>
      <c r="B31" s="1105" t="s">
        <v>2226</v>
      </c>
      <c r="C31" s="1104"/>
      <c r="D31" s="46"/>
      <c r="E31" s="47"/>
      <c r="F31" s="15"/>
      <c r="G31" s="12"/>
      <c r="H31" s="8"/>
      <c r="I31" s="343">
        <f>SUM(H32:H34)</f>
        <v>0</v>
      </c>
    </row>
    <row r="32" spans="1:9" x14ac:dyDescent="0.2">
      <c r="A32" s="1215"/>
      <c r="B32" s="1216"/>
      <c r="C32" s="1217"/>
      <c r="D32" s="46" t="str">
        <f>IF(A32&lt;&gt;0,VLOOKUP(A32,Transporte,8,FALSE),$J$1)</f>
        <v>-</v>
      </c>
      <c r="E32" s="47"/>
      <c r="F32" s="15" t="str">
        <f t="shared" ref="F32:F37" si="4">IF(A32&lt;&gt;0,VLOOKUP(A32,Transporte,2,FALSE),$J$1)</f>
        <v>-</v>
      </c>
      <c r="G32" s="12"/>
      <c r="H32" s="8" t="str">
        <f t="shared" ref="H32:H37" si="5">IF(A32&lt;&gt;0,D32/F32*G32,$J$1)</f>
        <v>-</v>
      </c>
      <c r="I32" s="344"/>
    </row>
    <row r="33" spans="1:9" x14ac:dyDescent="0.2">
      <c r="A33" s="1215"/>
      <c r="B33" s="1216"/>
      <c r="C33" s="1217"/>
      <c r="D33" s="46" t="str">
        <f>IF(A33&lt;&gt;0,VLOOKUP(A33,Transporte,8,FALSE),$J$1)</f>
        <v>-</v>
      </c>
      <c r="E33" s="47"/>
      <c r="F33" s="15" t="str">
        <f t="shared" si="4"/>
        <v>-</v>
      </c>
      <c r="G33" s="12"/>
      <c r="H33" s="8" t="str">
        <f t="shared" si="5"/>
        <v>-</v>
      </c>
      <c r="I33" s="344"/>
    </row>
    <row r="34" spans="1:9" x14ac:dyDescent="0.2">
      <c r="A34" s="1215"/>
      <c r="B34" s="1216"/>
      <c r="C34" s="1217"/>
      <c r="D34" s="46"/>
      <c r="E34" s="47"/>
      <c r="F34" s="15" t="str">
        <f t="shared" si="4"/>
        <v>-</v>
      </c>
      <c r="G34" s="12"/>
      <c r="H34" s="8" t="str">
        <f t="shared" si="5"/>
        <v>-</v>
      </c>
      <c r="I34" s="345"/>
    </row>
    <row r="35" spans="1:9" x14ac:dyDescent="0.2">
      <c r="A35" s="871"/>
      <c r="B35" s="1105" t="s">
        <v>2227</v>
      </c>
      <c r="C35" s="1104"/>
      <c r="D35" s="46"/>
      <c r="E35" s="47"/>
      <c r="F35" s="15"/>
      <c r="G35" s="12"/>
      <c r="H35" s="8"/>
      <c r="I35" s="343">
        <f>SUM(H36:H37)</f>
        <v>0</v>
      </c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4"/>
        <v>-</v>
      </c>
      <c r="G36" s="12"/>
      <c r="H36" s="8" t="str">
        <f t="shared" si="5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4"/>
        <v>-</v>
      </c>
      <c r="G37" s="12"/>
      <c r="H37" s="8" t="str">
        <f t="shared" si="5"/>
        <v>-</v>
      </c>
      <c r="I37" s="73"/>
    </row>
    <row r="38" spans="1:9" x14ac:dyDescent="0.2">
      <c r="A38" s="1084" t="s">
        <v>2228</v>
      </c>
      <c r="B38" s="1216"/>
      <c r="C38" s="1216"/>
      <c r="D38" s="1216"/>
      <c r="E38" s="1216"/>
      <c r="F38" s="1216"/>
      <c r="G38" s="1216"/>
      <c r="H38" s="1217"/>
      <c r="I38" s="241">
        <f>SUM(I31:I37)</f>
        <v>0</v>
      </c>
    </row>
    <row r="39" spans="1:9" x14ac:dyDescent="0.2">
      <c r="A39" s="1086"/>
      <c r="B39" s="1087"/>
      <c r="C39" s="1087"/>
      <c r="D39" s="1087"/>
      <c r="E39" s="1087"/>
      <c r="F39" s="1087"/>
      <c r="G39" s="1087"/>
      <c r="H39" s="1087"/>
      <c r="I39" s="1088"/>
    </row>
    <row r="40" spans="1:9" x14ac:dyDescent="0.2">
      <c r="A40" s="1200" t="s">
        <v>554</v>
      </c>
      <c r="B40" s="1201"/>
      <c r="C40" s="1201"/>
      <c r="D40" s="1201"/>
      <c r="E40" s="1201"/>
      <c r="F40" s="1201"/>
      <c r="G40" s="1201"/>
      <c r="H40" s="1201"/>
      <c r="I40" s="1202"/>
    </row>
    <row r="41" spans="1:9" s="9" customFormat="1" ht="25.5" x14ac:dyDescent="0.2">
      <c r="A41" s="1229" t="s">
        <v>2229</v>
      </c>
      <c r="B41" s="1230"/>
      <c r="C41" s="1231"/>
      <c r="D41" s="1223" t="s">
        <v>2230</v>
      </c>
      <c r="E41" s="1224"/>
      <c r="F41" s="1223" t="s">
        <v>2218</v>
      </c>
      <c r="G41" s="1224"/>
      <c r="H41" s="257" t="s">
        <v>2216</v>
      </c>
      <c r="I41" s="72"/>
    </row>
    <row r="42" spans="1:9" x14ac:dyDescent="0.2">
      <c r="A42" s="1215" t="s">
        <v>49</v>
      </c>
      <c r="B42" s="1216"/>
      <c r="C42" s="1217"/>
      <c r="D42" s="1225">
        <f>IF(A42&lt;&gt;0,VLOOKUP(A42,Cuadrillas,7,FALSE),$J$1)</f>
        <v>432095.84</v>
      </c>
      <c r="E42" s="1226"/>
      <c r="F42" s="1221">
        <v>9.8000000000000007</v>
      </c>
      <c r="G42" s="1222"/>
      <c r="H42" s="8">
        <f>IF(A42&lt;&gt;0,ROUND(D42/F42,2),$J$1)</f>
        <v>44091.41</v>
      </c>
      <c r="I42" s="69"/>
    </row>
    <row r="43" spans="1:9" x14ac:dyDescent="0.2">
      <c r="A43" s="1215"/>
      <c r="B43" s="1216"/>
      <c r="C43" s="1217"/>
      <c r="D43" s="1225" t="str">
        <f>IF(A43&lt;&gt;0,VLOOKUP(A43,Cuadrillas,7,FALSE),$J$1)</f>
        <v>-</v>
      </c>
      <c r="E43" s="1226"/>
      <c r="F43" s="1221"/>
      <c r="G43" s="1222"/>
      <c r="H43" s="8" t="str">
        <f>IF(A43&lt;&gt;0,ROUND(D43/F43,2),$J$1)</f>
        <v>-</v>
      </c>
      <c r="I43" s="69"/>
    </row>
    <row r="44" spans="1:9" x14ac:dyDescent="0.2">
      <c r="A44" s="1215"/>
      <c r="B44" s="1216"/>
      <c r="C44" s="1217"/>
      <c r="D44" s="1225" t="str">
        <f>IF(A44&lt;&gt;0,VLOOKUP(A44,Cuadrillas,7,FALSE),$J$1)</f>
        <v>-</v>
      </c>
      <c r="E44" s="1226"/>
      <c r="F44" s="1221"/>
      <c r="G44" s="1222"/>
      <c r="H44" s="8" t="str">
        <f>IF(A44&lt;&gt;0,ROUND(D44/F44,2),$J$1)</f>
        <v>-</v>
      </c>
      <c r="I44" s="69"/>
    </row>
    <row r="45" spans="1:9" x14ac:dyDescent="0.2">
      <c r="A45" s="1215"/>
      <c r="B45" s="1216"/>
      <c r="C45" s="1217"/>
      <c r="D45" s="1225" t="str">
        <f>IF(A45&lt;&gt;0,VLOOKUP(A45,Cuadrillas,7,FALSE),$J$1)</f>
        <v>-</v>
      </c>
      <c r="E45" s="1226"/>
      <c r="F45" s="1221"/>
      <c r="G45" s="1222"/>
      <c r="H45" s="8" t="str">
        <f>IF(A45&lt;&gt;0,ROUND(D45/F45,2),$J$1)</f>
        <v>-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73"/>
    </row>
    <row r="47" spans="1:9" x14ac:dyDescent="0.2">
      <c r="A47" s="1084" t="s">
        <v>2231</v>
      </c>
      <c r="B47" s="1085"/>
      <c r="C47" s="1085"/>
      <c r="D47" s="1085"/>
      <c r="E47" s="1085"/>
      <c r="F47" s="1085"/>
      <c r="G47" s="1085"/>
      <c r="H47" s="1133"/>
      <c r="I47" s="240">
        <f>SUM(H42:H46)</f>
        <v>44091.41</v>
      </c>
    </row>
    <row r="48" spans="1:9" x14ac:dyDescent="0.2">
      <c r="A48" s="1086"/>
      <c r="B48" s="1087"/>
      <c r="C48" s="1087"/>
      <c r="D48" s="1087"/>
      <c r="E48" s="1087"/>
      <c r="F48" s="1087"/>
      <c r="G48" s="1087"/>
      <c r="H48" s="1087"/>
      <c r="I48" s="1088"/>
    </row>
    <row r="49" spans="1:9" x14ac:dyDescent="0.2">
      <c r="A49" s="1089" t="s">
        <v>2232</v>
      </c>
      <c r="B49" s="1090"/>
      <c r="C49" s="1090"/>
      <c r="D49" s="1090"/>
      <c r="E49" s="1090"/>
      <c r="F49" s="1090"/>
      <c r="G49" s="1090"/>
      <c r="H49" s="1090"/>
      <c r="I49" s="237" t="e">
        <f>I17+I27+I38</f>
        <v>#REF!</v>
      </c>
    </row>
    <row r="50" spans="1:9" ht="13.5" thickBot="1" x14ac:dyDescent="0.25">
      <c r="A50" s="1193" t="s">
        <v>2233</v>
      </c>
      <c r="B50" s="1194"/>
      <c r="C50" s="1194"/>
      <c r="D50" s="1194"/>
      <c r="E50" s="1194"/>
      <c r="F50" s="1194"/>
      <c r="G50" s="1194"/>
      <c r="H50" s="1194"/>
      <c r="I50" s="238">
        <f>I47</f>
        <v>44091.41</v>
      </c>
    </row>
    <row r="51" spans="1:9" s="9" customFormat="1" ht="25.5" customHeight="1" thickTop="1" thickBot="1" x14ac:dyDescent="0.25">
      <c r="A51" s="1195" t="s">
        <v>2234</v>
      </c>
      <c r="B51" s="1196"/>
      <c r="C51" s="1196"/>
      <c r="D51" s="1196"/>
      <c r="E51" s="1196"/>
      <c r="F51" s="1196"/>
      <c r="G51" s="1196"/>
      <c r="H51" s="258"/>
      <c r="I51" s="239" t="e">
        <f>I49+I50</f>
        <v>#REF!</v>
      </c>
    </row>
    <row r="52" spans="1:9" s="9" customFormat="1" ht="25.5" customHeight="1" thickTop="1" thickBot="1" x14ac:dyDescent="0.25">
      <c r="A52" s="1095" t="s">
        <v>10</v>
      </c>
      <c r="B52" s="1096"/>
      <c r="C52" s="1232"/>
      <c r="D52" s="1097">
        <f>+'Datos entrada'!B7</f>
        <v>0.3</v>
      </c>
      <c r="E52" s="1098"/>
      <c r="F52" s="1233" t="e">
        <f>I51*D52</f>
        <v>#REF!</v>
      </c>
      <c r="G52" s="1099"/>
      <c r="H52" s="1099"/>
      <c r="I52" s="1100"/>
    </row>
    <row r="53" spans="1:9" s="9" customFormat="1" ht="25.5" customHeight="1" thickTop="1" thickBot="1" x14ac:dyDescent="0.25">
      <c r="A53" s="1095" t="s">
        <v>2236</v>
      </c>
      <c r="B53" s="1096"/>
      <c r="C53" s="1096"/>
      <c r="D53" s="1096"/>
      <c r="E53" s="1096"/>
      <c r="F53" s="1096"/>
      <c r="G53" s="1096"/>
      <c r="H53" s="1191" t="e">
        <f>I51+F52</f>
        <v>#REF!</v>
      </c>
      <c r="I53" s="1192"/>
    </row>
    <row r="54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53:G53"/>
    <mergeCell ref="H53:I53"/>
    <mergeCell ref="A21:C21"/>
    <mergeCell ref="A47:H47"/>
    <mergeCell ref="A48:I48"/>
    <mergeCell ref="A49:H49"/>
    <mergeCell ref="A50:H50"/>
    <mergeCell ref="A51:G51"/>
    <mergeCell ref="A52:C52"/>
    <mergeCell ref="D52:E52"/>
    <mergeCell ref="F52:I52"/>
    <mergeCell ref="A45:C45"/>
    <mergeCell ref="D45:E45"/>
    <mergeCell ref="F45:G45"/>
    <mergeCell ref="A46:C46"/>
    <mergeCell ref="D46:E46"/>
    <mergeCell ref="F46:G46"/>
    <mergeCell ref="A43:C43"/>
    <mergeCell ref="D43:E43"/>
    <mergeCell ref="F43:G43"/>
    <mergeCell ref="A44:C44"/>
    <mergeCell ref="D44:E44"/>
    <mergeCell ref="F44:G44"/>
    <mergeCell ref="A40:I40"/>
    <mergeCell ref="A41:C41"/>
    <mergeCell ref="D41:E41"/>
    <mergeCell ref="F41:G41"/>
    <mergeCell ref="A42:C42"/>
    <mergeCell ref="D42:E42"/>
    <mergeCell ref="F42:G42"/>
    <mergeCell ref="A39:I39"/>
    <mergeCell ref="A24:C24"/>
    <mergeCell ref="A25:C25"/>
    <mergeCell ref="A26:C26"/>
    <mergeCell ref="B31:C31"/>
    <mergeCell ref="A32:C32"/>
    <mergeCell ref="A33:C33"/>
    <mergeCell ref="A34:C34"/>
    <mergeCell ref="B35:C35"/>
    <mergeCell ref="A36:C36"/>
    <mergeCell ref="A37:C37"/>
    <mergeCell ref="A38:H38"/>
    <mergeCell ref="A11:C11"/>
    <mergeCell ref="A12:C12"/>
    <mergeCell ref="A13:C13"/>
    <mergeCell ref="A22:C22"/>
    <mergeCell ref="A23:C23"/>
    <mergeCell ref="A10:C10"/>
    <mergeCell ref="A1:C1"/>
    <mergeCell ref="H1:I1"/>
    <mergeCell ref="C5:I5"/>
    <mergeCell ref="A8:C8"/>
    <mergeCell ref="A9:C9"/>
  </mergeCells>
  <dataValidations disablePrompts="1" count="5">
    <dataValidation type="list" allowBlank="1" showInputMessage="1" showErrorMessage="1" sqref="A42:C46">
      <formula1>Descrip_cuadrillas</formula1>
    </dataValidation>
    <dataValidation type="list" allowBlank="1" showInputMessage="1" showErrorMessage="1" sqref="A31:A37">
      <formula1>Descrip_transporte</formula1>
    </dataValidation>
    <dataValidation type="list" allowBlank="1" showInputMessage="1" showErrorMessage="1" sqref="A21:A26">
      <formula1>Descrip_equipos</formula1>
    </dataValidation>
    <dataValidation type="list" allowBlank="1" showInputMessage="1" showErrorMessage="1" sqref="A9:A16 B14:C16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indexed="31"/>
    <pageSetUpPr fitToPage="1"/>
  </sheetPr>
  <dimension ref="A1:K57"/>
  <sheetViews>
    <sheetView workbookViewId="0">
      <selection activeCell="K16" sqref="K16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51.7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0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0.11</v>
      </c>
      <c r="F8" s="21" t="e">
        <f t="shared" ref="F8:F13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345</v>
      </c>
      <c r="B9" s="1216"/>
      <c r="C9" s="1217"/>
      <c r="D9" s="851" t="e">
        <f t="shared" si="0"/>
        <v>#REF!</v>
      </c>
      <c r="E9" s="13">
        <v>0.35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362</v>
      </c>
      <c r="B10" s="1216"/>
      <c r="C10" s="1217"/>
      <c r="D10" s="851" t="e">
        <f t="shared" si="0"/>
        <v>#REF!</v>
      </c>
      <c r="E10" s="13">
        <v>0.35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871" t="s">
        <v>330</v>
      </c>
      <c r="B11" s="872"/>
      <c r="C11" s="873"/>
      <c r="D11" s="851" t="e">
        <f t="shared" si="0"/>
        <v>#REF!</v>
      </c>
      <c r="E11" s="12">
        <v>0.04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242</v>
      </c>
      <c r="B12" s="1216"/>
      <c r="C12" s="1217"/>
      <c r="D12" s="851" t="e">
        <f t="shared" si="0"/>
        <v>#REF!</v>
      </c>
      <c r="E12" s="12">
        <v>0.17435596145980223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322</v>
      </c>
      <c r="B13" s="1216"/>
      <c r="C13" s="1217"/>
      <c r="D13" s="851" t="e">
        <f t="shared" si="0"/>
        <v>#REF!</v>
      </c>
      <c r="E13" s="12">
        <v>1.03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14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265</v>
      </c>
      <c r="I23" s="69"/>
    </row>
    <row r="24" spans="1:9" x14ac:dyDescent="0.2">
      <c r="A24" s="1215" t="s">
        <v>497</v>
      </c>
      <c r="B24" s="1216"/>
      <c r="C24" s="1217"/>
      <c r="D24" s="26">
        <v>20</v>
      </c>
      <c r="E24" s="28"/>
      <c r="F24" s="12">
        <f t="shared" si="3"/>
        <v>42400</v>
      </c>
      <c r="G24" s="14">
        <v>1</v>
      </c>
      <c r="H24" s="8">
        <f t="shared" si="4"/>
        <v>2120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2385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302">
        <v>38</v>
      </c>
      <c r="G45" s="1222"/>
      <c r="H45" s="8">
        <f>IF(A45&lt;&gt;0,ROUND(D45/F45,2),$J$1)</f>
        <v>11370.94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11370.94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11370.94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/>
  </sheetData>
  <customSheetViews>
    <customSheetView guid="{93F324B6-F965-4669-93FF-DBB148734A46}" fitToPage="1" topLeftCell="A34">
      <selection activeCell="L4" sqref="L4"/>
      <pageMargins left="0" right="0" top="0" bottom="0" header="0" footer="0"/>
      <printOptions horizontalCentered="1" verticalCentered="1"/>
      <pageSetup scale="75" orientation="portrait" blackAndWhite="1" errors="blank" r:id="rId1"/>
      <headerFooter alignWithMargins="0">
        <oddFooter xml:space="preserve">&amp;C  </oddFooter>
      </headerFooter>
    </customSheetView>
  </customSheetViews>
  <mergeCells count="43">
    <mergeCell ref="A56:G56"/>
    <mergeCell ref="H56:I56"/>
    <mergeCell ref="F47:G47"/>
    <mergeCell ref="A49:C49"/>
    <mergeCell ref="A52:H52"/>
    <mergeCell ref="A51:I51"/>
    <mergeCell ref="A50:H50"/>
    <mergeCell ref="A54:G54"/>
    <mergeCell ref="F49:G49"/>
    <mergeCell ref="A55:C55"/>
    <mergeCell ref="D55:E55"/>
    <mergeCell ref="F55:I55"/>
    <mergeCell ref="A53:H53"/>
    <mergeCell ref="D49:E49"/>
    <mergeCell ref="A48:C48"/>
    <mergeCell ref="F48:G48"/>
    <mergeCell ref="A43:I43"/>
    <mergeCell ref="F46:G46"/>
    <mergeCell ref="D47:E47"/>
    <mergeCell ref="D48:E48"/>
    <mergeCell ref="F44:G44"/>
    <mergeCell ref="A46:C46"/>
    <mergeCell ref="D46:E46"/>
    <mergeCell ref="A45:C45"/>
    <mergeCell ref="D44:E44"/>
    <mergeCell ref="D45:E45"/>
    <mergeCell ref="A44:C44"/>
    <mergeCell ref="A47:C47"/>
    <mergeCell ref="F45:G45"/>
    <mergeCell ref="H1:I1"/>
    <mergeCell ref="A10:C10"/>
    <mergeCell ref="A12:C12"/>
    <mergeCell ref="A41:H41"/>
    <mergeCell ref="A42:I42"/>
    <mergeCell ref="A24:C24"/>
    <mergeCell ref="A25:C25"/>
    <mergeCell ref="A9:C9"/>
    <mergeCell ref="A13:C13"/>
    <mergeCell ref="C5:I5"/>
    <mergeCell ref="A8:C8"/>
    <mergeCell ref="A1:C1"/>
    <mergeCell ref="B34:C34"/>
    <mergeCell ref="B38:C38"/>
  </mergeCells>
  <phoneticPr fontId="0" type="noConversion"/>
  <dataValidations disablePrompts="1" count="5">
    <dataValidation type="list" allowBlank="1" showInputMessage="1" showErrorMessage="1" sqref="A9:A18 B14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3:C23 A23:A29 B26:C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5" orientation="portrait" blackAndWhite="1" errors="blank" r:id="rId2"/>
  <headerFooter alignWithMargins="0">
    <oddFooter xml:space="preserve">&amp;C  </oddFooter>
  </headerFooter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9">
    <tabColor indexed="31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0.13</v>
      </c>
      <c r="F8" s="21" t="e">
        <f t="shared" ref="F8:F13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345</v>
      </c>
      <c r="B9" s="1216"/>
      <c r="C9" s="1217"/>
      <c r="D9" s="851" t="e">
        <f t="shared" si="0"/>
        <v>#REF!</v>
      </c>
      <c r="E9" s="13">
        <v>0.35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362</v>
      </c>
      <c r="B10" s="1216"/>
      <c r="C10" s="1217"/>
      <c r="D10" s="851" t="e">
        <f t="shared" si="0"/>
        <v>#REF!</v>
      </c>
      <c r="E10" s="13">
        <v>0.35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871" t="s">
        <v>330</v>
      </c>
      <c r="B11" s="872"/>
      <c r="C11" s="873"/>
      <c r="D11" s="851" t="e">
        <f t="shared" si="0"/>
        <v>#REF!</v>
      </c>
      <c r="E11" s="12">
        <v>0.04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242</v>
      </c>
      <c r="B12" s="1216"/>
      <c r="C12" s="1217"/>
      <c r="D12" s="851" t="e">
        <f t="shared" si="0"/>
        <v>#REF!</v>
      </c>
      <c r="E12" s="12">
        <v>0.17435596145980223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322</v>
      </c>
      <c r="B13" s="1216"/>
      <c r="C13" s="1217"/>
      <c r="D13" s="851" t="e">
        <f t="shared" si="0"/>
        <v>#REF!</v>
      </c>
      <c r="E13" s="12">
        <v>1.03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14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265</v>
      </c>
      <c r="I23" s="69"/>
    </row>
    <row r="24" spans="1:9" x14ac:dyDescent="0.2">
      <c r="A24" s="1215" t="s">
        <v>497</v>
      </c>
      <c r="B24" s="1216"/>
      <c r="C24" s="1217"/>
      <c r="D24" s="26">
        <v>20</v>
      </c>
      <c r="E24" s="28"/>
      <c r="F24" s="12">
        <f t="shared" si="3"/>
        <v>42400</v>
      </c>
      <c r="G24" s="14">
        <v>1</v>
      </c>
      <c r="H24" s="8">
        <f t="shared" si="4"/>
        <v>2120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2385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302">
        <v>38</v>
      </c>
      <c r="G45" s="1222"/>
      <c r="H45" s="8">
        <f>IF(A45&lt;&gt;0,ROUND(D45/F45,2),$J$1)</f>
        <v>11370.94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11370.94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11370.94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3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1:H41"/>
    <mergeCell ref="A42:I42"/>
    <mergeCell ref="A43:I43"/>
    <mergeCell ref="A44:C44"/>
    <mergeCell ref="D44:E44"/>
    <mergeCell ref="F44:G44"/>
    <mergeCell ref="B38:C38"/>
    <mergeCell ref="A1:C1"/>
    <mergeCell ref="H1:I1"/>
    <mergeCell ref="C5:I5"/>
    <mergeCell ref="A8:C8"/>
    <mergeCell ref="A9:C9"/>
    <mergeCell ref="A10:C10"/>
    <mergeCell ref="A12:C12"/>
    <mergeCell ref="A13:C13"/>
    <mergeCell ref="A24:C24"/>
    <mergeCell ref="A25:C25"/>
    <mergeCell ref="B34:C34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3:C23 A23:A29 B26:C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4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theme="7" tint="0.59999389629810485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81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0.15</v>
      </c>
      <c r="F8" s="21" t="e">
        <f t="shared" ref="F8:F13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345</v>
      </c>
      <c r="B9" s="1216"/>
      <c r="C9" s="1217"/>
      <c r="D9" s="851" t="e">
        <f t="shared" si="0"/>
        <v>#REF!</v>
      </c>
      <c r="E9" s="13">
        <v>0.35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362</v>
      </c>
      <c r="B10" s="1216"/>
      <c r="C10" s="1217"/>
      <c r="D10" s="851" t="e">
        <f t="shared" si="0"/>
        <v>#REF!</v>
      </c>
      <c r="E10" s="13">
        <v>0.35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330</v>
      </c>
      <c r="B11" s="1216"/>
      <c r="C11" s="1217"/>
      <c r="D11" s="851" t="e">
        <f t="shared" si="0"/>
        <v>#REF!</v>
      </c>
      <c r="E11" s="12">
        <v>0.04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107</v>
      </c>
      <c r="B12" s="1216"/>
      <c r="C12" s="1217"/>
      <c r="D12" s="851" t="e">
        <f t="shared" si="0"/>
        <v>#REF!</v>
      </c>
      <c r="E12" s="12">
        <v>0.05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322</v>
      </c>
      <c r="B13" s="1216"/>
      <c r="C13" s="1217"/>
      <c r="D13" s="851" t="e">
        <f t="shared" si="0"/>
        <v>#REF!</v>
      </c>
      <c r="E13" s="12">
        <v>1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7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530</v>
      </c>
      <c r="I23" s="69"/>
    </row>
    <row r="24" spans="1:9" x14ac:dyDescent="0.2">
      <c r="A24" s="1215" t="s">
        <v>473</v>
      </c>
      <c r="B24" s="1216"/>
      <c r="C24" s="1217"/>
      <c r="D24" s="26">
        <v>2</v>
      </c>
      <c r="E24" s="28"/>
      <c r="F24" s="12">
        <f t="shared" si="3"/>
        <v>2438</v>
      </c>
      <c r="G24" s="14">
        <v>1</v>
      </c>
      <c r="H24" s="8">
        <f t="shared" si="4"/>
        <v>1219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1749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36</v>
      </c>
      <c r="G45" s="1222"/>
      <c r="H45" s="8">
        <f>IF(A45&lt;&gt;0,ROUND(D45/F45,2),$J$1)</f>
        <v>12002.66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12002.66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12002.66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4">
    <mergeCell ref="A48:C48"/>
    <mergeCell ref="F48:G48"/>
    <mergeCell ref="A43:I43"/>
    <mergeCell ref="A47:C47"/>
    <mergeCell ref="F47:G47"/>
    <mergeCell ref="F45:G45"/>
    <mergeCell ref="F46:G46"/>
    <mergeCell ref="D47:E47"/>
    <mergeCell ref="D48:E48"/>
    <mergeCell ref="A56:G56"/>
    <mergeCell ref="F55:I55"/>
    <mergeCell ref="A53:H53"/>
    <mergeCell ref="D49:E49"/>
    <mergeCell ref="D55:E55"/>
    <mergeCell ref="H56:I56"/>
    <mergeCell ref="A49:C49"/>
    <mergeCell ref="A52:H52"/>
    <mergeCell ref="A51:I51"/>
    <mergeCell ref="A50:H50"/>
    <mergeCell ref="A54:G54"/>
    <mergeCell ref="F49:G49"/>
    <mergeCell ref="A55:C55"/>
    <mergeCell ref="A12:C12"/>
    <mergeCell ref="A46:C46"/>
    <mergeCell ref="D46:E46"/>
    <mergeCell ref="A45:C45"/>
    <mergeCell ref="D44:E44"/>
    <mergeCell ref="D45:E45"/>
    <mergeCell ref="A44:C44"/>
    <mergeCell ref="A41:H41"/>
    <mergeCell ref="A42:I42"/>
    <mergeCell ref="F44:G44"/>
    <mergeCell ref="A13:C13"/>
    <mergeCell ref="A24:C24"/>
    <mergeCell ref="A25:C25"/>
    <mergeCell ref="B34:C34"/>
    <mergeCell ref="B38:C38"/>
    <mergeCell ref="H1:I1"/>
    <mergeCell ref="A9:C9"/>
    <mergeCell ref="A10:C10"/>
    <mergeCell ref="A11:C11"/>
    <mergeCell ref="C5:I5"/>
    <mergeCell ref="A8:C8"/>
    <mergeCell ref="A1:C1"/>
  </mergeCells>
  <phoneticPr fontId="0" type="noConversion"/>
  <dataValidations disablePrompts="1" count="5">
    <dataValidation type="list" allowBlank="1" showInputMessage="1" showErrorMessage="1" sqref="A9:A18 B14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3:C23 A23:A29 B26:C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9">
    <tabColor indexed="31"/>
    <pageSetUpPr fitToPage="1"/>
  </sheetPr>
  <dimension ref="A1:K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123</v>
      </c>
      <c r="B8" s="1216"/>
      <c r="C8" s="1217"/>
      <c r="D8" s="851" t="e">
        <f t="shared" ref="D8:D18" si="0">IF(A8&lt;&gt;0,VLOOKUP(A8,Materiales,2,FALSE),$J$1)</f>
        <v>#REF!</v>
      </c>
      <c r="E8" s="12">
        <v>1.03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145</v>
      </c>
      <c r="B9" s="1216"/>
      <c r="C9" s="1217"/>
      <c r="D9" s="851" t="e">
        <f t="shared" si="0"/>
        <v>#REF!</v>
      </c>
      <c r="E9" s="13">
        <v>3.0000000000000001E-3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180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20.61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20.61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1200</v>
      </c>
      <c r="G45" s="1222"/>
      <c r="H45" s="8">
        <f>IF(A45&lt;&gt;0,ROUND(D45/F45,2),$J$1)</f>
        <v>360.08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11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360.08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360.08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/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2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5:C45"/>
    <mergeCell ref="D45:E45"/>
    <mergeCell ref="F45:G45"/>
    <mergeCell ref="A23:C23"/>
    <mergeCell ref="A24:C24"/>
    <mergeCell ref="A25:C25"/>
    <mergeCell ref="B34:C34"/>
    <mergeCell ref="B38:C38"/>
    <mergeCell ref="A41:H41"/>
    <mergeCell ref="A42:I42"/>
    <mergeCell ref="A43:I43"/>
    <mergeCell ref="A44:C44"/>
    <mergeCell ref="D44:E44"/>
    <mergeCell ref="F44:G44"/>
    <mergeCell ref="A10:C10"/>
    <mergeCell ref="A1:C1"/>
    <mergeCell ref="H1:I1"/>
    <mergeCell ref="C5:I5"/>
    <mergeCell ref="A8:C8"/>
    <mergeCell ref="A9:C9"/>
  </mergeCells>
  <dataValidations count="5">
    <dataValidation type="list" allowBlank="1" showInputMessage="1" showErrorMessage="1" sqref="A9:A18 B11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6:C29 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C00000"/>
  </sheetPr>
  <dimension ref="A1:J57"/>
  <sheetViews>
    <sheetView topLeftCell="A40" workbookViewId="0">
      <selection activeCell="K11" sqref="K11"/>
    </sheetView>
  </sheetViews>
  <sheetFormatPr baseColWidth="10" defaultColWidth="11.42578125" defaultRowHeight="12.75" x14ac:dyDescent="0.2"/>
  <cols>
    <col min="5" max="5" width="15.85546875" customWidth="1"/>
    <col min="8" max="8" width="13.42578125" customWidth="1"/>
    <col min="9" max="9" width="13.140625" customWidth="1"/>
  </cols>
  <sheetData>
    <row r="1" spans="1:10" ht="43.5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t="s">
        <v>2212</v>
      </c>
    </row>
    <row r="2" spans="1:10" ht="18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</row>
    <row r="3" spans="1:10" ht="15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ht="43.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0" t="e">
        <f>+OBRA!#REF!</f>
        <v>#REF!</v>
      </c>
      <c r="C5" s="267" t="e">
        <f>+OBRA!#REF!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+OBRA!#REF!</f>
        <v>#REF!</v>
      </c>
    </row>
    <row r="7" spans="1:10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/>
      <c r="E8" s="12"/>
      <c r="F8" s="58" t="str">
        <f>IF(A8&lt;&gt;0,VLOOKUP(A8,Materiales,6,FALSE),$J$1)</f>
        <v>-</v>
      </c>
      <c r="G8" s="58"/>
      <c r="H8" s="7" t="str">
        <f t="shared" ref="H8:H18" si="0">IF(A8&lt;&gt;0,ROUND(E8*F8,2),$J$1)</f>
        <v>-</v>
      </c>
      <c r="I8" s="69"/>
    </row>
    <row r="9" spans="1:10" x14ac:dyDescent="0.2">
      <c r="A9" s="1218"/>
      <c r="B9" s="1219"/>
      <c r="C9" s="1219"/>
      <c r="D9" s="844"/>
      <c r="E9" s="12"/>
      <c r="F9" s="58" t="str">
        <f>IF(A9&lt;&gt;0,VLOOKUP(A9,Materiales,6,FALSE),$J$1)</f>
        <v>-</v>
      </c>
      <c r="G9" s="58"/>
      <c r="H9" s="7" t="str">
        <f t="shared" si="0"/>
        <v>-</v>
      </c>
      <c r="I9" s="69"/>
    </row>
    <row r="10" spans="1:10" x14ac:dyDescent="0.2">
      <c r="A10" s="1080"/>
      <c r="B10" s="1081"/>
      <c r="C10" s="1081"/>
      <c r="D10" s="844"/>
      <c r="E10" s="12"/>
      <c r="F10" s="58" t="str">
        <f>IF(A10&lt;&gt;0,VLOOKUP(A10,Materiales,6,FALSE),$J$1)</f>
        <v>-</v>
      </c>
      <c r="G10" s="58"/>
      <c r="H10" s="7" t="str">
        <f t="shared" si="0"/>
        <v>-</v>
      </c>
      <c r="I10" s="69"/>
    </row>
    <row r="11" spans="1:10" x14ac:dyDescent="0.2">
      <c r="A11" s="1080"/>
      <c r="B11" s="1081"/>
      <c r="C11" s="1081"/>
      <c r="D11" s="844"/>
      <c r="E11" s="12"/>
      <c r="F11" s="58"/>
      <c r="G11" s="58"/>
      <c r="H11" s="7" t="str">
        <f t="shared" si="0"/>
        <v>-</v>
      </c>
      <c r="I11" s="69"/>
    </row>
    <row r="12" spans="1:10" x14ac:dyDescent="0.2">
      <c r="A12" s="1080"/>
      <c r="B12" s="1081"/>
      <c r="C12" s="1081"/>
      <c r="D12" s="844"/>
      <c r="E12" s="12"/>
      <c r="F12" s="58"/>
      <c r="G12" s="58"/>
      <c r="H12" s="7" t="str">
        <f t="shared" si="0"/>
        <v>-</v>
      </c>
      <c r="I12" s="69"/>
    </row>
    <row r="13" spans="1:10" x14ac:dyDescent="0.2">
      <c r="A13" s="1080"/>
      <c r="B13" s="1081"/>
      <c r="C13" s="1081"/>
      <c r="D13" s="844"/>
      <c r="E13" s="12"/>
      <c r="F13" s="58"/>
      <c r="G13" s="58"/>
      <c r="H13" s="7" t="str">
        <f t="shared" si="0"/>
        <v>-</v>
      </c>
      <c r="I13" s="69"/>
    </row>
    <row r="14" spans="1:10" x14ac:dyDescent="0.2">
      <c r="A14" s="1080"/>
      <c r="B14" s="1081"/>
      <c r="C14" s="1081"/>
      <c r="D14" s="844"/>
      <c r="E14" s="12"/>
      <c r="F14" s="58"/>
      <c r="G14" s="58"/>
      <c r="H14" s="7" t="str">
        <f t="shared" si="0"/>
        <v>-</v>
      </c>
      <c r="I14" s="69"/>
    </row>
    <row r="15" spans="1:10" x14ac:dyDescent="0.2">
      <c r="A15" s="1080"/>
      <c r="B15" s="1081"/>
      <c r="C15" s="1081"/>
      <c r="D15" s="844"/>
      <c r="E15" s="12"/>
      <c r="F15" s="58"/>
      <c r="G15" s="58"/>
      <c r="H15" s="7" t="str">
        <f t="shared" si="0"/>
        <v>-</v>
      </c>
      <c r="I15" s="69"/>
    </row>
    <row r="16" spans="1:10" x14ac:dyDescent="0.2">
      <c r="A16" s="1080"/>
      <c r="B16" s="1081"/>
      <c r="C16" s="1081"/>
      <c r="D16" s="844"/>
      <c r="E16" s="12"/>
      <c r="F16" s="58"/>
      <c r="G16" s="58"/>
      <c r="H16" s="7" t="str">
        <f t="shared" si="0"/>
        <v>-</v>
      </c>
      <c r="I16" s="69"/>
    </row>
    <row r="17" spans="1:9" x14ac:dyDescent="0.2">
      <c r="A17" s="1080"/>
      <c r="B17" s="1081"/>
      <c r="C17" s="1081"/>
      <c r="D17" s="844"/>
      <c r="E17" s="12"/>
      <c r="F17" s="58"/>
      <c r="G17" s="58"/>
      <c r="H17" s="7" t="str">
        <f t="shared" si="0"/>
        <v>-</v>
      </c>
      <c r="I17" s="69"/>
    </row>
    <row r="18" spans="1:9" x14ac:dyDescent="0.2">
      <c r="A18" s="1080"/>
      <c r="B18" s="1081"/>
      <c r="C18" s="1081"/>
      <c r="D18" s="844"/>
      <c r="E18" s="12"/>
      <c r="F18" s="58"/>
      <c r="G18" s="58"/>
      <c r="H18" s="7" t="str">
        <f t="shared" si="0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0.05</v>
      </c>
      <c r="E23" s="33"/>
      <c r="F23" s="12">
        <f t="shared" ref="F23" si="1">IF(A23&lt;&gt;0,VLOOKUP(A23,Equipos,6,FALSE),$J$1)</f>
        <v>3710</v>
      </c>
      <c r="G23" s="136">
        <v>0.4</v>
      </c>
      <c r="H23" s="7">
        <f>IF(A23&lt;&gt;0,ROUND((F23*D23)*G23,2),$J$1)</f>
        <v>74.2</v>
      </c>
      <c r="I23" s="69"/>
    </row>
    <row r="24" spans="1:9" x14ac:dyDescent="0.2">
      <c r="A24" s="1080"/>
      <c r="B24" s="1081"/>
      <c r="C24" s="1081"/>
      <c r="D24" s="33"/>
      <c r="E24" s="33"/>
      <c r="F24" s="12"/>
      <c r="G24" s="138" t="s">
        <v>2270</v>
      </c>
      <c r="H24" s="7" t="str">
        <f t="shared" ref="H24:H29" si="2">IF(A24&lt;&gt;0,ROUND((F24/D24)*G24,2),$J$1)</f>
        <v>-</v>
      </c>
      <c r="I24" s="69"/>
    </row>
    <row r="25" spans="1:9" x14ac:dyDescent="0.2">
      <c r="A25" s="1080"/>
      <c r="B25" s="1081"/>
      <c r="C25" s="1081"/>
      <c r="D25" s="33"/>
      <c r="E25" s="33"/>
      <c r="F25" s="12"/>
      <c r="G25" s="14"/>
      <c r="H25" s="7" t="str">
        <f t="shared" si="2"/>
        <v>-</v>
      </c>
      <c r="I25" s="69"/>
    </row>
    <row r="26" spans="1:9" x14ac:dyDescent="0.2">
      <c r="A26" s="1080"/>
      <c r="B26" s="1081"/>
      <c r="C26" s="1081"/>
      <c r="D26" s="33"/>
      <c r="E26" s="33"/>
      <c r="F26" s="12"/>
      <c r="G26" s="14"/>
      <c r="H26" s="7" t="str">
        <f t="shared" si="2"/>
        <v>-</v>
      </c>
      <c r="I26" s="69"/>
    </row>
    <row r="27" spans="1:9" x14ac:dyDescent="0.2">
      <c r="A27" s="1080"/>
      <c r="B27" s="1081"/>
      <c r="C27" s="1081"/>
      <c r="D27" s="33"/>
      <c r="E27" s="33"/>
      <c r="F27" s="12"/>
      <c r="G27" s="14"/>
      <c r="H27" s="7" t="str">
        <f t="shared" si="2"/>
        <v>-</v>
      </c>
      <c r="I27" s="69"/>
    </row>
    <row r="28" spans="1:9" x14ac:dyDescent="0.2">
      <c r="A28" s="1080"/>
      <c r="B28" s="1081"/>
      <c r="C28" s="1081"/>
      <c r="D28" s="33"/>
      <c r="E28" s="33"/>
      <c r="F28" s="12"/>
      <c r="G28" s="14"/>
      <c r="H28" s="7" t="str">
        <f t="shared" si="2"/>
        <v>-</v>
      </c>
      <c r="I28" s="69"/>
    </row>
    <row r="29" spans="1:9" x14ac:dyDescent="0.2">
      <c r="A29" s="1080"/>
      <c r="B29" s="1081"/>
      <c r="C29" s="1081"/>
      <c r="D29" s="33"/>
      <c r="E29" s="33"/>
      <c r="F29" s="12"/>
      <c r="G29" s="14"/>
      <c r="H29" s="7" t="str">
        <f t="shared" si="2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74.2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4"/>
      <c r="B34" s="1105" t="s">
        <v>2226</v>
      </c>
      <c r="C34" s="1298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0"/>
      <c r="B35" s="1211"/>
      <c r="C35" s="1212"/>
      <c r="D35" s="61" t="str">
        <f>IF(A35&lt;&gt;0,VLOOKUP(A35,Transporte,8,FALSE),$J$1)</f>
        <v>-</v>
      </c>
      <c r="E35" s="61"/>
      <c r="F35" s="15" t="str">
        <f t="shared" ref="F35:F40" si="3">IF(A35&lt;&gt;0,VLOOKUP(A35,Transporte,2,FALSE),$J$1)</f>
        <v>-</v>
      </c>
      <c r="G35" s="12"/>
      <c r="H35" s="7" t="str">
        <f t="shared" ref="H35:H40" si="4">IF(A35&lt;&gt;0,D35/F35*G35,$J$1)</f>
        <v>-</v>
      </c>
      <c r="I35" s="344"/>
    </row>
    <row r="36" spans="1:9" x14ac:dyDescent="0.2">
      <c r="A36" s="1215"/>
      <c r="B36" s="1216"/>
      <c r="C36" s="1217"/>
      <c r="D36" s="61" t="str">
        <f>IF(A36&lt;&gt;0,VLOOKUP(A36,Transporte,8,FALSE),$J$1)</f>
        <v>-</v>
      </c>
      <c r="E36" s="61"/>
      <c r="F36" s="15" t="str">
        <f t="shared" si="3"/>
        <v>-</v>
      </c>
      <c r="G36" s="12"/>
      <c r="H36" s="7" t="str">
        <f t="shared" si="4"/>
        <v>-</v>
      </c>
      <c r="I36" s="344"/>
    </row>
    <row r="37" spans="1:9" x14ac:dyDescent="0.2">
      <c r="A37" s="1215"/>
      <c r="B37" s="1216"/>
      <c r="C37" s="1217"/>
      <c r="D37" s="61" t="str">
        <f>IF(A26&lt;&gt;0,VLOOKUP(A37,Transporte,8,FALSE),$J$1)</f>
        <v>-</v>
      </c>
      <c r="E37" s="61"/>
      <c r="F37" s="15" t="str">
        <f t="shared" si="3"/>
        <v>-</v>
      </c>
      <c r="G37" s="12"/>
      <c r="H37" s="7" t="str">
        <f t="shared" si="4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5"/>
      <c r="B39" s="1216"/>
      <c r="C39" s="1217"/>
      <c r="D39" s="61" t="str">
        <f>IF(A28&lt;&gt;0,VLOOKUP(A39,Transporte,8,FALSE),$J$1)</f>
        <v>-</v>
      </c>
      <c r="E39" s="61"/>
      <c r="F39" s="15" t="str">
        <f t="shared" si="3"/>
        <v>-</v>
      </c>
      <c r="G39" s="12"/>
      <c r="H39" s="7" t="str">
        <f t="shared" si="4"/>
        <v>-</v>
      </c>
      <c r="I39" s="69"/>
    </row>
    <row r="40" spans="1:9" x14ac:dyDescent="0.2">
      <c r="A40" s="1215"/>
      <c r="B40" s="1216"/>
      <c r="C40" s="1217"/>
      <c r="D40" s="61" t="str">
        <f>IF(A29&lt;&gt;0,VLOOKUP(A40,Transporte,8,FALSE),$J$1)</f>
        <v>-</v>
      </c>
      <c r="E40" s="61"/>
      <c r="F40" s="15" t="str">
        <f t="shared" si="3"/>
        <v>-</v>
      </c>
      <c r="G40" s="12"/>
      <c r="H40" s="7" t="str">
        <f t="shared" si="4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SUM(H34:H40)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9.92</v>
      </c>
      <c r="G45" s="1083"/>
      <c r="H45" s="7">
        <f>IF(A45&lt;&gt;0,ROUND(D45/F45,2),$J$1)</f>
        <v>15551.43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15551.43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74.2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15551.43</v>
      </c>
    </row>
    <row r="54" spans="1:9" ht="19.5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15625.630000000001</v>
      </c>
    </row>
    <row r="55" spans="1:9" ht="19.5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4687.6890000000003</v>
      </c>
      <c r="G55" s="1099"/>
      <c r="H55" s="1099"/>
      <c r="I55" s="1100"/>
    </row>
    <row r="56" spans="1:9" ht="21.75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20313.319000000003</v>
      </c>
      <c r="I56" s="1192"/>
    </row>
    <row r="57" spans="1:9" ht="13.5" thickTop="1" x14ac:dyDescent="0.2"/>
  </sheetData>
  <mergeCells count="59"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  <mergeCell ref="F49:G49"/>
    <mergeCell ref="A46:C46"/>
    <mergeCell ref="D46:E46"/>
    <mergeCell ref="F46:G46"/>
    <mergeCell ref="A47:C47"/>
    <mergeCell ref="D47:E47"/>
    <mergeCell ref="F47:G47"/>
    <mergeCell ref="A43:I43"/>
    <mergeCell ref="A44:C44"/>
    <mergeCell ref="D44:E44"/>
    <mergeCell ref="F44:G44"/>
    <mergeCell ref="A45:C45"/>
    <mergeCell ref="D45:E45"/>
    <mergeCell ref="F45:G45"/>
    <mergeCell ref="A42:I42"/>
    <mergeCell ref="A27:C27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26:C26"/>
    <mergeCell ref="A11:C11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10:C10"/>
    <mergeCell ref="A1:C1"/>
    <mergeCell ref="H1:I1"/>
    <mergeCell ref="A4:E4"/>
    <mergeCell ref="A8:C8"/>
    <mergeCell ref="A9:C9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indexed="21"/>
    <pageSetUpPr fitToPage="1"/>
  </sheetPr>
  <dimension ref="A1:AF896"/>
  <sheetViews>
    <sheetView view="pageBreakPreview" topLeftCell="O781" zoomScale="80" zoomScaleNormal="50" zoomScaleSheetLayoutView="80" workbookViewId="0">
      <selection activeCell="T844" sqref="T844"/>
    </sheetView>
  </sheetViews>
  <sheetFormatPr baseColWidth="10" defaultColWidth="11.42578125" defaultRowHeight="15" x14ac:dyDescent="0.2"/>
  <cols>
    <col min="1" max="1" width="8" style="111" customWidth="1"/>
    <col min="2" max="2" width="52.85546875" style="112" customWidth="1"/>
    <col min="3" max="3" width="10.7109375" style="111" customWidth="1"/>
    <col min="4" max="4" width="22" style="172" customWidth="1"/>
    <col min="5" max="6" width="18.7109375" style="174" customWidth="1"/>
    <col min="7" max="7" width="18.7109375" style="175" customWidth="1"/>
    <col min="8" max="8" width="2.42578125" style="552" customWidth="1"/>
    <col min="9" max="9" width="13.85546875" style="552" customWidth="1"/>
    <col min="10" max="10" width="22.140625" style="552" customWidth="1"/>
    <col min="11" max="11" width="17.85546875" style="553" customWidth="1"/>
    <col min="12" max="12" width="21.28515625" style="552" customWidth="1"/>
    <col min="13" max="13" width="14.5703125" style="554" customWidth="1"/>
    <col min="14" max="14" width="19.5703125" style="552" customWidth="1"/>
    <col min="15" max="15" width="16.140625" style="554" customWidth="1"/>
    <col min="16" max="16" width="20.140625" style="552" customWidth="1"/>
    <col min="17" max="17" width="16.7109375" style="554" customWidth="1"/>
    <col min="18" max="18" width="21.85546875" style="552" customWidth="1"/>
    <col min="19" max="19" width="16.140625" style="554" customWidth="1"/>
    <col min="20" max="20" width="20.7109375" style="552" customWidth="1"/>
    <col min="21" max="21" width="1.7109375" style="552" customWidth="1"/>
    <col min="22" max="22" width="21.85546875" style="555" bestFit="1" customWidth="1"/>
    <col min="23" max="23" width="31" style="555" bestFit="1" customWidth="1"/>
    <col min="24" max="24" width="20.7109375" style="555" bestFit="1" customWidth="1"/>
    <col min="25" max="25" width="31" style="555" bestFit="1" customWidth="1"/>
    <col min="26" max="26" width="20.140625" style="555" bestFit="1" customWidth="1"/>
    <col min="27" max="27" width="29.28515625" style="555" bestFit="1" customWidth="1"/>
    <col min="28" max="28" width="20.140625" style="555" bestFit="1" customWidth="1"/>
    <col min="29" max="29" width="29.28515625" style="555" bestFit="1" customWidth="1"/>
    <col min="30" max="30" width="11.42578125" style="556"/>
    <col min="31" max="31" width="23.140625" style="556" customWidth="1"/>
    <col min="32" max="16384" width="11.42578125" style="556"/>
  </cols>
  <sheetData>
    <row r="1" spans="1:31" s="552" customFormat="1" ht="50.1" customHeight="1" x14ac:dyDescent="0.2">
      <c r="A1" s="1036" t="s">
        <v>530</v>
      </c>
      <c r="B1" s="1036"/>
      <c r="C1" s="1036"/>
      <c r="D1" s="1036"/>
      <c r="E1" s="1036"/>
      <c r="F1" s="1036"/>
      <c r="G1" s="1036"/>
      <c r="H1" s="1036"/>
      <c r="I1" s="1036"/>
      <c r="J1" s="1036"/>
      <c r="K1" s="1036"/>
      <c r="L1" s="1036"/>
      <c r="M1" s="1036"/>
      <c r="N1" s="1036"/>
      <c r="O1" s="1036"/>
      <c r="P1" s="1036"/>
      <c r="Q1" s="1036"/>
      <c r="R1" s="1036"/>
      <c r="S1" s="1036"/>
      <c r="T1" s="1036"/>
      <c r="U1" s="1036"/>
      <c r="V1" s="1036"/>
      <c r="W1" s="1036"/>
      <c r="X1" s="1036"/>
      <c r="Y1" s="1036"/>
      <c r="Z1" s="1036"/>
      <c r="AA1" s="1036"/>
      <c r="AB1" s="1036"/>
      <c r="AC1" s="1036"/>
    </row>
    <row r="2" spans="1:31" s="552" customFormat="1" ht="28.5" customHeight="1" x14ac:dyDescent="0.2">
      <c r="A2" s="1036" t="s">
        <v>2064</v>
      </c>
      <c r="B2" s="1036"/>
      <c r="C2" s="1036"/>
      <c r="D2" s="1036"/>
      <c r="E2" s="1036"/>
      <c r="F2" s="1036"/>
      <c r="G2" s="1036"/>
      <c r="H2" s="1036"/>
      <c r="I2" s="1036"/>
      <c r="J2" s="1036"/>
      <c r="K2" s="1036"/>
      <c r="L2" s="1036"/>
      <c r="M2" s="1036"/>
      <c r="N2" s="1036"/>
      <c r="O2" s="1036"/>
      <c r="P2" s="1036"/>
      <c r="Q2" s="1036"/>
      <c r="R2" s="1036"/>
      <c r="S2" s="1036"/>
      <c r="T2" s="1036"/>
      <c r="U2" s="1036"/>
      <c r="V2" s="1036"/>
      <c r="W2" s="1036"/>
      <c r="X2" s="1036"/>
      <c r="Y2" s="1036"/>
      <c r="Z2" s="1036"/>
      <c r="AA2" s="1036"/>
      <c r="AB2" s="1036"/>
      <c r="AC2" s="1036"/>
    </row>
    <row r="3" spans="1:31" s="552" customFormat="1" ht="23.25" customHeight="1" x14ac:dyDescent="0.2">
      <c r="A3" s="980" t="str">
        <f>+'Datos entrada'!B8</f>
        <v>CORREGIMIENTO DE LAS MESAS-MUNICIPIO DETABLON DE GOMES (N)</v>
      </c>
      <c r="B3" s="980"/>
      <c r="C3" s="980"/>
      <c r="D3" s="980"/>
      <c r="E3" s="980"/>
      <c r="F3" s="980"/>
      <c r="G3" s="980"/>
      <c r="H3" s="980"/>
      <c r="I3" s="980"/>
      <c r="J3" s="980"/>
      <c r="K3" s="980"/>
      <c r="L3" s="980"/>
      <c r="M3" s="980"/>
      <c r="N3" s="980"/>
      <c r="O3" s="980"/>
      <c r="P3" s="980"/>
      <c r="Q3" s="980"/>
      <c r="R3" s="980"/>
      <c r="S3" s="980"/>
      <c r="T3" s="980"/>
      <c r="U3" s="980"/>
      <c r="V3" s="980"/>
      <c r="W3" s="980"/>
      <c r="X3" s="980"/>
      <c r="Y3" s="980"/>
      <c r="Z3" s="980"/>
      <c r="AA3" s="980"/>
      <c r="AB3" s="980"/>
      <c r="AC3" s="980"/>
    </row>
    <row r="4" spans="1:31" s="552" customFormat="1" ht="39.75" customHeight="1" x14ac:dyDescent="0.2">
      <c r="A4" s="980" t="str">
        <f>+'Datos entrada'!B3</f>
        <v>OPTIMIZACIÓN Y AMPLIACIÓN DE LA RED ALCANTARILLADO DEL CORREGIMIENTO DE LAS MESAS, MUNICIPIO DE EL TABLON DE GOMEZ – DEPARTAMENTO DE NARIÑO.</v>
      </c>
      <c r="B4" s="980"/>
      <c r="C4" s="980"/>
      <c r="D4" s="980"/>
      <c r="E4" s="980"/>
      <c r="F4" s="980"/>
      <c r="G4" s="980"/>
      <c r="H4" s="980"/>
      <c r="I4" s="980"/>
      <c r="J4" s="980"/>
      <c r="K4" s="980"/>
      <c r="L4" s="980"/>
      <c r="M4" s="980"/>
      <c r="N4" s="980"/>
      <c r="O4" s="980"/>
      <c r="P4" s="980"/>
      <c r="Q4" s="980"/>
      <c r="R4" s="980"/>
      <c r="S4" s="980"/>
      <c r="T4" s="980"/>
      <c r="U4" s="980"/>
      <c r="V4" s="980"/>
      <c r="W4" s="980"/>
      <c r="X4" s="980"/>
      <c r="Y4" s="980"/>
      <c r="Z4" s="980"/>
      <c r="AA4" s="980"/>
      <c r="AB4" s="980"/>
      <c r="AC4" s="980"/>
    </row>
    <row r="5" spans="1:31" s="552" customFormat="1" ht="20.100000000000001" customHeight="1" x14ac:dyDescent="0.2">
      <c r="A5" s="980" t="s">
        <v>2065</v>
      </c>
      <c r="B5" s="980"/>
      <c r="C5" s="980"/>
      <c r="D5" s="980"/>
      <c r="E5" s="980"/>
      <c r="F5" s="980"/>
      <c r="G5" s="980"/>
      <c r="H5" s="980"/>
      <c r="I5" s="980"/>
      <c r="J5" s="980"/>
      <c r="K5" s="980"/>
      <c r="L5" s="980"/>
      <c r="M5" s="980"/>
      <c r="N5" s="980"/>
      <c r="O5" s="980"/>
      <c r="P5" s="980"/>
      <c r="Q5" s="980"/>
      <c r="R5" s="980"/>
      <c r="S5" s="980"/>
      <c r="T5" s="980"/>
      <c r="U5" s="980"/>
      <c r="V5" s="980"/>
      <c r="W5" s="980"/>
      <c r="X5" s="980"/>
      <c r="Y5" s="980"/>
      <c r="Z5" s="980"/>
      <c r="AA5" s="980"/>
      <c r="AB5" s="980"/>
      <c r="AC5" s="980"/>
    </row>
    <row r="6" spans="1:31" ht="6" customHeight="1" thickBot="1" x14ac:dyDescent="0.25">
      <c r="A6" s="910"/>
      <c r="B6" s="911"/>
      <c r="C6" s="910"/>
      <c r="G6" s="787"/>
    </row>
    <row r="7" spans="1:31" ht="24" customHeight="1" thickTop="1" x14ac:dyDescent="0.2">
      <c r="A7" s="1072" t="s">
        <v>533</v>
      </c>
      <c r="B7" s="1072" t="s">
        <v>534</v>
      </c>
      <c r="C7" s="1072" t="s">
        <v>535</v>
      </c>
      <c r="D7" s="1050" t="s">
        <v>536</v>
      </c>
      <c r="E7" s="1050" t="s">
        <v>537</v>
      </c>
      <c r="F7" s="1050" t="s">
        <v>538</v>
      </c>
      <c r="G7" s="1054" t="s">
        <v>539</v>
      </c>
      <c r="H7" s="557"/>
      <c r="I7" s="1056" t="s">
        <v>540</v>
      </c>
      <c r="J7" s="1058" t="s">
        <v>541</v>
      </c>
      <c r="K7" s="1071" t="s">
        <v>542</v>
      </c>
      <c r="L7" s="1061"/>
      <c r="M7" s="1071" t="s">
        <v>543</v>
      </c>
      <c r="N7" s="1071"/>
      <c r="O7" s="1071" t="s">
        <v>544</v>
      </c>
      <c r="P7" s="1071"/>
      <c r="Q7" s="1071" t="s">
        <v>545</v>
      </c>
      <c r="R7" s="1071"/>
      <c r="S7" s="1071" t="s">
        <v>546</v>
      </c>
      <c r="T7" s="1071"/>
      <c r="V7" s="1063" t="s">
        <v>547</v>
      </c>
      <c r="W7" s="1063"/>
      <c r="X7" s="1063"/>
      <c r="Y7" s="1063"/>
      <c r="Z7" s="1063"/>
      <c r="AA7" s="1063"/>
      <c r="AB7" s="1063"/>
      <c r="AC7" s="1063"/>
    </row>
    <row r="8" spans="1:31" ht="21" customHeight="1" x14ac:dyDescent="0.2">
      <c r="A8" s="1067"/>
      <c r="B8" s="1067"/>
      <c r="C8" s="1067"/>
      <c r="D8" s="1055"/>
      <c r="E8" s="1055"/>
      <c r="F8" s="1055"/>
      <c r="G8" s="1055"/>
      <c r="H8" s="557"/>
      <c r="I8" s="1057"/>
      <c r="J8" s="1059"/>
      <c r="K8" s="1054" t="s">
        <v>536</v>
      </c>
      <c r="L8" s="1061" t="s">
        <v>548</v>
      </c>
      <c r="M8" s="1054" t="s">
        <v>536</v>
      </c>
      <c r="N8" s="1071" t="s">
        <v>549</v>
      </c>
      <c r="O8" s="1054" t="s">
        <v>536</v>
      </c>
      <c r="P8" s="1071" t="s">
        <v>550</v>
      </c>
      <c r="Q8" s="1054" t="s">
        <v>536</v>
      </c>
      <c r="R8" s="1071" t="s">
        <v>551</v>
      </c>
      <c r="S8" s="1054" t="s">
        <v>536</v>
      </c>
      <c r="T8" s="1071" t="s">
        <v>552</v>
      </c>
      <c r="V8" s="1065" t="s">
        <v>553</v>
      </c>
      <c r="W8" s="1065"/>
      <c r="X8" s="1064" t="s">
        <v>554</v>
      </c>
      <c r="Y8" s="1064"/>
      <c r="Z8" s="1064" t="s">
        <v>454</v>
      </c>
      <c r="AA8" s="1064"/>
      <c r="AB8" s="1064" t="s">
        <v>555</v>
      </c>
      <c r="AC8" s="1064"/>
    </row>
    <row r="9" spans="1:31" ht="18" customHeight="1" x14ac:dyDescent="0.2">
      <c r="A9" s="1073"/>
      <c r="B9" s="1073"/>
      <c r="C9" s="1073"/>
      <c r="D9" s="1051"/>
      <c r="E9" s="1051"/>
      <c r="F9" s="1051"/>
      <c r="G9" s="1054"/>
      <c r="H9" s="557"/>
      <c r="I9" s="1057"/>
      <c r="J9" s="1060"/>
      <c r="K9" s="1054"/>
      <c r="L9" s="1061"/>
      <c r="M9" s="1054"/>
      <c r="N9" s="1071"/>
      <c r="O9" s="1054"/>
      <c r="P9" s="1071"/>
      <c r="Q9" s="1054"/>
      <c r="R9" s="1071"/>
      <c r="S9" s="1054"/>
      <c r="T9" s="1071"/>
      <c r="V9" s="845" t="s">
        <v>556</v>
      </c>
      <c r="W9" s="845" t="s">
        <v>557</v>
      </c>
      <c r="X9" s="845" t="s">
        <v>556</v>
      </c>
      <c r="Y9" s="845" t="s">
        <v>557</v>
      </c>
      <c r="Z9" s="845" t="s">
        <v>556</v>
      </c>
      <c r="AA9" s="845" t="s">
        <v>557</v>
      </c>
      <c r="AB9" s="845" t="s">
        <v>556</v>
      </c>
      <c r="AC9" s="845" t="s">
        <v>557</v>
      </c>
    </row>
    <row r="10" spans="1:31" s="552" customFormat="1" ht="6" customHeight="1" thickBot="1" x14ac:dyDescent="0.25">
      <c r="A10" s="910"/>
      <c r="B10" s="911"/>
      <c r="C10" s="910"/>
      <c r="D10" s="172"/>
      <c r="E10" s="174"/>
      <c r="F10" s="174"/>
      <c r="G10" s="787"/>
      <c r="I10" s="558"/>
      <c r="J10" s="558"/>
      <c r="K10" s="559"/>
      <c r="L10" s="560"/>
      <c r="M10" s="561"/>
      <c r="N10" s="560"/>
      <c r="O10" s="561"/>
      <c r="P10" s="560"/>
      <c r="Q10" s="561"/>
      <c r="R10" s="560"/>
      <c r="S10" s="562"/>
      <c r="T10" s="563"/>
      <c r="V10" s="554"/>
      <c r="W10" s="554"/>
      <c r="X10" s="554"/>
      <c r="Y10" s="554"/>
      <c r="Z10" s="554"/>
      <c r="AA10" s="554"/>
      <c r="AB10" s="554"/>
      <c r="AC10" s="554"/>
    </row>
    <row r="11" spans="1:31" s="571" customFormat="1" ht="30" customHeight="1" thickTop="1" thickBot="1" x14ac:dyDescent="0.25">
      <c r="A11" s="564">
        <v>1</v>
      </c>
      <c r="B11" s="1068" t="s">
        <v>558</v>
      </c>
      <c r="C11" s="1069"/>
      <c r="D11" s="1069"/>
      <c r="E11" s="1069"/>
      <c r="F11" s="1070"/>
      <c r="G11" s="180" t="e">
        <f>+ROUND(F12+F19+F23+F31,10)</f>
        <v>#REF!</v>
      </c>
      <c r="H11" s="565"/>
      <c r="I11" s="566"/>
      <c r="J11" s="438" t="e">
        <f>+ROUND(J12+J19+J23+J31,10)</f>
        <v>#REF!</v>
      </c>
      <c r="K11" s="567"/>
      <c r="L11" s="180" t="e">
        <f>+ROUND(L12+L19+L23+L31,10)</f>
        <v>#REF!</v>
      </c>
      <c r="M11" s="567"/>
      <c r="N11" s="180" t="e">
        <f>+ROUND(N12+N19+N23+N31,10)</f>
        <v>#REF!</v>
      </c>
      <c r="O11" s="567"/>
      <c r="P11" s="180" t="e">
        <f>+ROUND(P12+P19+P23+P31,10)</f>
        <v>#REF!</v>
      </c>
      <c r="Q11" s="567"/>
      <c r="R11" s="180" t="e">
        <f>+ROUND(R12+R19+R23+R31,10)</f>
        <v>#REF!</v>
      </c>
      <c r="S11" s="567"/>
      <c r="T11" s="180" t="e">
        <f>+ROUND(T12+T19+T23+T31,10)</f>
        <v>#REF!</v>
      </c>
      <c r="U11" s="568"/>
      <c r="V11" s="569" t="e">
        <f>W11/$G$11</f>
        <v>#REF!</v>
      </c>
      <c r="W11" s="570" t="e">
        <f>ROUND(W12+W19+W23+W31,10)</f>
        <v>#REF!</v>
      </c>
      <c r="X11" s="569" t="e">
        <f>Y11/$G$11</f>
        <v>#REF!</v>
      </c>
      <c r="Y11" s="570" t="e">
        <f>ROUND(Y12+Y19+Y23+Y31,10)</f>
        <v>#REF!</v>
      </c>
      <c r="Z11" s="569" t="e">
        <f>AA11/$G$11</f>
        <v>#REF!</v>
      </c>
      <c r="AA11" s="570" t="e">
        <f>ROUND(AA12+AA19+AA23+AA31,10)</f>
        <v>#REF!</v>
      </c>
      <c r="AB11" s="569" t="e">
        <f>AC11/$G$11</f>
        <v>#REF!</v>
      </c>
      <c r="AC11" s="570" t="e">
        <f>ROUND(AC12+AC19+AC23+AC31,10)</f>
        <v>#REF!</v>
      </c>
      <c r="AE11" s="769" t="e">
        <f>SUM(AC11,AA11,Y11,W11)-SUM(T11,R11,P11,N11,L11)</f>
        <v>#REF!</v>
      </c>
    </row>
    <row r="12" spans="1:31" s="571" customFormat="1" ht="16.5" thickTop="1" x14ac:dyDescent="0.2">
      <c r="A12" s="572" t="s">
        <v>559</v>
      </c>
      <c r="B12" s="573" t="s">
        <v>560</v>
      </c>
      <c r="C12" s="846"/>
      <c r="D12" s="444"/>
      <c r="E12" s="180"/>
      <c r="F12" s="180" t="e">
        <f>ROUND(SUM(F13:F18),10)</f>
        <v>#REF!</v>
      </c>
      <c r="G12" s="473"/>
      <c r="H12" s="565"/>
      <c r="I12" s="574"/>
      <c r="J12" s="439" t="e">
        <f>ROUND(SUM(J13:J18),10)</f>
        <v>#REF!</v>
      </c>
      <c r="K12" s="536"/>
      <c r="L12" s="180" t="e">
        <f>ROUND(SUM(L13:L18),10)</f>
        <v>#REF!</v>
      </c>
      <c r="M12" s="541"/>
      <c r="N12" s="180" t="e">
        <f>ROUND(SUM(N13:N18),10)</f>
        <v>#REF!</v>
      </c>
      <c r="O12" s="541"/>
      <c r="P12" s="180" t="e">
        <f>ROUND(SUM(P13:P18),10)</f>
        <v>#REF!</v>
      </c>
      <c r="Q12" s="541"/>
      <c r="R12" s="180" t="e">
        <f>ROUND(SUM(R13:R18),10)</f>
        <v>#REF!</v>
      </c>
      <c r="S12" s="541"/>
      <c r="T12" s="180" t="e">
        <f>ROUND(SUM(T13:T18),10)</f>
        <v>#REF!</v>
      </c>
      <c r="U12" s="568"/>
      <c r="V12" s="575"/>
      <c r="W12" s="570" t="e">
        <f>ROUND(SUM(W13:W18),10)</f>
        <v>#REF!</v>
      </c>
      <c r="X12" s="575"/>
      <c r="Y12" s="570" t="e">
        <f>ROUND(SUM(Y13:Y18),10)</f>
        <v>#REF!</v>
      </c>
      <c r="Z12" s="575"/>
      <c r="AA12" s="570" t="e">
        <f>ROUND(SUM(AA13:AA18),10)</f>
        <v>#REF!</v>
      </c>
      <c r="AB12" s="575"/>
      <c r="AC12" s="570" t="e">
        <f>ROUND(SUM(AC13:AC18),10)</f>
        <v>#REF!</v>
      </c>
      <c r="AE12" s="769" t="e">
        <f t="shared" ref="AE12:AE75" si="0">SUM(AC12,AA12,Y12,W12)-SUM(T12,R12,P12,N12,L12)</f>
        <v>#REF!</v>
      </c>
    </row>
    <row r="13" spans="1:31" ht="15" hidden="1" customHeight="1" x14ac:dyDescent="0.2">
      <c r="A13" s="611" t="s">
        <v>561</v>
      </c>
      <c r="B13" s="601" t="s">
        <v>562</v>
      </c>
      <c r="C13" s="611" t="s">
        <v>111</v>
      </c>
      <c r="D13" s="576">
        <f>+I13+K13+M13+O13+Q13+S13</f>
        <v>0</v>
      </c>
      <c r="E13" s="577" t="e">
        <f>V13+X13+Z13+AB13</f>
        <v>#REF!</v>
      </c>
      <c r="F13" s="577" t="e">
        <f t="shared" ref="F13:F18" si="1">ROUND(D13*E13,10)</f>
        <v>#REF!</v>
      </c>
      <c r="G13" s="578"/>
      <c r="H13" s="565"/>
      <c r="I13" s="579"/>
      <c r="J13" s="580" t="e">
        <f t="shared" ref="J13:J18" si="2">+ROUND(E13*I13,10)</f>
        <v>#REF!</v>
      </c>
      <c r="K13" s="537"/>
      <c r="L13" s="445" t="e">
        <f t="shared" ref="L13:L18" si="3">+ROUND(E13*K13,10)</f>
        <v>#REF!</v>
      </c>
      <c r="M13" s="542"/>
      <c r="N13" s="445" t="e">
        <f t="shared" ref="N13:N18" si="4">+ROUND(E13*M13,10)</f>
        <v>#REF!</v>
      </c>
      <c r="O13" s="542"/>
      <c r="P13" s="445" t="e">
        <f t="shared" ref="P13:P18" si="5">+ROUND(E13*O13,10)</f>
        <v>#REF!</v>
      </c>
      <c r="Q13" s="542"/>
      <c r="R13" s="445" t="e">
        <f t="shared" ref="R13:R18" si="6">+ROUND(E13*Q13,10)</f>
        <v>#REF!</v>
      </c>
      <c r="S13" s="542"/>
      <c r="T13" s="445" t="e">
        <f t="shared" ref="T13:T18" si="7">+ROUND(E13*S13,10)</f>
        <v>#REF!</v>
      </c>
      <c r="V13" s="581" t="e">
        <f>+'1,1,1 Campamt'!I22</f>
        <v>#REF!</v>
      </c>
      <c r="W13" s="582" t="e">
        <f t="shared" ref="W13:W18" si="8">ROUND(V13*$D13,10)</f>
        <v>#REF!</v>
      </c>
      <c r="X13" s="581">
        <f>+'1,1,1 Campamt'!I53</f>
        <v>827055.46</v>
      </c>
      <c r="Y13" s="582">
        <f t="shared" ref="Y13:Y18" si="9">ROUND(X13*$D13,10)</f>
        <v>0</v>
      </c>
      <c r="Z13" s="581">
        <f>+'1,1,1 Campamt'!I33</f>
        <v>16130.43</v>
      </c>
      <c r="AA13" s="582">
        <f t="shared" ref="AA13:AA18" si="10">ROUND(Z13*$D13,10)</f>
        <v>0</v>
      </c>
      <c r="AB13" s="581">
        <f>+'1,1,1 Campamt'!I44</f>
        <v>0</v>
      </c>
      <c r="AC13" s="582">
        <f t="shared" ref="AC13:AC18" si="11">ROUND(AB13*$D13,10)</f>
        <v>0</v>
      </c>
      <c r="AE13" s="769" t="e">
        <f t="shared" si="0"/>
        <v>#REF!</v>
      </c>
    </row>
    <row r="14" spans="1:31" x14ac:dyDescent="0.2">
      <c r="A14" s="611" t="s">
        <v>563</v>
      </c>
      <c r="B14" s="601" t="s">
        <v>564</v>
      </c>
      <c r="C14" s="611" t="s">
        <v>146</v>
      </c>
      <c r="D14" s="576">
        <f>+I14+K14+M14+O14+Q14+S14</f>
        <v>8</v>
      </c>
      <c r="E14" s="577" t="e">
        <f t="shared" ref="E14:E39" si="12">V14+X14+Z14+AB14</f>
        <v>#REF!</v>
      </c>
      <c r="F14" s="577" t="e">
        <f t="shared" si="1"/>
        <v>#REF!</v>
      </c>
      <c r="G14" s="578"/>
      <c r="H14" s="565"/>
      <c r="I14" s="584"/>
      <c r="J14" s="585" t="e">
        <f t="shared" si="2"/>
        <v>#REF!</v>
      </c>
      <c r="K14" s="537">
        <v>4</v>
      </c>
      <c r="L14" s="445" t="e">
        <f t="shared" si="3"/>
        <v>#REF!</v>
      </c>
      <c r="M14" s="542">
        <v>2</v>
      </c>
      <c r="N14" s="445" t="e">
        <f t="shared" si="4"/>
        <v>#REF!</v>
      </c>
      <c r="O14" s="537">
        <v>1</v>
      </c>
      <c r="P14" s="445" t="e">
        <f t="shared" si="5"/>
        <v>#REF!</v>
      </c>
      <c r="Q14" s="537">
        <v>1</v>
      </c>
      <c r="R14" s="445" t="e">
        <f t="shared" si="6"/>
        <v>#REF!</v>
      </c>
      <c r="S14" s="537"/>
      <c r="T14" s="445" t="e">
        <f t="shared" si="7"/>
        <v>#REF!</v>
      </c>
      <c r="V14" s="581" t="e">
        <f>+#REF!</f>
        <v>#REF!</v>
      </c>
      <c r="W14" s="582" t="e">
        <f t="shared" si="8"/>
        <v>#REF!</v>
      </c>
      <c r="X14" s="581"/>
      <c r="Y14" s="582">
        <f t="shared" si="9"/>
        <v>0</v>
      </c>
      <c r="Z14" s="581"/>
      <c r="AA14" s="582">
        <f t="shared" si="10"/>
        <v>0</v>
      </c>
      <c r="AB14" s="581"/>
      <c r="AC14" s="582">
        <f t="shared" si="11"/>
        <v>0</v>
      </c>
      <c r="AE14" s="769" t="e">
        <f t="shared" si="0"/>
        <v>#REF!</v>
      </c>
    </row>
    <row r="15" spans="1:31" x14ac:dyDescent="0.2">
      <c r="A15" s="611" t="s">
        <v>565</v>
      </c>
      <c r="B15" s="601" t="s">
        <v>566</v>
      </c>
      <c r="C15" s="611" t="s">
        <v>130</v>
      </c>
      <c r="D15" s="576">
        <f>+I15+K15+M15+O15+Q15+S15</f>
        <v>923.25</v>
      </c>
      <c r="E15" s="577" t="e">
        <f t="shared" si="12"/>
        <v>#REF!</v>
      </c>
      <c r="F15" s="577" t="e">
        <f t="shared" si="1"/>
        <v>#REF!</v>
      </c>
      <c r="G15" s="578"/>
      <c r="H15" s="565"/>
      <c r="I15" s="586"/>
      <c r="J15" s="585" t="e">
        <f t="shared" si="2"/>
        <v>#REF!</v>
      </c>
      <c r="K15" s="537">
        <v>363.51</v>
      </c>
      <c r="L15" s="445" t="e">
        <f t="shared" si="3"/>
        <v>#REF!</v>
      </c>
      <c r="M15" s="542"/>
      <c r="N15" s="445" t="e">
        <f t="shared" si="4"/>
        <v>#REF!</v>
      </c>
      <c r="O15" s="537">
        <v>59.76</v>
      </c>
      <c r="P15" s="445" t="e">
        <f t="shared" si="5"/>
        <v>#REF!</v>
      </c>
      <c r="Q15" s="537">
        <v>215.86</v>
      </c>
      <c r="R15" s="445" t="e">
        <f t="shared" si="6"/>
        <v>#REF!</v>
      </c>
      <c r="S15" s="537">
        <v>284.12</v>
      </c>
      <c r="T15" s="445" t="e">
        <f t="shared" si="7"/>
        <v>#REF!</v>
      </c>
      <c r="V15" s="581"/>
      <c r="W15" s="582">
        <f t="shared" si="8"/>
        <v>0</v>
      </c>
      <c r="X15" s="581" t="e">
        <f>+#REF!</f>
        <v>#REF!</v>
      </c>
      <c r="Y15" s="582" t="e">
        <f t="shared" si="9"/>
        <v>#REF!</v>
      </c>
      <c r="Z15" s="581" t="e">
        <f>+#REF!</f>
        <v>#REF!</v>
      </c>
      <c r="AA15" s="582" t="e">
        <f t="shared" si="10"/>
        <v>#REF!</v>
      </c>
      <c r="AB15" s="581" t="e">
        <f>+#REF!</f>
        <v>#REF!</v>
      </c>
      <c r="AC15" s="582" t="e">
        <f t="shared" si="11"/>
        <v>#REF!</v>
      </c>
      <c r="AE15" s="769" t="e">
        <f t="shared" si="0"/>
        <v>#REF!</v>
      </c>
    </row>
    <row r="16" spans="1:31" x14ac:dyDescent="0.2">
      <c r="A16" s="611" t="s">
        <v>567</v>
      </c>
      <c r="B16" s="601" t="s">
        <v>568</v>
      </c>
      <c r="C16" s="611" t="s">
        <v>130</v>
      </c>
      <c r="D16" s="576">
        <f>+I16+K16+M16+O16+Q16+S16</f>
        <v>1656.11</v>
      </c>
      <c r="E16" s="577" t="e">
        <f t="shared" si="12"/>
        <v>#REF!</v>
      </c>
      <c r="F16" s="577" t="e">
        <f t="shared" si="1"/>
        <v>#REF!</v>
      </c>
      <c r="G16" s="578"/>
      <c r="H16" s="565"/>
      <c r="I16" s="584"/>
      <c r="J16" s="585" t="e">
        <f t="shared" si="2"/>
        <v>#REF!</v>
      </c>
      <c r="K16" s="537">
        <v>652.29</v>
      </c>
      <c r="L16" s="445" t="e">
        <f t="shared" si="3"/>
        <v>#REF!</v>
      </c>
      <c r="M16" s="542">
        <v>87.29</v>
      </c>
      <c r="N16" s="445" t="e">
        <f t="shared" si="4"/>
        <v>#REF!</v>
      </c>
      <c r="O16" s="537">
        <v>118.77</v>
      </c>
      <c r="P16" s="445" t="e">
        <f t="shared" si="5"/>
        <v>#REF!</v>
      </c>
      <c r="Q16" s="537">
        <v>336.01</v>
      </c>
      <c r="R16" s="445" t="e">
        <f t="shared" si="6"/>
        <v>#REF!</v>
      </c>
      <c r="S16" s="537">
        <f>284.12+177.63</f>
        <v>461.75</v>
      </c>
      <c r="T16" s="445" t="e">
        <f t="shared" si="7"/>
        <v>#REF!</v>
      </c>
      <c r="V16" s="581" t="e">
        <f>+#REF!</f>
        <v>#REF!</v>
      </c>
      <c r="W16" s="582" t="e">
        <f t="shared" si="8"/>
        <v>#REF!</v>
      </c>
      <c r="X16" s="581" t="e">
        <f>+#REF!</f>
        <v>#REF!</v>
      </c>
      <c r="Y16" s="582" t="e">
        <f t="shared" si="9"/>
        <v>#REF!</v>
      </c>
      <c r="Z16" s="581" t="e">
        <f>+#REF!</f>
        <v>#REF!</v>
      </c>
      <c r="AA16" s="582" t="e">
        <f t="shared" si="10"/>
        <v>#REF!</v>
      </c>
      <c r="AB16" s="581" t="e">
        <f>+#REF!</f>
        <v>#REF!</v>
      </c>
      <c r="AC16" s="582" t="e">
        <f t="shared" si="11"/>
        <v>#REF!</v>
      </c>
      <c r="AE16" s="769" t="e">
        <f t="shared" si="0"/>
        <v>#REF!</v>
      </c>
    </row>
    <row r="17" spans="1:31" ht="25.5" x14ac:dyDescent="0.2">
      <c r="A17" s="611" t="s">
        <v>569</v>
      </c>
      <c r="B17" s="601" t="s">
        <v>570</v>
      </c>
      <c r="C17" s="611" t="s">
        <v>114</v>
      </c>
      <c r="D17" s="576">
        <f>+I17+K17+M17+O17+Q17+S17</f>
        <v>120.36</v>
      </c>
      <c r="E17" s="577" t="e">
        <f t="shared" si="12"/>
        <v>#REF!</v>
      </c>
      <c r="F17" s="577" t="e">
        <f t="shared" si="1"/>
        <v>#REF!</v>
      </c>
      <c r="G17" s="578"/>
      <c r="H17" s="565"/>
      <c r="I17" s="587"/>
      <c r="J17" s="585" t="e">
        <f t="shared" si="2"/>
        <v>#REF!</v>
      </c>
      <c r="K17" s="537">
        <v>27.43</v>
      </c>
      <c r="L17" s="445" t="e">
        <f t="shared" si="3"/>
        <v>#REF!</v>
      </c>
      <c r="M17" s="542"/>
      <c r="N17" s="445" t="e">
        <f t="shared" si="4"/>
        <v>#REF!</v>
      </c>
      <c r="O17" s="542"/>
      <c r="P17" s="445" t="e">
        <f t="shared" si="5"/>
        <v>#REF!</v>
      </c>
      <c r="Q17" s="537">
        <v>15.88</v>
      </c>
      <c r="R17" s="445" t="e">
        <f t="shared" si="6"/>
        <v>#REF!</v>
      </c>
      <c r="S17" s="537">
        <v>77.05</v>
      </c>
      <c r="T17" s="445" t="e">
        <f t="shared" si="7"/>
        <v>#REF!</v>
      </c>
      <c r="U17" s="588"/>
      <c r="V17" s="581" t="e">
        <f>+#REF!</f>
        <v>#REF!</v>
      </c>
      <c r="W17" s="582" t="e">
        <f t="shared" si="8"/>
        <v>#REF!</v>
      </c>
      <c r="X17" s="581" t="e">
        <f>+#REF!</f>
        <v>#REF!</v>
      </c>
      <c r="Y17" s="582" t="e">
        <f t="shared" si="9"/>
        <v>#REF!</v>
      </c>
      <c r="Z17" s="581" t="e">
        <f>+#REF!</f>
        <v>#REF!</v>
      </c>
      <c r="AA17" s="582" t="e">
        <f t="shared" si="10"/>
        <v>#REF!</v>
      </c>
      <c r="AB17" s="581"/>
      <c r="AC17" s="582">
        <f t="shared" si="11"/>
        <v>0</v>
      </c>
      <c r="AE17" s="769" t="e">
        <f t="shared" si="0"/>
        <v>#REF!</v>
      </c>
    </row>
    <row r="18" spans="1:31" ht="12.75" hidden="1" customHeight="1" x14ac:dyDescent="0.2">
      <c r="A18" s="611" t="s">
        <v>571</v>
      </c>
      <c r="B18" s="601" t="s">
        <v>572</v>
      </c>
      <c r="C18" s="611" t="s">
        <v>130</v>
      </c>
      <c r="D18" s="589">
        <f t="shared" ref="D18:D30" si="13">I18+K18+M18+O18+Q18+S18</f>
        <v>0</v>
      </c>
      <c r="E18" s="577" t="e">
        <f t="shared" si="12"/>
        <v>#REF!</v>
      </c>
      <c r="F18" s="577" t="e">
        <f t="shared" si="1"/>
        <v>#REF!</v>
      </c>
      <c r="G18" s="578"/>
      <c r="H18" s="565"/>
      <c r="I18" s="590"/>
      <c r="J18" s="591" t="e">
        <f t="shared" si="2"/>
        <v>#REF!</v>
      </c>
      <c r="K18" s="537"/>
      <c r="L18" s="445" t="e">
        <f t="shared" si="3"/>
        <v>#REF!</v>
      </c>
      <c r="M18" s="542"/>
      <c r="N18" s="445" t="e">
        <f t="shared" si="4"/>
        <v>#REF!</v>
      </c>
      <c r="O18" s="542"/>
      <c r="P18" s="445" t="e">
        <f t="shared" si="5"/>
        <v>#REF!</v>
      </c>
      <c r="Q18" s="542"/>
      <c r="R18" s="445" t="e">
        <f t="shared" si="6"/>
        <v>#REF!</v>
      </c>
      <c r="S18" s="542"/>
      <c r="T18" s="445" t="e">
        <f t="shared" si="7"/>
        <v>#REF!</v>
      </c>
      <c r="U18" s="592"/>
      <c r="V18" s="581" t="e">
        <f>+'1,1,7 Locali Manual'!I19</f>
        <v>#REF!</v>
      </c>
      <c r="W18" s="582" t="e">
        <f t="shared" si="8"/>
        <v>#REF!</v>
      </c>
      <c r="X18" s="581">
        <f>+'1,1,7 Locali Manual'!I50</f>
        <v>1160.45</v>
      </c>
      <c r="Y18" s="582">
        <f t="shared" si="9"/>
        <v>0</v>
      </c>
      <c r="Z18" s="581"/>
      <c r="AA18" s="582">
        <f t="shared" si="10"/>
        <v>0</v>
      </c>
      <c r="AB18" s="581"/>
      <c r="AC18" s="582">
        <f t="shared" si="11"/>
        <v>0</v>
      </c>
      <c r="AE18" s="769" t="e">
        <f t="shared" si="0"/>
        <v>#REF!</v>
      </c>
    </row>
    <row r="19" spans="1:31" s="568" customFormat="1" ht="15.75" hidden="1" customHeight="1" x14ac:dyDescent="0.2">
      <c r="A19" s="572" t="s">
        <v>573</v>
      </c>
      <c r="B19" s="573" t="s">
        <v>574</v>
      </c>
      <c r="C19" s="846"/>
      <c r="D19" s="589"/>
      <c r="E19" s="577"/>
      <c r="F19" s="180" t="e">
        <f>ROUND(SUM(F20:F22),10)</f>
        <v>#REF!</v>
      </c>
      <c r="G19" s="578"/>
      <c r="H19" s="565"/>
      <c r="I19" s="593"/>
      <c r="J19" s="440" t="e">
        <f>ROUND(SUM(J20:J22),10)</f>
        <v>#REF!</v>
      </c>
      <c r="K19" s="536"/>
      <c r="L19" s="180" t="e">
        <f>ROUND(SUM(L20:L22),10)</f>
        <v>#REF!</v>
      </c>
      <c r="M19" s="541"/>
      <c r="N19" s="180" t="e">
        <f>ROUND(SUM(N20:N22),10)</f>
        <v>#REF!</v>
      </c>
      <c r="O19" s="541"/>
      <c r="P19" s="180" t="e">
        <f>ROUND(SUM(P20:P22),10)</f>
        <v>#REF!</v>
      </c>
      <c r="Q19" s="541"/>
      <c r="R19" s="180" t="e">
        <f>ROUND(SUM(R20:R22),10)</f>
        <v>#REF!</v>
      </c>
      <c r="S19" s="541"/>
      <c r="T19" s="180" t="e">
        <f>ROUND(SUM(T20:T22),10)</f>
        <v>#REF!</v>
      </c>
      <c r="V19" s="575"/>
      <c r="W19" s="570" t="e">
        <f>ROUND(SUM(W20:W22),10)</f>
        <v>#REF!</v>
      </c>
      <c r="X19" s="575"/>
      <c r="Y19" s="570" t="e">
        <f>ROUND(SUM(Y20:Y22),10)</f>
        <v>#REF!</v>
      </c>
      <c r="Z19" s="575"/>
      <c r="AA19" s="570" t="e">
        <f>ROUND(SUM(AA20:AA22),10)</f>
        <v>#REF!</v>
      </c>
      <c r="AB19" s="575"/>
      <c r="AC19" s="570" t="e">
        <f>ROUND(SUM(AC20:AC22),10)</f>
        <v>#REF!</v>
      </c>
      <c r="AE19" s="769" t="e">
        <f t="shared" si="0"/>
        <v>#REF!</v>
      </c>
    </row>
    <row r="20" spans="1:31" s="596" customFormat="1" ht="15" hidden="1" customHeight="1" x14ac:dyDescent="0.2">
      <c r="A20" s="611" t="s">
        <v>575</v>
      </c>
      <c r="B20" s="601" t="s">
        <v>576</v>
      </c>
      <c r="C20" s="611" t="s">
        <v>111</v>
      </c>
      <c r="D20" s="589">
        <f t="shared" si="13"/>
        <v>0</v>
      </c>
      <c r="E20" s="577" t="e">
        <f t="shared" si="12"/>
        <v>#REF!</v>
      </c>
      <c r="F20" s="577" t="e">
        <f>ROUND(D20*E20,10)</f>
        <v>#REF!</v>
      </c>
      <c r="G20" s="578"/>
      <c r="H20" s="565"/>
      <c r="I20" s="594"/>
      <c r="J20" s="580" t="e">
        <f>+ROUND(E20*I20,10)</f>
        <v>#REF!</v>
      </c>
      <c r="K20" s="537"/>
      <c r="L20" s="445" t="e">
        <f>+ROUND(E20*K20,10)</f>
        <v>#REF!</v>
      </c>
      <c r="M20" s="542"/>
      <c r="N20" s="445" t="e">
        <f>+ROUND(E20*M20,10)</f>
        <v>#REF!</v>
      </c>
      <c r="O20" s="542"/>
      <c r="P20" s="445" t="e">
        <f>+ROUND(E20*O20,10)</f>
        <v>#REF!</v>
      </c>
      <c r="Q20" s="542"/>
      <c r="R20" s="445" t="e">
        <f>+ROUND(E20*Q20,10)</f>
        <v>#REF!</v>
      </c>
      <c r="S20" s="542"/>
      <c r="T20" s="445" t="e">
        <f>+ROUND(E20*S20,10)</f>
        <v>#REF!</v>
      </c>
      <c r="U20" s="912"/>
      <c r="V20" s="581" t="e">
        <f>+#REF!</f>
        <v>#REF!</v>
      </c>
      <c r="W20" s="582" t="e">
        <f>ROUND(V20*$D20,10)</f>
        <v>#REF!</v>
      </c>
      <c r="X20" s="581" t="e">
        <f>+#REF!</f>
        <v>#REF!</v>
      </c>
      <c r="Y20" s="582" t="e">
        <f>ROUND(X20*$D20,10)</f>
        <v>#REF!</v>
      </c>
      <c r="Z20" s="581" t="e">
        <f>+#REF!</f>
        <v>#REF!</v>
      </c>
      <c r="AA20" s="582" t="e">
        <f>ROUND(Z20*$D20,10)</f>
        <v>#REF!</v>
      </c>
      <c r="AB20" s="581" t="e">
        <f>+#REF!</f>
        <v>#REF!</v>
      </c>
      <c r="AC20" s="582" t="e">
        <f>ROUND(AB20*$D20,10)</f>
        <v>#REF!</v>
      </c>
      <c r="AD20" s="913"/>
      <c r="AE20" s="769" t="e">
        <f t="shared" si="0"/>
        <v>#REF!</v>
      </c>
    </row>
    <row r="21" spans="1:31" s="596" customFormat="1" ht="15" hidden="1" customHeight="1" x14ac:dyDescent="0.2">
      <c r="A21" s="611" t="s">
        <v>577</v>
      </c>
      <c r="B21" s="601" t="s">
        <v>578</v>
      </c>
      <c r="C21" s="611" t="s">
        <v>111</v>
      </c>
      <c r="D21" s="589">
        <f t="shared" si="13"/>
        <v>0</v>
      </c>
      <c r="E21" s="577" t="e">
        <f t="shared" si="12"/>
        <v>#REF!</v>
      </c>
      <c r="F21" s="577" t="e">
        <f>ROUND(D21*E21,10)</f>
        <v>#REF!</v>
      </c>
      <c r="G21" s="578"/>
      <c r="H21" s="565"/>
      <c r="I21" s="584"/>
      <c r="J21" s="585" t="e">
        <f>+ROUND(E21*I21,10)</f>
        <v>#REF!</v>
      </c>
      <c r="K21" s="537"/>
      <c r="L21" s="445" t="e">
        <f>+ROUND(E21*K21,10)</f>
        <v>#REF!</v>
      </c>
      <c r="M21" s="542"/>
      <c r="N21" s="445" t="e">
        <f>+ROUND(E21*M21,10)</f>
        <v>#REF!</v>
      </c>
      <c r="O21" s="542"/>
      <c r="P21" s="445" t="e">
        <f>+ROUND(E21*O21,10)</f>
        <v>#REF!</v>
      </c>
      <c r="Q21" s="542"/>
      <c r="R21" s="445" t="e">
        <f>+ROUND(E21*Q21,10)</f>
        <v>#REF!</v>
      </c>
      <c r="S21" s="542"/>
      <c r="T21" s="445" t="e">
        <f>+ROUND(E21*S21,10)</f>
        <v>#REF!</v>
      </c>
      <c r="U21" s="912"/>
      <c r="V21" s="581" t="e">
        <f>+#REF!</f>
        <v>#REF!</v>
      </c>
      <c r="W21" s="582" t="e">
        <f>ROUND(V21*$D21,10)</f>
        <v>#REF!</v>
      </c>
      <c r="X21" s="581" t="e">
        <f>+#REF!</f>
        <v>#REF!</v>
      </c>
      <c r="Y21" s="582" t="e">
        <f>ROUND(X21*$D21,10)</f>
        <v>#REF!</v>
      </c>
      <c r="Z21" s="581" t="e">
        <f>+#REF!</f>
        <v>#REF!</v>
      </c>
      <c r="AA21" s="582" t="e">
        <f>ROUND(Z21*$D21,10)</f>
        <v>#REF!</v>
      </c>
      <c r="AB21" s="581" t="e">
        <f>+#REF!</f>
        <v>#REF!</v>
      </c>
      <c r="AC21" s="582" t="e">
        <f>ROUND(AB21*$D21,10)</f>
        <v>#REF!</v>
      </c>
      <c r="AD21" s="913"/>
      <c r="AE21" s="769" t="e">
        <f t="shared" si="0"/>
        <v>#REF!</v>
      </c>
    </row>
    <row r="22" spans="1:31" s="596" customFormat="1" ht="15" hidden="1" customHeight="1" x14ac:dyDescent="0.2">
      <c r="A22" s="611" t="s">
        <v>579</v>
      </c>
      <c r="B22" s="601" t="s">
        <v>580</v>
      </c>
      <c r="C22" s="611" t="s">
        <v>111</v>
      </c>
      <c r="D22" s="589">
        <f t="shared" si="13"/>
        <v>0</v>
      </c>
      <c r="E22" s="577">
        <f t="shared" si="12"/>
        <v>0</v>
      </c>
      <c r="F22" s="577">
        <f>ROUND(D22*E22,10)</f>
        <v>0</v>
      </c>
      <c r="G22" s="578"/>
      <c r="H22" s="565"/>
      <c r="I22" s="597"/>
      <c r="J22" s="598">
        <f>+ROUND(E22*I22,10)</f>
        <v>0</v>
      </c>
      <c r="K22" s="732"/>
      <c r="L22" s="445">
        <f>+ROUND(E22*K22,10)</f>
        <v>0</v>
      </c>
      <c r="M22" s="542"/>
      <c r="N22" s="445">
        <f>+ROUND(E22*M22,10)</f>
        <v>0</v>
      </c>
      <c r="O22" s="542"/>
      <c r="P22" s="445">
        <f>+ROUND(E22*O22,10)</f>
        <v>0</v>
      </c>
      <c r="Q22" s="542"/>
      <c r="R22" s="445">
        <f>+ROUND(E22*Q22,10)</f>
        <v>0</v>
      </c>
      <c r="S22" s="542"/>
      <c r="T22" s="445">
        <f>+ROUND(E22*S22,10)</f>
        <v>0</v>
      </c>
      <c r="U22" s="912"/>
      <c r="V22" s="581"/>
      <c r="W22" s="582">
        <f>ROUND(V22*$D22,10)</f>
        <v>0</v>
      </c>
      <c r="X22" s="581"/>
      <c r="Y22" s="582">
        <f>ROUND(X22*$D22,10)</f>
        <v>0</v>
      </c>
      <c r="Z22" s="581"/>
      <c r="AA22" s="582">
        <f>ROUND(Z22*$D22,10)</f>
        <v>0</v>
      </c>
      <c r="AB22" s="581"/>
      <c r="AC22" s="582">
        <f>ROUND(AB22*$D22,10)</f>
        <v>0</v>
      </c>
      <c r="AD22" s="913"/>
      <c r="AE22" s="769">
        <f t="shared" si="0"/>
        <v>0</v>
      </c>
    </row>
    <row r="23" spans="1:31" s="596" customFormat="1" ht="15.75" hidden="1" customHeight="1" x14ac:dyDescent="0.2">
      <c r="A23" s="572" t="s">
        <v>581</v>
      </c>
      <c r="B23" s="573" t="s">
        <v>582</v>
      </c>
      <c r="C23" s="846"/>
      <c r="D23" s="589"/>
      <c r="E23" s="577"/>
      <c r="F23" s="180" t="e">
        <f>ROUND(SUM(F24:F30),10)</f>
        <v>#REF!</v>
      </c>
      <c r="G23" s="578"/>
      <c r="H23" s="565"/>
      <c r="I23" s="599"/>
      <c r="J23" s="440" t="e">
        <f>ROUND(SUM(J24:J30),10)</f>
        <v>#REF!</v>
      </c>
      <c r="K23" s="538"/>
      <c r="L23" s="180" t="e">
        <f>ROUND(SUM(L24:L30),10)</f>
        <v>#REF!</v>
      </c>
      <c r="M23" s="543"/>
      <c r="N23" s="180" t="e">
        <f>ROUND(SUM(N24:N30),10)</f>
        <v>#REF!</v>
      </c>
      <c r="O23" s="543"/>
      <c r="P23" s="180" t="e">
        <f>ROUND(SUM(P24:P30),10)</f>
        <v>#REF!</v>
      </c>
      <c r="Q23" s="543"/>
      <c r="R23" s="180" t="e">
        <f>ROUND(SUM(R24:R30),10)</f>
        <v>#REF!</v>
      </c>
      <c r="S23" s="543"/>
      <c r="T23" s="180" t="e">
        <f>ROUND(SUM(T24:T30),10)</f>
        <v>#REF!</v>
      </c>
      <c r="U23" s="912"/>
      <c r="V23" s="581"/>
      <c r="W23" s="570" t="e">
        <f>ROUND(SUM(W24:W30),10)</f>
        <v>#REF!</v>
      </c>
      <c r="X23" s="581"/>
      <c r="Y23" s="570" t="e">
        <f>ROUND(SUM(Y24:Y30),10)</f>
        <v>#REF!</v>
      </c>
      <c r="Z23" s="581"/>
      <c r="AA23" s="570" t="e">
        <f>ROUND(SUM(AA24:AA30),10)</f>
        <v>#REF!</v>
      </c>
      <c r="AB23" s="581"/>
      <c r="AC23" s="570" t="e">
        <f>ROUND(SUM(AC24:AC30),10)</f>
        <v>#REF!</v>
      </c>
      <c r="AD23" s="913"/>
      <c r="AE23" s="769" t="e">
        <f t="shared" si="0"/>
        <v>#REF!</v>
      </c>
    </row>
    <row r="24" spans="1:31" s="596" customFormat="1" ht="15" hidden="1" customHeight="1" x14ac:dyDescent="0.2">
      <c r="A24" s="611" t="s">
        <v>583</v>
      </c>
      <c r="B24" s="601" t="s">
        <v>584</v>
      </c>
      <c r="C24" s="611" t="s">
        <v>130</v>
      </c>
      <c r="D24" s="589">
        <f t="shared" si="13"/>
        <v>0</v>
      </c>
      <c r="E24" s="577" t="e">
        <f t="shared" si="12"/>
        <v>#REF!</v>
      </c>
      <c r="F24" s="577" t="e">
        <f t="shared" ref="F24:F30" si="14">ROUND(D24*E24,10)</f>
        <v>#REF!</v>
      </c>
      <c r="G24" s="578"/>
      <c r="H24" s="565"/>
      <c r="I24" s="594"/>
      <c r="J24" s="580" t="e">
        <f t="shared" ref="J24:J30" si="15">+ROUND(E24*I24,10)</f>
        <v>#REF!</v>
      </c>
      <c r="K24" s="537"/>
      <c r="L24" s="445" t="e">
        <f t="shared" ref="L24:L30" si="16">+ROUND(E24*K24,10)</f>
        <v>#REF!</v>
      </c>
      <c r="M24" s="542"/>
      <c r="N24" s="445" t="e">
        <f t="shared" ref="N24:N30" si="17">+ROUND(E24*M24,10)</f>
        <v>#REF!</v>
      </c>
      <c r="O24" s="542"/>
      <c r="P24" s="445" t="e">
        <f t="shared" ref="P24:P30" si="18">+ROUND(E24*O24,10)</f>
        <v>#REF!</v>
      </c>
      <c r="Q24" s="542"/>
      <c r="R24" s="445" t="e">
        <f t="shared" ref="R24:R30" si="19">+ROUND(E24*Q24,10)</f>
        <v>#REF!</v>
      </c>
      <c r="S24" s="542"/>
      <c r="T24" s="445" t="e">
        <f t="shared" ref="T24:T30" si="20">+ROUND(E24*S24,10)</f>
        <v>#REF!</v>
      </c>
      <c r="U24" s="912"/>
      <c r="V24" s="581" t="e">
        <f>+#REF!</f>
        <v>#REF!</v>
      </c>
      <c r="W24" s="582" t="e">
        <f t="shared" ref="W24:W30" si="21">ROUND(V24*$D24,10)</f>
        <v>#REF!</v>
      </c>
      <c r="X24" s="581" t="e">
        <f>+#REF!</f>
        <v>#REF!</v>
      </c>
      <c r="Y24" s="582" t="e">
        <f t="shared" ref="Y24:Y30" si="22">ROUND(X24*$D24,10)</f>
        <v>#REF!</v>
      </c>
      <c r="Z24" s="581" t="e">
        <f>+#REF!</f>
        <v>#REF!</v>
      </c>
      <c r="AA24" s="582" t="e">
        <f t="shared" ref="AA24:AA30" si="23">ROUND(Z24*$D24,10)</f>
        <v>#REF!</v>
      </c>
      <c r="AB24" s="581" t="e">
        <f>+#REF!</f>
        <v>#REF!</v>
      </c>
      <c r="AC24" s="582" t="e">
        <f t="shared" ref="AC24:AC30" si="24">ROUND(AB24*$D24,10)</f>
        <v>#REF!</v>
      </c>
      <c r="AD24" s="913"/>
      <c r="AE24" s="769" t="e">
        <f t="shared" si="0"/>
        <v>#REF!</v>
      </c>
    </row>
    <row r="25" spans="1:31" s="596" customFormat="1" ht="15" hidden="1" customHeight="1" x14ac:dyDescent="0.2">
      <c r="A25" s="611" t="s">
        <v>585</v>
      </c>
      <c r="B25" s="601" t="s">
        <v>586</v>
      </c>
      <c r="C25" s="792" t="s">
        <v>130</v>
      </c>
      <c r="D25" s="589">
        <f t="shared" si="13"/>
        <v>0</v>
      </c>
      <c r="E25" s="577" t="e">
        <f t="shared" si="12"/>
        <v>#REF!</v>
      </c>
      <c r="F25" s="577" t="e">
        <f t="shared" si="14"/>
        <v>#REF!</v>
      </c>
      <c r="G25" s="578"/>
      <c r="H25" s="565"/>
      <c r="I25" s="584"/>
      <c r="J25" s="585" t="e">
        <f t="shared" si="15"/>
        <v>#REF!</v>
      </c>
      <c r="K25" s="537"/>
      <c r="L25" s="445" t="e">
        <f t="shared" si="16"/>
        <v>#REF!</v>
      </c>
      <c r="M25" s="542"/>
      <c r="N25" s="445" t="e">
        <f t="shared" si="17"/>
        <v>#REF!</v>
      </c>
      <c r="O25" s="542"/>
      <c r="P25" s="445" t="e">
        <f t="shared" si="18"/>
        <v>#REF!</v>
      </c>
      <c r="Q25" s="542"/>
      <c r="R25" s="445" t="e">
        <f t="shared" si="19"/>
        <v>#REF!</v>
      </c>
      <c r="S25" s="542"/>
      <c r="T25" s="445" t="e">
        <f t="shared" si="20"/>
        <v>#REF!</v>
      </c>
      <c r="U25" s="912"/>
      <c r="V25" s="581" t="e">
        <f>#REF!</f>
        <v>#REF!</v>
      </c>
      <c r="W25" s="582" t="e">
        <f t="shared" si="21"/>
        <v>#REF!</v>
      </c>
      <c r="X25" s="581" t="e">
        <f>#REF!</f>
        <v>#REF!</v>
      </c>
      <c r="Y25" s="582" t="e">
        <f t="shared" si="22"/>
        <v>#REF!</v>
      </c>
      <c r="Z25" s="581" t="e">
        <f>#REF!</f>
        <v>#REF!</v>
      </c>
      <c r="AA25" s="582" t="e">
        <f t="shared" si="23"/>
        <v>#REF!</v>
      </c>
      <c r="AB25" s="581" t="e">
        <f>#REF!</f>
        <v>#REF!</v>
      </c>
      <c r="AC25" s="582" t="e">
        <f t="shared" si="24"/>
        <v>#REF!</v>
      </c>
      <c r="AD25" s="913"/>
      <c r="AE25" s="769" t="e">
        <f t="shared" si="0"/>
        <v>#REF!</v>
      </c>
    </row>
    <row r="26" spans="1:31" s="596" customFormat="1" ht="15" hidden="1" customHeight="1" x14ac:dyDescent="0.2">
      <c r="A26" s="611" t="s">
        <v>587</v>
      </c>
      <c r="B26" s="601" t="s">
        <v>588</v>
      </c>
      <c r="C26" s="792" t="s">
        <v>130</v>
      </c>
      <c r="D26" s="589">
        <f t="shared" si="13"/>
        <v>0</v>
      </c>
      <c r="E26" s="577" t="e">
        <f t="shared" si="12"/>
        <v>#REF!</v>
      </c>
      <c r="F26" s="577" t="e">
        <f t="shared" si="14"/>
        <v>#REF!</v>
      </c>
      <c r="G26" s="578"/>
      <c r="H26" s="565"/>
      <c r="I26" s="584"/>
      <c r="J26" s="585" t="e">
        <f t="shared" si="15"/>
        <v>#REF!</v>
      </c>
      <c r="K26" s="537"/>
      <c r="L26" s="445" t="e">
        <f t="shared" si="16"/>
        <v>#REF!</v>
      </c>
      <c r="M26" s="542"/>
      <c r="N26" s="445" t="e">
        <f t="shared" si="17"/>
        <v>#REF!</v>
      </c>
      <c r="O26" s="542"/>
      <c r="P26" s="445" t="e">
        <f t="shared" si="18"/>
        <v>#REF!</v>
      </c>
      <c r="Q26" s="542"/>
      <c r="R26" s="445" t="e">
        <f t="shared" si="19"/>
        <v>#REF!</v>
      </c>
      <c r="S26" s="542"/>
      <c r="T26" s="445" t="e">
        <f t="shared" si="20"/>
        <v>#REF!</v>
      </c>
      <c r="U26" s="912"/>
      <c r="V26" s="581" t="e">
        <f>+#REF!</f>
        <v>#REF!</v>
      </c>
      <c r="W26" s="582" t="e">
        <f t="shared" si="21"/>
        <v>#REF!</v>
      </c>
      <c r="X26" s="581" t="e">
        <f>+#REF!</f>
        <v>#REF!</v>
      </c>
      <c r="Y26" s="582" t="e">
        <f t="shared" si="22"/>
        <v>#REF!</v>
      </c>
      <c r="Z26" s="581" t="e">
        <f>+#REF!</f>
        <v>#REF!</v>
      </c>
      <c r="AA26" s="582" t="e">
        <f t="shared" si="23"/>
        <v>#REF!</v>
      </c>
      <c r="AB26" s="581" t="e">
        <f>+#REF!</f>
        <v>#REF!</v>
      </c>
      <c r="AC26" s="582" t="e">
        <f t="shared" si="24"/>
        <v>#REF!</v>
      </c>
      <c r="AD26" s="913"/>
      <c r="AE26" s="769" t="e">
        <f t="shared" si="0"/>
        <v>#REF!</v>
      </c>
    </row>
    <row r="27" spans="1:31" s="596" customFormat="1" ht="15" hidden="1" customHeight="1" x14ac:dyDescent="0.2">
      <c r="A27" s="611" t="s">
        <v>589</v>
      </c>
      <c r="B27" s="601" t="s">
        <v>590</v>
      </c>
      <c r="C27" s="792" t="s">
        <v>155</v>
      </c>
      <c r="D27" s="589">
        <f t="shared" si="13"/>
        <v>0</v>
      </c>
      <c r="E27" s="577" t="e">
        <f t="shared" si="12"/>
        <v>#REF!</v>
      </c>
      <c r="F27" s="577" t="e">
        <f t="shared" si="14"/>
        <v>#REF!</v>
      </c>
      <c r="G27" s="578"/>
      <c r="H27" s="565"/>
      <c r="I27" s="584"/>
      <c r="J27" s="585" t="e">
        <f t="shared" si="15"/>
        <v>#REF!</v>
      </c>
      <c r="K27" s="537"/>
      <c r="L27" s="445" t="e">
        <f t="shared" si="16"/>
        <v>#REF!</v>
      </c>
      <c r="M27" s="542"/>
      <c r="N27" s="445" t="e">
        <f t="shared" si="17"/>
        <v>#REF!</v>
      </c>
      <c r="O27" s="542"/>
      <c r="P27" s="445" t="e">
        <f t="shared" si="18"/>
        <v>#REF!</v>
      </c>
      <c r="Q27" s="542"/>
      <c r="R27" s="445" t="e">
        <f t="shared" si="19"/>
        <v>#REF!</v>
      </c>
      <c r="S27" s="542"/>
      <c r="T27" s="445" t="e">
        <f t="shared" si="20"/>
        <v>#REF!</v>
      </c>
      <c r="U27" s="912"/>
      <c r="V27" s="581" t="e">
        <f>+#REF!</f>
        <v>#REF!</v>
      </c>
      <c r="W27" s="582" t="e">
        <f t="shared" si="21"/>
        <v>#REF!</v>
      </c>
      <c r="X27" s="581" t="e">
        <f>+#REF!</f>
        <v>#REF!</v>
      </c>
      <c r="Y27" s="582" t="e">
        <f t="shared" si="22"/>
        <v>#REF!</v>
      </c>
      <c r="Z27" s="581" t="e">
        <f>+#REF!</f>
        <v>#REF!</v>
      </c>
      <c r="AA27" s="582" t="e">
        <f t="shared" si="23"/>
        <v>#REF!</v>
      </c>
      <c r="AB27" s="581" t="e">
        <f>+#REF!</f>
        <v>#REF!</v>
      </c>
      <c r="AC27" s="582" t="e">
        <f t="shared" si="24"/>
        <v>#REF!</v>
      </c>
      <c r="AD27" s="913"/>
      <c r="AE27" s="769" t="e">
        <f t="shared" si="0"/>
        <v>#REF!</v>
      </c>
    </row>
    <row r="28" spans="1:31" s="596" customFormat="1" ht="15" hidden="1" customHeight="1" x14ac:dyDescent="0.2">
      <c r="A28" s="611" t="s">
        <v>591</v>
      </c>
      <c r="B28" s="601" t="s">
        <v>592</v>
      </c>
      <c r="C28" s="792" t="s">
        <v>155</v>
      </c>
      <c r="D28" s="589">
        <f t="shared" si="13"/>
        <v>0</v>
      </c>
      <c r="E28" s="577" t="e">
        <f t="shared" si="12"/>
        <v>#REF!</v>
      </c>
      <c r="F28" s="577" t="e">
        <f t="shared" si="14"/>
        <v>#REF!</v>
      </c>
      <c r="G28" s="578"/>
      <c r="H28" s="565"/>
      <c r="I28" s="584"/>
      <c r="J28" s="585" t="e">
        <f t="shared" si="15"/>
        <v>#REF!</v>
      </c>
      <c r="K28" s="537"/>
      <c r="L28" s="445" t="e">
        <f t="shared" si="16"/>
        <v>#REF!</v>
      </c>
      <c r="M28" s="542"/>
      <c r="N28" s="445" t="e">
        <f t="shared" si="17"/>
        <v>#REF!</v>
      </c>
      <c r="O28" s="542"/>
      <c r="P28" s="445" t="e">
        <f t="shared" si="18"/>
        <v>#REF!</v>
      </c>
      <c r="Q28" s="542"/>
      <c r="R28" s="445" t="e">
        <f t="shared" si="19"/>
        <v>#REF!</v>
      </c>
      <c r="S28" s="542"/>
      <c r="T28" s="445" t="e">
        <f t="shared" si="20"/>
        <v>#REF!</v>
      </c>
      <c r="U28" s="912"/>
      <c r="V28" s="581" t="e">
        <f>+#REF!</f>
        <v>#REF!</v>
      </c>
      <c r="W28" s="582" t="e">
        <f t="shared" si="21"/>
        <v>#REF!</v>
      </c>
      <c r="X28" s="581" t="e">
        <f>+#REF!</f>
        <v>#REF!</v>
      </c>
      <c r="Y28" s="582" t="e">
        <f t="shared" si="22"/>
        <v>#REF!</v>
      </c>
      <c r="Z28" s="581" t="e">
        <f>+#REF!</f>
        <v>#REF!</v>
      </c>
      <c r="AA28" s="582" t="e">
        <f t="shared" si="23"/>
        <v>#REF!</v>
      </c>
      <c r="AB28" s="581" t="e">
        <f>+#REF!</f>
        <v>#REF!</v>
      </c>
      <c r="AC28" s="582" t="e">
        <f t="shared" si="24"/>
        <v>#REF!</v>
      </c>
      <c r="AD28" s="913"/>
      <c r="AE28" s="769" t="e">
        <f t="shared" si="0"/>
        <v>#REF!</v>
      </c>
    </row>
    <row r="29" spans="1:31" s="596" customFormat="1" ht="15" hidden="1" customHeight="1" x14ac:dyDescent="0.2">
      <c r="A29" s="611" t="s">
        <v>593</v>
      </c>
      <c r="B29" s="601" t="s">
        <v>594</v>
      </c>
      <c r="C29" s="611" t="s">
        <v>130</v>
      </c>
      <c r="D29" s="589">
        <f t="shared" si="13"/>
        <v>0</v>
      </c>
      <c r="E29" s="577" t="e">
        <f t="shared" si="12"/>
        <v>#REF!</v>
      </c>
      <c r="F29" s="577" t="e">
        <f t="shared" si="14"/>
        <v>#REF!</v>
      </c>
      <c r="G29" s="578"/>
      <c r="H29" s="565"/>
      <c r="I29" s="584"/>
      <c r="J29" s="585" t="e">
        <f t="shared" si="15"/>
        <v>#REF!</v>
      </c>
      <c r="K29" s="537"/>
      <c r="L29" s="445" t="e">
        <f t="shared" si="16"/>
        <v>#REF!</v>
      </c>
      <c r="M29" s="542"/>
      <c r="N29" s="445" t="e">
        <f t="shared" si="17"/>
        <v>#REF!</v>
      </c>
      <c r="O29" s="542"/>
      <c r="P29" s="445" t="e">
        <f t="shared" si="18"/>
        <v>#REF!</v>
      </c>
      <c r="Q29" s="542"/>
      <c r="R29" s="445" t="e">
        <f t="shared" si="19"/>
        <v>#REF!</v>
      </c>
      <c r="S29" s="542"/>
      <c r="T29" s="445" t="e">
        <f t="shared" si="20"/>
        <v>#REF!</v>
      </c>
      <c r="U29" s="912"/>
      <c r="V29" s="581" t="e">
        <f>+#REF!</f>
        <v>#REF!</v>
      </c>
      <c r="W29" s="582" t="e">
        <f t="shared" si="21"/>
        <v>#REF!</v>
      </c>
      <c r="X29" s="581" t="e">
        <f>+#REF!</f>
        <v>#REF!</v>
      </c>
      <c r="Y29" s="582" t="e">
        <f t="shared" si="22"/>
        <v>#REF!</v>
      </c>
      <c r="Z29" s="581" t="e">
        <f>+#REF!</f>
        <v>#REF!</v>
      </c>
      <c r="AA29" s="582" t="e">
        <f t="shared" si="23"/>
        <v>#REF!</v>
      </c>
      <c r="AB29" s="581" t="e">
        <f>+#REF!</f>
        <v>#REF!</v>
      </c>
      <c r="AC29" s="582" t="e">
        <f t="shared" si="24"/>
        <v>#REF!</v>
      </c>
      <c r="AD29" s="913"/>
      <c r="AE29" s="769" t="e">
        <f t="shared" si="0"/>
        <v>#REF!</v>
      </c>
    </row>
    <row r="30" spans="1:31" s="596" customFormat="1" ht="15" hidden="1" customHeight="1" x14ac:dyDescent="0.2">
      <c r="A30" s="611" t="s">
        <v>595</v>
      </c>
      <c r="B30" s="601" t="s">
        <v>596</v>
      </c>
      <c r="C30" s="611" t="s">
        <v>130</v>
      </c>
      <c r="D30" s="589">
        <f t="shared" si="13"/>
        <v>0</v>
      </c>
      <c r="E30" s="577" t="e">
        <f t="shared" si="12"/>
        <v>#REF!</v>
      </c>
      <c r="F30" s="577" t="e">
        <f t="shared" si="14"/>
        <v>#REF!</v>
      </c>
      <c r="G30" s="578"/>
      <c r="H30" s="565"/>
      <c r="I30" s="597"/>
      <c r="J30" s="598" t="e">
        <f t="shared" si="15"/>
        <v>#REF!</v>
      </c>
      <c r="K30" s="537"/>
      <c r="L30" s="445" t="e">
        <f t="shared" si="16"/>
        <v>#REF!</v>
      </c>
      <c r="M30" s="542"/>
      <c r="N30" s="445" t="e">
        <f t="shared" si="17"/>
        <v>#REF!</v>
      </c>
      <c r="O30" s="542"/>
      <c r="P30" s="445" t="e">
        <f t="shared" si="18"/>
        <v>#REF!</v>
      </c>
      <c r="Q30" s="542"/>
      <c r="R30" s="445" t="e">
        <f t="shared" si="19"/>
        <v>#REF!</v>
      </c>
      <c r="S30" s="542"/>
      <c r="T30" s="445" t="e">
        <f t="shared" si="20"/>
        <v>#REF!</v>
      </c>
      <c r="U30" s="912"/>
      <c r="V30" s="581" t="e">
        <f>+#REF!</f>
        <v>#REF!</v>
      </c>
      <c r="W30" s="582" t="e">
        <f t="shared" si="21"/>
        <v>#REF!</v>
      </c>
      <c r="X30" s="581" t="e">
        <f>+#REF!</f>
        <v>#REF!</v>
      </c>
      <c r="Y30" s="582" t="e">
        <f t="shared" si="22"/>
        <v>#REF!</v>
      </c>
      <c r="Z30" s="581" t="e">
        <f>+#REF!</f>
        <v>#REF!</v>
      </c>
      <c r="AA30" s="582" t="e">
        <f t="shared" si="23"/>
        <v>#REF!</v>
      </c>
      <c r="AB30" s="581" t="e">
        <f>+#REF!</f>
        <v>#REF!</v>
      </c>
      <c r="AC30" s="582" t="e">
        <f t="shared" si="24"/>
        <v>#REF!</v>
      </c>
      <c r="AD30" s="913"/>
      <c r="AE30" s="769" t="e">
        <f t="shared" si="0"/>
        <v>#REF!</v>
      </c>
    </row>
    <row r="31" spans="1:31" s="596" customFormat="1" ht="15.75" hidden="1" customHeight="1" x14ac:dyDescent="0.2">
      <c r="A31" s="572" t="s">
        <v>597</v>
      </c>
      <c r="B31" s="573" t="s">
        <v>598</v>
      </c>
      <c r="C31" s="846"/>
      <c r="D31" s="589"/>
      <c r="E31" s="577"/>
      <c r="F31" s="180">
        <f>ROUND(SUM(F32:F40),10)</f>
        <v>0</v>
      </c>
      <c r="G31" s="578"/>
      <c r="H31" s="565"/>
      <c r="I31" s="599"/>
      <c r="J31" s="440">
        <f>ROUND(SUM(J32:J40),10)</f>
        <v>0</v>
      </c>
      <c r="K31" s="538"/>
      <c r="L31" s="180">
        <f>ROUND(SUM(L32:L40),10)</f>
        <v>0</v>
      </c>
      <c r="M31" s="543"/>
      <c r="N31" s="180">
        <f>ROUND(SUM(N32:N40),10)</f>
        <v>0</v>
      </c>
      <c r="O31" s="543"/>
      <c r="P31" s="180">
        <f>ROUND(SUM(P32:P40),10)</f>
        <v>0</v>
      </c>
      <c r="Q31" s="543"/>
      <c r="R31" s="180">
        <f>ROUND(SUM(R32:R40),10)</f>
        <v>0</v>
      </c>
      <c r="S31" s="543"/>
      <c r="T31" s="180">
        <f>ROUND(SUM(T32:T40),10)</f>
        <v>0</v>
      </c>
      <c r="U31" s="912"/>
      <c r="V31" s="581"/>
      <c r="W31" s="570">
        <f>ROUND(SUM(W32:W40),10)</f>
        <v>0</v>
      </c>
      <c r="X31" s="581"/>
      <c r="Y31" s="570">
        <f>ROUND(SUM(Y32:Y40),10)</f>
        <v>0</v>
      </c>
      <c r="Z31" s="581"/>
      <c r="AA31" s="570">
        <f>ROUND(SUM(AA32:AA40),10)</f>
        <v>0</v>
      </c>
      <c r="AB31" s="581"/>
      <c r="AC31" s="570">
        <f>ROUND(SUM(AC32:AC40),10)</f>
        <v>0</v>
      </c>
      <c r="AD31" s="913"/>
      <c r="AE31" s="769">
        <f t="shared" si="0"/>
        <v>0</v>
      </c>
    </row>
    <row r="32" spans="1:31" s="596" customFormat="1" ht="15" hidden="1" customHeight="1" x14ac:dyDescent="0.2">
      <c r="A32" s="611" t="s">
        <v>599</v>
      </c>
      <c r="B32" s="601" t="s">
        <v>600</v>
      </c>
      <c r="C32" s="611" t="s">
        <v>111</v>
      </c>
      <c r="D32" s="576">
        <f t="shared" ref="D32:D39" si="25">+I32+K32+M32+O32+Q32+S32</f>
        <v>0</v>
      </c>
      <c r="E32" s="577">
        <f t="shared" si="12"/>
        <v>0</v>
      </c>
      <c r="F32" s="577">
        <f t="shared" ref="F32:F40" si="26">ROUND(D32*E32,10)</f>
        <v>0</v>
      </c>
      <c r="G32" s="578"/>
      <c r="H32" s="565"/>
      <c r="I32" s="594"/>
      <c r="J32" s="580">
        <f t="shared" ref="J32:J38" si="27">+ROUND(E32*I32,10)</f>
        <v>0</v>
      </c>
      <c r="K32" s="537"/>
      <c r="L32" s="445">
        <f t="shared" ref="L32:L40" si="28">+ROUND(E32*K32,10)</f>
        <v>0</v>
      </c>
      <c r="M32" s="542"/>
      <c r="N32" s="445">
        <f t="shared" ref="N32:N40" si="29">+ROUND(E32*M32,10)</f>
        <v>0</v>
      </c>
      <c r="O32" s="542"/>
      <c r="P32" s="445">
        <f t="shared" ref="P32:P40" si="30">+ROUND(E32*O32,10)</f>
        <v>0</v>
      </c>
      <c r="Q32" s="542"/>
      <c r="R32" s="445">
        <f t="shared" ref="R32:R40" si="31">+ROUND(E32*Q32,10)</f>
        <v>0</v>
      </c>
      <c r="S32" s="542"/>
      <c r="T32" s="445">
        <f t="shared" ref="T32:T40" si="32">+ROUND(E32*S32,10)</f>
        <v>0</v>
      </c>
      <c r="U32" s="912"/>
      <c r="V32" s="581"/>
      <c r="W32" s="582">
        <f t="shared" ref="W32:W40" si="33">ROUND(V32*$D32,10)</f>
        <v>0</v>
      </c>
      <c r="X32" s="581"/>
      <c r="Y32" s="582">
        <f t="shared" ref="Y32:Y40" si="34">ROUND(X32*$D32,10)</f>
        <v>0</v>
      </c>
      <c r="Z32" s="581"/>
      <c r="AA32" s="582">
        <f t="shared" ref="AA32:AA40" si="35">ROUND(Z32*$D32,10)</f>
        <v>0</v>
      </c>
      <c r="AB32" s="581"/>
      <c r="AC32" s="582">
        <f t="shared" ref="AC32:AC40" si="36">ROUND(AB32*$D32,10)</f>
        <v>0</v>
      </c>
      <c r="AD32" s="913"/>
      <c r="AE32" s="769">
        <f t="shared" si="0"/>
        <v>0</v>
      </c>
    </row>
    <row r="33" spans="1:31" s="596" customFormat="1" ht="15" hidden="1" customHeight="1" x14ac:dyDescent="0.2">
      <c r="A33" s="611" t="s">
        <v>601</v>
      </c>
      <c r="B33" s="601" t="s">
        <v>602</v>
      </c>
      <c r="C33" s="611" t="s">
        <v>111</v>
      </c>
      <c r="D33" s="576">
        <f t="shared" si="25"/>
        <v>0</v>
      </c>
      <c r="E33" s="577">
        <f t="shared" si="12"/>
        <v>2617123</v>
      </c>
      <c r="F33" s="577">
        <f t="shared" si="26"/>
        <v>0</v>
      </c>
      <c r="G33" s="578"/>
      <c r="H33" s="565"/>
      <c r="I33" s="584"/>
      <c r="J33" s="585">
        <f t="shared" si="27"/>
        <v>0</v>
      </c>
      <c r="K33" s="537"/>
      <c r="L33" s="445">
        <f t="shared" si="28"/>
        <v>0</v>
      </c>
      <c r="M33" s="542"/>
      <c r="N33" s="445">
        <f t="shared" si="29"/>
        <v>0</v>
      </c>
      <c r="O33" s="542"/>
      <c r="P33" s="445">
        <f t="shared" si="30"/>
        <v>0</v>
      </c>
      <c r="Q33" s="542"/>
      <c r="R33" s="445">
        <f t="shared" si="31"/>
        <v>0</v>
      </c>
      <c r="S33" s="542"/>
      <c r="T33" s="445">
        <f t="shared" si="32"/>
        <v>0</v>
      </c>
      <c r="U33" s="912"/>
      <c r="V33" s="581"/>
      <c r="W33" s="582">
        <f t="shared" si="33"/>
        <v>0</v>
      </c>
      <c r="X33" s="581">
        <f>+'1,4,2 Traslado postes'!I50</f>
        <v>2617123</v>
      </c>
      <c r="Y33" s="582">
        <f t="shared" si="34"/>
        <v>0</v>
      </c>
      <c r="Z33" s="581"/>
      <c r="AA33" s="582">
        <f t="shared" si="35"/>
        <v>0</v>
      </c>
      <c r="AB33" s="581"/>
      <c r="AC33" s="582">
        <f t="shared" si="36"/>
        <v>0</v>
      </c>
      <c r="AD33" s="913"/>
      <c r="AE33" s="769">
        <f t="shared" si="0"/>
        <v>0</v>
      </c>
    </row>
    <row r="34" spans="1:31" s="596" customFormat="1" ht="15" hidden="1" customHeight="1" x14ac:dyDescent="0.2">
      <c r="A34" s="611" t="s">
        <v>603</v>
      </c>
      <c r="B34" s="601" t="s">
        <v>604</v>
      </c>
      <c r="C34" s="611" t="s">
        <v>111</v>
      </c>
      <c r="D34" s="576">
        <f t="shared" si="25"/>
        <v>0</v>
      </c>
      <c r="E34" s="577">
        <f t="shared" si="12"/>
        <v>45597.773333333331</v>
      </c>
      <c r="F34" s="577">
        <f t="shared" si="26"/>
        <v>0</v>
      </c>
      <c r="G34" s="578"/>
      <c r="H34" s="565"/>
      <c r="I34" s="584"/>
      <c r="J34" s="585">
        <f t="shared" si="27"/>
        <v>0</v>
      </c>
      <c r="K34" s="537"/>
      <c r="L34" s="445">
        <f t="shared" si="28"/>
        <v>0</v>
      </c>
      <c r="M34" s="542"/>
      <c r="N34" s="445">
        <f t="shared" si="29"/>
        <v>0</v>
      </c>
      <c r="O34" s="542"/>
      <c r="P34" s="445">
        <f t="shared" si="30"/>
        <v>0</v>
      </c>
      <c r="Q34" s="542"/>
      <c r="R34" s="445">
        <f t="shared" si="31"/>
        <v>0</v>
      </c>
      <c r="S34" s="542"/>
      <c r="T34" s="445">
        <f t="shared" si="32"/>
        <v>0</v>
      </c>
      <c r="U34" s="912"/>
      <c r="V34" s="581"/>
      <c r="W34" s="582">
        <f t="shared" si="33"/>
        <v>0</v>
      </c>
      <c r="X34" s="581">
        <f>+'1,4,3 Arb 5'!I50</f>
        <v>22552.54</v>
      </c>
      <c r="Y34" s="582">
        <f t="shared" si="34"/>
        <v>0</v>
      </c>
      <c r="Z34" s="581">
        <f>+'1,4,3 Arb 5'!I30</f>
        <v>1711.9</v>
      </c>
      <c r="AA34" s="582">
        <f t="shared" si="35"/>
        <v>0</v>
      </c>
      <c r="AB34" s="581">
        <f>+'1,4,3 Arb 5'!I41</f>
        <v>21333.333333333332</v>
      </c>
      <c r="AC34" s="582">
        <f t="shared" si="36"/>
        <v>0</v>
      </c>
      <c r="AD34" s="913"/>
      <c r="AE34" s="769">
        <f t="shared" si="0"/>
        <v>0</v>
      </c>
    </row>
    <row r="35" spans="1:31" s="596" customFormat="1" ht="17.25" hidden="1" customHeight="1" x14ac:dyDescent="0.2">
      <c r="A35" s="611" t="s">
        <v>605</v>
      </c>
      <c r="B35" s="601" t="s">
        <v>606</v>
      </c>
      <c r="C35" s="611" t="s">
        <v>111</v>
      </c>
      <c r="D35" s="576">
        <f t="shared" si="25"/>
        <v>0</v>
      </c>
      <c r="E35" s="577">
        <f t="shared" si="12"/>
        <v>77377.766666666663</v>
      </c>
      <c r="F35" s="577">
        <f t="shared" si="26"/>
        <v>0</v>
      </c>
      <c r="G35" s="578"/>
      <c r="H35" s="565"/>
      <c r="I35" s="584"/>
      <c r="J35" s="585">
        <f t="shared" si="27"/>
        <v>0</v>
      </c>
      <c r="K35" s="537"/>
      <c r="L35" s="445">
        <f t="shared" si="28"/>
        <v>0</v>
      </c>
      <c r="M35" s="542"/>
      <c r="N35" s="445">
        <f t="shared" si="29"/>
        <v>0</v>
      </c>
      <c r="O35" s="542"/>
      <c r="P35" s="445">
        <f t="shared" si="30"/>
        <v>0</v>
      </c>
      <c r="Q35" s="542"/>
      <c r="R35" s="445">
        <f t="shared" si="31"/>
        <v>0</v>
      </c>
      <c r="S35" s="542"/>
      <c r="T35" s="445">
        <f t="shared" si="32"/>
        <v>0</v>
      </c>
      <c r="U35" s="912"/>
      <c r="V35" s="581"/>
      <c r="W35" s="582">
        <f t="shared" si="33"/>
        <v>0</v>
      </c>
      <c r="X35" s="581">
        <f>+'1,4,4 Arb 10'!I50</f>
        <v>32575.89</v>
      </c>
      <c r="Y35" s="582">
        <f t="shared" si="34"/>
        <v>0</v>
      </c>
      <c r="Z35" s="581">
        <f>+'1,4,4 Arb 10'!I30</f>
        <v>2135.21</v>
      </c>
      <c r="AA35" s="582">
        <f t="shared" si="35"/>
        <v>0</v>
      </c>
      <c r="AB35" s="581">
        <f>+'1,4,4 Arb 10'!I41</f>
        <v>42666.666666666664</v>
      </c>
      <c r="AC35" s="582">
        <f t="shared" si="36"/>
        <v>0</v>
      </c>
      <c r="AD35" s="913"/>
      <c r="AE35" s="769">
        <f t="shared" si="0"/>
        <v>0</v>
      </c>
    </row>
    <row r="36" spans="1:31" s="596" customFormat="1" ht="15" hidden="1" customHeight="1" x14ac:dyDescent="0.2">
      <c r="A36" s="611" t="s">
        <v>607</v>
      </c>
      <c r="B36" s="601" t="s">
        <v>608</v>
      </c>
      <c r="C36" s="611" t="s">
        <v>111</v>
      </c>
      <c r="D36" s="576">
        <f t="shared" si="25"/>
        <v>0</v>
      </c>
      <c r="E36" s="577">
        <f t="shared" si="12"/>
        <v>148655.14333333331</v>
      </c>
      <c r="F36" s="577">
        <f t="shared" si="26"/>
        <v>0</v>
      </c>
      <c r="G36" s="578"/>
      <c r="H36" s="565"/>
      <c r="I36" s="584"/>
      <c r="J36" s="585">
        <f t="shared" si="27"/>
        <v>0</v>
      </c>
      <c r="K36" s="537"/>
      <c r="L36" s="445">
        <f t="shared" si="28"/>
        <v>0</v>
      </c>
      <c r="M36" s="542"/>
      <c r="N36" s="445">
        <f t="shared" si="29"/>
        <v>0</v>
      </c>
      <c r="O36" s="542"/>
      <c r="P36" s="445">
        <f t="shared" si="30"/>
        <v>0</v>
      </c>
      <c r="Q36" s="542"/>
      <c r="R36" s="445">
        <f t="shared" si="31"/>
        <v>0</v>
      </c>
      <c r="S36" s="542"/>
      <c r="T36" s="445">
        <f t="shared" si="32"/>
        <v>0</v>
      </c>
      <c r="U36" s="912"/>
      <c r="V36" s="581"/>
      <c r="W36" s="582">
        <f t="shared" si="33"/>
        <v>0</v>
      </c>
      <c r="X36" s="581">
        <f>+'1,4,5 Arb 15'!I50</f>
        <v>58636.61</v>
      </c>
      <c r="Y36" s="582">
        <f t="shared" si="34"/>
        <v>0</v>
      </c>
      <c r="Z36" s="581">
        <f>+'1,4,5 Arb 15'!I30</f>
        <v>4685.2</v>
      </c>
      <c r="AA36" s="582">
        <f t="shared" si="35"/>
        <v>0</v>
      </c>
      <c r="AB36" s="581">
        <f>+'1,4,5 Arb 15'!I41</f>
        <v>85333.333333333328</v>
      </c>
      <c r="AC36" s="582">
        <f t="shared" si="36"/>
        <v>0</v>
      </c>
      <c r="AD36" s="913"/>
      <c r="AE36" s="769">
        <f t="shared" si="0"/>
        <v>0</v>
      </c>
    </row>
    <row r="37" spans="1:31" s="596" customFormat="1" ht="15" hidden="1" customHeight="1" x14ac:dyDescent="0.2">
      <c r="A37" s="611" t="s">
        <v>609</v>
      </c>
      <c r="B37" s="601" t="s">
        <v>610</v>
      </c>
      <c r="C37" s="611" t="s">
        <v>111</v>
      </c>
      <c r="D37" s="576">
        <f t="shared" si="25"/>
        <v>0</v>
      </c>
      <c r="E37" s="577">
        <f t="shared" si="12"/>
        <v>283432.12666666665</v>
      </c>
      <c r="F37" s="577">
        <f t="shared" si="26"/>
        <v>0</v>
      </c>
      <c r="G37" s="578"/>
      <c r="H37" s="565"/>
      <c r="I37" s="584"/>
      <c r="J37" s="585">
        <f t="shared" si="27"/>
        <v>0</v>
      </c>
      <c r="K37" s="537"/>
      <c r="L37" s="445">
        <f t="shared" si="28"/>
        <v>0</v>
      </c>
      <c r="M37" s="542"/>
      <c r="N37" s="445">
        <f t="shared" si="29"/>
        <v>0</v>
      </c>
      <c r="O37" s="542"/>
      <c r="P37" s="445">
        <f t="shared" si="30"/>
        <v>0</v>
      </c>
      <c r="Q37" s="542"/>
      <c r="R37" s="445">
        <f t="shared" si="31"/>
        <v>0</v>
      </c>
      <c r="S37" s="542"/>
      <c r="T37" s="445">
        <f t="shared" si="32"/>
        <v>0</v>
      </c>
      <c r="U37" s="912"/>
      <c r="V37" s="581"/>
      <c r="W37" s="582">
        <f t="shared" si="33"/>
        <v>0</v>
      </c>
      <c r="X37" s="581">
        <f>+'1,4,6 Arb 20'!I50</f>
        <v>162879.46</v>
      </c>
      <c r="Y37" s="582">
        <f t="shared" si="34"/>
        <v>0</v>
      </c>
      <c r="Z37" s="581">
        <f>+'1,4,6 Arb 20'!I30</f>
        <v>13886</v>
      </c>
      <c r="AA37" s="582">
        <f t="shared" si="35"/>
        <v>0</v>
      </c>
      <c r="AB37" s="581">
        <f>+'1,4,6 Arb 20'!I41</f>
        <v>106666.66666666666</v>
      </c>
      <c r="AC37" s="582">
        <f t="shared" si="36"/>
        <v>0</v>
      </c>
      <c r="AD37" s="913"/>
      <c r="AE37" s="769">
        <f t="shared" si="0"/>
        <v>0</v>
      </c>
    </row>
    <row r="38" spans="1:31" s="596" customFormat="1" ht="15.75" hidden="1" customHeight="1" thickBot="1" x14ac:dyDescent="0.25">
      <c r="A38" s="611" t="s">
        <v>611</v>
      </c>
      <c r="B38" s="601" t="s">
        <v>612</v>
      </c>
      <c r="C38" s="611" t="s">
        <v>111</v>
      </c>
      <c r="D38" s="576">
        <f t="shared" si="25"/>
        <v>0</v>
      </c>
      <c r="E38" s="577">
        <f t="shared" si="12"/>
        <v>0</v>
      </c>
      <c r="F38" s="577">
        <f t="shared" si="26"/>
        <v>0</v>
      </c>
      <c r="G38" s="578"/>
      <c r="H38" s="565"/>
      <c r="I38" s="602"/>
      <c r="J38" s="603">
        <f t="shared" si="27"/>
        <v>0</v>
      </c>
      <c r="K38" s="537"/>
      <c r="L38" s="445">
        <f t="shared" si="28"/>
        <v>0</v>
      </c>
      <c r="M38" s="542"/>
      <c r="N38" s="445">
        <f t="shared" si="29"/>
        <v>0</v>
      </c>
      <c r="O38" s="542"/>
      <c r="P38" s="445">
        <f t="shared" si="30"/>
        <v>0</v>
      </c>
      <c r="Q38" s="542"/>
      <c r="R38" s="445">
        <f t="shared" si="31"/>
        <v>0</v>
      </c>
      <c r="S38" s="542"/>
      <c r="T38" s="445">
        <f t="shared" si="32"/>
        <v>0</v>
      </c>
      <c r="U38" s="912"/>
      <c r="V38" s="581"/>
      <c r="W38" s="582">
        <f t="shared" si="33"/>
        <v>0</v>
      </c>
      <c r="X38" s="581">
        <f>+'1,4,7 Arb +20'!I50</f>
        <v>0</v>
      </c>
      <c r="Y38" s="582">
        <f t="shared" si="34"/>
        <v>0</v>
      </c>
      <c r="Z38" s="581">
        <f>+'1,4,7 Arb +20'!I30</f>
        <v>0</v>
      </c>
      <c r="AA38" s="582">
        <f t="shared" si="35"/>
        <v>0</v>
      </c>
      <c r="AB38" s="581">
        <f>+'1,4,7 Arb +20'!I41</f>
        <v>0</v>
      </c>
      <c r="AC38" s="582">
        <f t="shared" si="36"/>
        <v>0</v>
      </c>
      <c r="AD38" s="913"/>
      <c r="AE38" s="769">
        <f t="shared" si="0"/>
        <v>0</v>
      </c>
    </row>
    <row r="39" spans="1:31" s="596" customFormat="1" ht="15" hidden="1" customHeight="1" x14ac:dyDescent="0.2">
      <c r="A39" s="611" t="s">
        <v>613</v>
      </c>
      <c r="B39" s="601" t="s">
        <v>614</v>
      </c>
      <c r="C39" s="611" t="s">
        <v>111</v>
      </c>
      <c r="D39" s="576">
        <f t="shared" si="25"/>
        <v>0</v>
      </c>
      <c r="E39" s="577">
        <f t="shared" si="12"/>
        <v>1226452.04</v>
      </c>
      <c r="F39" s="577">
        <f t="shared" si="26"/>
        <v>0</v>
      </c>
      <c r="G39" s="578"/>
      <c r="H39" s="565"/>
      <c r="I39" s="597"/>
      <c r="J39" s="598"/>
      <c r="K39" s="537"/>
      <c r="L39" s="445">
        <f t="shared" si="28"/>
        <v>0</v>
      </c>
      <c r="M39" s="542"/>
      <c r="N39" s="445">
        <f t="shared" si="29"/>
        <v>0</v>
      </c>
      <c r="O39" s="542"/>
      <c r="P39" s="445">
        <f t="shared" si="30"/>
        <v>0</v>
      </c>
      <c r="Q39" s="542"/>
      <c r="R39" s="445">
        <f t="shared" si="31"/>
        <v>0</v>
      </c>
      <c r="S39" s="542"/>
      <c r="T39" s="445">
        <f t="shared" si="32"/>
        <v>0</v>
      </c>
      <c r="U39" s="912"/>
      <c r="V39" s="581"/>
      <c r="W39" s="582">
        <f t="shared" si="33"/>
        <v>0</v>
      </c>
      <c r="X39" s="581">
        <f>+'1,4,8 Traslado Arb'!I50</f>
        <v>209416.45</v>
      </c>
      <c r="Y39" s="582">
        <f t="shared" si="34"/>
        <v>0</v>
      </c>
      <c r="Z39" s="581">
        <f>+'1,4,8 Traslado Arb'!I30</f>
        <v>889035.59</v>
      </c>
      <c r="AA39" s="582">
        <f t="shared" si="35"/>
        <v>0</v>
      </c>
      <c r="AB39" s="581">
        <f>+'1,4,8 Traslado Arb'!I41</f>
        <v>128000</v>
      </c>
      <c r="AC39" s="582">
        <f t="shared" si="36"/>
        <v>0</v>
      </c>
      <c r="AD39" s="913"/>
      <c r="AE39" s="769">
        <f t="shared" si="0"/>
        <v>0</v>
      </c>
    </row>
    <row r="40" spans="1:31" s="596" customFormat="1" ht="15.75" hidden="1" customHeight="1" thickBot="1" x14ac:dyDescent="0.25">
      <c r="A40" s="611"/>
      <c r="B40" s="601"/>
      <c r="C40" s="611"/>
      <c r="D40" s="576"/>
      <c r="E40" s="577"/>
      <c r="F40" s="577">
        <f t="shared" si="26"/>
        <v>0</v>
      </c>
      <c r="G40" s="578"/>
      <c r="H40" s="912"/>
      <c r="I40" s="602"/>
      <c r="J40" s="603">
        <f>+ROUND(E40*I40,10)</f>
        <v>0</v>
      </c>
      <c r="K40" s="537"/>
      <c r="L40" s="445">
        <f t="shared" si="28"/>
        <v>0</v>
      </c>
      <c r="M40" s="542"/>
      <c r="N40" s="445">
        <f t="shared" si="29"/>
        <v>0</v>
      </c>
      <c r="O40" s="542"/>
      <c r="P40" s="445">
        <f t="shared" si="30"/>
        <v>0</v>
      </c>
      <c r="Q40" s="542"/>
      <c r="R40" s="445">
        <f t="shared" si="31"/>
        <v>0</v>
      </c>
      <c r="S40" s="542"/>
      <c r="T40" s="445">
        <f t="shared" si="32"/>
        <v>0</v>
      </c>
      <c r="U40" s="912"/>
      <c r="V40" s="581"/>
      <c r="W40" s="582">
        <f t="shared" si="33"/>
        <v>0</v>
      </c>
      <c r="X40" s="581"/>
      <c r="Y40" s="582">
        <f t="shared" si="34"/>
        <v>0</v>
      </c>
      <c r="Z40" s="581"/>
      <c r="AA40" s="582">
        <f t="shared" si="35"/>
        <v>0</v>
      </c>
      <c r="AB40" s="581"/>
      <c r="AC40" s="582">
        <f t="shared" si="36"/>
        <v>0</v>
      </c>
      <c r="AD40" s="913"/>
      <c r="AE40" s="769">
        <f t="shared" si="0"/>
        <v>0</v>
      </c>
    </row>
    <row r="41" spans="1:31" s="552" customFormat="1" ht="6" customHeight="1" thickBot="1" x14ac:dyDescent="0.25">
      <c r="A41" s="910"/>
      <c r="B41" s="911"/>
      <c r="C41" s="910"/>
      <c r="D41" s="172"/>
      <c r="E41" s="174"/>
      <c r="F41" s="174"/>
      <c r="G41" s="174"/>
      <c r="I41" s="604"/>
      <c r="J41" s="604"/>
      <c r="K41" s="605"/>
      <c r="L41" s="604"/>
      <c r="M41" s="606"/>
      <c r="N41" s="604"/>
      <c r="O41" s="606"/>
      <c r="P41" s="604"/>
      <c r="Q41" s="606"/>
      <c r="R41" s="606"/>
      <c r="S41" s="606"/>
      <c r="T41" s="606"/>
      <c r="V41" s="606"/>
      <c r="W41" s="606"/>
      <c r="X41" s="606"/>
      <c r="Y41" s="606"/>
      <c r="Z41" s="606"/>
      <c r="AA41" s="606"/>
      <c r="AB41" s="606"/>
      <c r="AC41" s="606"/>
      <c r="AE41" s="769"/>
    </row>
    <row r="42" spans="1:31" s="571" customFormat="1" ht="30" customHeight="1" thickTop="1" thickBot="1" x14ac:dyDescent="0.25">
      <c r="A42" s="564">
        <v>2</v>
      </c>
      <c r="B42" s="1068" t="s">
        <v>615</v>
      </c>
      <c r="C42" s="1069"/>
      <c r="D42" s="1069"/>
      <c r="E42" s="1069"/>
      <c r="F42" s="1070"/>
      <c r="G42" s="180" t="e">
        <f>ROUND(F43+F54+F71+F75,10)</f>
        <v>#REF!</v>
      </c>
      <c r="H42" s="568"/>
      <c r="I42" s="607"/>
      <c r="J42" s="438" t="e">
        <f>+ROUND(J43+J54+J71+J75,10)</f>
        <v>#REF!</v>
      </c>
      <c r="K42" s="567"/>
      <c r="L42" s="180" t="e">
        <f>+ROUND(L43+L54+L71+L75,10)</f>
        <v>#REF!</v>
      </c>
      <c r="M42" s="608"/>
      <c r="N42" s="180" t="e">
        <f>+ROUND(N43+N54+N71+N75,10)</f>
        <v>#REF!</v>
      </c>
      <c r="O42" s="608"/>
      <c r="P42" s="180" t="e">
        <f>+ROUND(P43+P54+P71+P75,10)</f>
        <v>#REF!</v>
      </c>
      <c r="Q42" s="608"/>
      <c r="R42" s="180" t="e">
        <f>+ROUND(R43+R54+R71+R75,10)</f>
        <v>#REF!</v>
      </c>
      <c r="S42" s="608"/>
      <c r="T42" s="180" t="e">
        <f>+ROUND(T43+T54+T71+T75,10)</f>
        <v>#REF!</v>
      </c>
      <c r="U42" s="568"/>
      <c r="V42" s="569" t="e">
        <f>W42/$G$42</f>
        <v>#REF!</v>
      </c>
      <c r="W42" s="570" t="e">
        <f>ROUND(W43+W54+W71+W75,10)</f>
        <v>#REF!</v>
      </c>
      <c r="X42" s="569" t="e">
        <f>Y42/$G$42</f>
        <v>#REF!</v>
      </c>
      <c r="Y42" s="570" t="e">
        <f>ROUND(Y43+Y54+Y71+Y75,10)</f>
        <v>#REF!</v>
      </c>
      <c r="Z42" s="569" t="e">
        <f>AA42/$G$42</f>
        <v>#REF!</v>
      </c>
      <c r="AA42" s="570" t="e">
        <f>ROUND(AA43+AA54+AA71+AA75,10)</f>
        <v>#REF!</v>
      </c>
      <c r="AB42" s="569" t="e">
        <f>AC42/$G$42</f>
        <v>#REF!</v>
      </c>
      <c r="AC42" s="570" t="e">
        <f>ROUND(AC43+AC54+AC71+AC75,10)</f>
        <v>#REF!</v>
      </c>
      <c r="AE42" s="769" t="e">
        <f t="shared" si="0"/>
        <v>#REF!</v>
      </c>
    </row>
    <row r="43" spans="1:31" s="571" customFormat="1" ht="27" customHeight="1" thickTop="1" x14ac:dyDescent="0.2">
      <c r="A43" s="572" t="s">
        <v>616</v>
      </c>
      <c r="B43" s="573" t="s">
        <v>617</v>
      </c>
      <c r="C43" s="846"/>
      <c r="D43" s="576"/>
      <c r="E43" s="180"/>
      <c r="F43" s="180" t="e">
        <f>+ROUND(SUM(F44:F53),10)</f>
        <v>#REF!</v>
      </c>
      <c r="G43" s="473"/>
      <c r="H43" s="568"/>
      <c r="I43" s="609"/>
      <c r="J43" s="439" t="e">
        <f>ROUND(SUM(J44:J53),10)</f>
        <v>#REF!</v>
      </c>
      <c r="K43" s="537"/>
      <c r="L43" s="180" t="e">
        <f>ROUND(SUM(L44:L53),10)</f>
        <v>#REF!</v>
      </c>
      <c r="M43" s="542"/>
      <c r="N43" s="180" t="e">
        <f>ROUND(SUM(N44:N53),10)</f>
        <v>#REF!</v>
      </c>
      <c r="O43" s="542"/>
      <c r="P43" s="180" t="e">
        <f>ROUND(SUM(P44:P53),10)</f>
        <v>#REF!</v>
      </c>
      <c r="Q43" s="542"/>
      <c r="R43" s="180" t="e">
        <f>ROUND(SUM(R44:R53),10)</f>
        <v>#REF!</v>
      </c>
      <c r="S43" s="542"/>
      <c r="T43" s="180" t="e">
        <f>ROUND(SUM(T44:T53),10)</f>
        <v>#REF!</v>
      </c>
      <c r="U43" s="568"/>
      <c r="V43" s="575"/>
      <c r="W43" s="570" t="e">
        <f>ROUND(SUM(W44:W53),10)</f>
        <v>#REF!</v>
      </c>
      <c r="X43" s="575"/>
      <c r="Y43" s="570" t="e">
        <f>ROUND(SUM(Y44:Y53),10)</f>
        <v>#REF!</v>
      </c>
      <c r="Z43" s="575"/>
      <c r="AA43" s="570" t="e">
        <f>ROUND(SUM(AA44:AA53),10)</f>
        <v>#REF!</v>
      </c>
      <c r="AB43" s="575"/>
      <c r="AC43" s="570" t="e">
        <f>ROUND(SUM(AC44:AC53),10)</f>
        <v>#REF!</v>
      </c>
      <c r="AE43" s="769" t="e">
        <f t="shared" si="0"/>
        <v>#REF!</v>
      </c>
    </row>
    <row r="44" spans="1:31" s="571" customFormat="1" ht="15.75" customHeight="1" x14ac:dyDescent="0.2">
      <c r="A44" s="611" t="s">
        <v>618</v>
      </c>
      <c r="B44" s="601" t="s">
        <v>619</v>
      </c>
      <c r="C44" s="611" t="s">
        <v>155</v>
      </c>
      <c r="D44" s="576">
        <f>+I44+K44+M44+O44+Q44+S44</f>
        <v>479.67</v>
      </c>
      <c r="E44" s="577">
        <f t="shared" ref="E44:E79" si="37">V44+X44+Z44+AB44</f>
        <v>3988.99</v>
      </c>
      <c r="F44" s="577">
        <f t="shared" ref="F44:F53" si="38">ROUND(D44*E44,10)</f>
        <v>1913398.8333000001</v>
      </c>
      <c r="G44" s="473"/>
      <c r="H44" s="568"/>
      <c r="I44" s="594"/>
      <c r="J44" s="580">
        <f t="shared" ref="J44:J53" si="39">+ROUND(E44*I44,10)</f>
        <v>0</v>
      </c>
      <c r="K44" s="537">
        <v>311.79000000000002</v>
      </c>
      <c r="L44" s="445">
        <f t="shared" ref="L44:L53" si="40">+ROUND(E44*K44,10)</f>
        <v>1243727.1921000001</v>
      </c>
      <c r="M44" s="542"/>
      <c r="N44" s="445">
        <f t="shared" ref="N44:N53" si="41">+ROUND(E44*M44,10)</f>
        <v>0</v>
      </c>
      <c r="O44" s="542">
        <v>47.96</v>
      </c>
      <c r="P44" s="445">
        <f t="shared" ref="P44:P53" si="42">+ROUND(E44*O44,10)</f>
        <v>191311.96040000001</v>
      </c>
      <c r="Q44" s="542">
        <v>119.92</v>
      </c>
      <c r="R44" s="445">
        <f t="shared" ref="R44:R53" si="43">+ROUND(E44*Q44,10)</f>
        <v>478359.68079999997</v>
      </c>
      <c r="S44" s="542"/>
      <c r="T44" s="445">
        <f t="shared" ref="T44:T53" si="44">+ROUND(E44*S44,10)</f>
        <v>0</v>
      </c>
      <c r="U44" s="568"/>
      <c r="V44" s="581">
        <f>'2,1,1 Exc Mec'!I19</f>
        <v>0</v>
      </c>
      <c r="W44" s="582">
        <f t="shared" ref="W44:W53" si="45">ROUND(V44*$D44,10)</f>
        <v>0</v>
      </c>
      <c r="X44" s="581">
        <f>'2,1,1 Exc Mec'!I50</f>
        <v>0</v>
      </c>
      <c r="Y44" s="582">
        <f t="shared" ref="Y44:Y53" si="46">ROUND(X44*$D44,10)</f>
        <v>0</v>
      </c>
      <c r="Z44" s="581">
        <f>'2,1,1 Exc Mec'!I30</f>
        <v>3988.99</v>
      </c>
      <c r="AA44" s="582">
        <f t="shared" ref="AA44:AA53" si="47">ROUND(Z44*$D44,10)</f>
        <v>1913398.8333000001</v>
      </c>
      <c r="AB44" s="581">
        <f>'2,1,1 Exc Mec'!I41</f>
        <v>0</v>
      </c>
      <c r="AC44" s="582">
        <f t="shared" ref="AC44:AC53" si="48">ROUND(AB44*$D44,10)</f>
        <v>0</v>
      </c>
      <c r="AE44" s="769">
        <f t="shared" si="0"/>
        <v>0</v>
      </c>
    </row>
    <row r="45" spans="1:31" ht="15" customHeight="1" x14ac:dyDescent="0.2">
      <c r="A45" s="611" t="s">
        <v>620</v>
      </c>
      <c r="B45" s="601" t="s">
        <v>621</v>
      </c>
      <c r="C45" s="611" t="s">
        <v>155</v>
      </c>
      <c r="D45" s="576">
        <f t="shared" ref="D45:D53" si="49">+I45+K45+M45+O45+Q45+S45</f>
        <v>225.23999999999998</v>
      </c>
      <c r="E45" s="577" t="e">
        <f t="shared" si="37"/>
        <v>#REF!</v>
      </c>
      <c r="F45" s="577" t="e">
        <f t="shared" si="38"/>
        <v>#REF!</v>
      </c>
      <c r="G45" s="578"/>
      <c r="I45" s="586"/>
      <c r="J45" s="585" t="e">
        <f t="shared" si="39"/>
        <v>#REF!</v>
      </c>
      <c r="K45" s="537">
        <f>99.47+35.94</f>
        <v>135.41</v>
      </c>
      <c r="L45" s="445" t="e">
        <f t="shared" si="40"/>
        <v>#REF!</v>
      </c>
      <c r="M45" s="542"/>
      <c r="N45" s="445" t="e">
        <f t="shared" si="41"/>
        <v>#REF!</v>
      </c>
      <c r="O45" s="537">
        <f>31.82+8.98</f>
        <v>40.799999999999997</v>
      </c>
      <c r="P45" s="445" t="e">
        <f t="shared" si="42"/>
        <v>#REF!</v>
      </c>
      <c r="Q45" s="537">
        <v>29.4</v>
      </c>
      <c r="R45" s="445" t="e">
        <f t="shared" si="43"/>
        <v>#REF!</v>
      </c>
      <c r="S45" s="537">
        <f>6.24+9.52+3.87</f>
        <v>19.63</v>
      </c>
      <c r="T45" s="445" t="e">
        <f t="shared" si="44"/>
        <v>#REF!</v>
      </c>
      <c r="V45" s="581"/>
      <c r="W45" s="582">
        <f t="shared" si="45"/>
        <v>0</v>
      </c>
      <c r="X45" s="581" t="e">
        <f>+#REF!</f>
        <v>#REF!</v>
      </c>
      <c r="Y45" s="582" t="e">
        <f t="shared" si="46"/>
        <v>#REF!</v>
      </c>
      <c r="Z45" s="581" t="e">
        <f>+#REF!</f>
        <v>#REF!</v>
      </c>
      <c r="AA45" s="582" t="e">
        <f t="shared" si="47"/>
        <v>#REF!</v>
      </c>
      <c r="AB45" s="581" t="e">
        <f>+#REF!</f>
        <v>#REF!</v>
      </c>
      <c r="AC45" s="582" t="e">
        <f t="shared" si="48"/>
        <v>#REF!</v>
      </c>
      <c r="AE45" s="769" t="e">
        <f t="shared" si="0"/>
        <v>#REF!</v>
      </c>
    </row>
    <row r="46" spans="1:31" ht="15" hidden="1" customHeight="1" x14ac:dyDescent="0.2">
      <c r="A46" s="611" t="s">
        <v>622</v>
      </c>
      <c r="B46" s="601" t="s">
        <v>623</v>
      </c>
      <c r="C46" s="611" t="s">
        <v>155</v>
      </c>
      <c r="D46" s="576">
        <f t="shared" si="49"/>
        <v>0</v>
      </c>
      <c r="E46" s="577" t="e">
        <f t="shared" si="37"/>
        <v>#REF!</v>
      </c>
      <c r="F46" s="577" t="e">
        <f t="shared" si="38"/>
        <v>#REF!</v>
      </c>
      <c r="G46" s="578"/>
      <c r="I46" s="584"/>
      <c r="J46" s="585" t="e">
        <f t="shared" si="39"/>
        <v>#REF!</v>
      </c>
      <c r="K46" s="537"/>
      <c r="L46" s="445" t="e">
        <f t="shared" si="40"/>
        <v>#REF!</v>
      </c>
      <c r="M46" s="542"/>
      <c r="N46" s="445" t="e">
        <f t="shared" si="41"/>
        <v>#REF!</v>
      </c>
      <c r="O46" s="542"/>
      <c r="P46" s="445" t="e">
        <f t="shared" si="42"/>
        <v>#REF!</v>
      </c>
      <c r="Q46" s="542"/>
      <c r="R46" s="445" t="e">
        <f t="shared" si="43"/>
        <v>#REF!</v>
      </c>
      <c r="S46" s="542"/>
      <c r="T46" s="445" t="e">
        <f t="shared" si="44"/>
        <v>#REF!</v>
      </c>
      <c r="V46" s="581"/>
      <c r="W46" s="582">
        <f t="shared" si="45"/>
        <v>0</v>
      </c>
      <c r="X46" s="581" t="e">
        <f>+#REF!</f>
        <v>#REF!</v>
      </c>
      <c r="Y46" s="582" t="e">
        <f t="shared" si="46"/>
        <v>#REF!</v>
      </c>
      <c r="Z46" s="581" t="e">
        <f>+#REF!</f>
        <v>#REF!</v>
      </c>
      <c r="AA46" s="582" t="e">
        <f t="shared" si="47"/>
        <v>#REF!</v>
      </c>
      <c r="AB46" s="581" t="e">
        <f>+#REF!</f>
        <v>#REF!</v>
      </c>
      <c r="AC46" s="582" t="e">
        <f t="shared" si="48"/>
        <v>#REF!</v>
      </c>
      <c r="AE46" s="769" t="e">
        <f t="shared" si="0"/>
        <v>#REF!</v>
      </c>
    </row>
    <row r="47" spans="1:31" ht="15" hidden="1" customHeight="1" x14ac:dyDescent="0.2">
      <c r="A47" s="627" t="s">
        <v>624</v>
      </c>
      <c r="B47" s="610" t="s">
        <v>625</v>
      </c>
      <c r="C47" s="627" t="s">
        <v>155</v>
      </c>
      <c r="D47" s="576">
        <f t="shared" si="49"/>
        <v>0</v>
      </c>
      <c r="E47" s="577">
        <f t="shared" si="37"/>
        <v>0</v>
      </c>
      <c r="F47" s="577">
        <f t="shared" si="38"/>
        <v>0</v>
      </c>
      <c r="G47" s="578"/>
      <c r="I47" s="584"/>
      <c r="J47" s="585">
        <f t="shared" si="39"/>
        <v>0</v>
      </c>
      <c r="K47" s="537"/>
      <c r="L47" s="445">
        <f t="shared" si="40"/>
        <v>0</v>
      </c>
      <c r="M47" s="542"/>
      <c r="N47" s="445">
        <f t="shared" si="41"/>
        <v>0</v>
      </c>
      <c r="O47" s="542"/>
      <c r="P47" s="445">
        <f t="shared" si="42"/>
        <v>0</v>
      </c>
      <c r="Q47" s="542"/>
      <c r="R47" s="445">
        <f t="shared" si="43"/>
        <v>0</v>
      </c>
      <c r="S47" s="542"/>
      <c r="T47" s="445">
        <f t="shared" si="44"/>
        <v>0</v>
      </c>
      <c r="V47" s="581"/>
      <c r="W47" s="582">
        <f t="shared" si="45"/>
        <v>0</v>
      </c>
      <c r="X47" s="581"/>
      <c r="Y47" s="582">
        <f t="shared" si="46"/>
        <v>0</v>
      </c>
      <c r="Z47" s="581"/>
      <c r="AA47" s="582">
        <f t="shared" si="47"/>
        <v>0</v>
      </c>
      <c r="AB47" s="581"/>
      <c r="AC47" s="582">
        <f t="shared" si="48"/>
        <v>0</v>
      </c>
      <c r="AE47" s="769">
        <f t="shared" si="0"/>
        <v>0</v>
      </c>
    </row>
    <row r="48" spans="1:31" ht="27.75" hidden="1" customHeight="1" x14ac:dyDescent="0.2">
      <c r="A48" s="611" t="s">
        <v>626</v>
      </c>
      <c r="B48" s="601" t="str">
        <f>+'2,1,5 Relleno M Común'!C5</f>
        <v>RELLENOS EN MATERIAL COMÚN SIN SELECCIONAR DE OBRA</v>
      </c>
      <c r="C48" s="611" t="s">
        <v>155</v>
      </c>
      <c r="D48" s="576">
        <f t="shared" si="49"/>
        <v>0</v>
      </c>
      <c r="E48" s="577">
        <f t="shared" si="37"/>
        <v>22529.02</v>
      </c>
      <c r="F48" s="577">
        <f t="shared" si="38"/>
        <v>0</v>
      </c>
      <c r="G48" s="578"/>
      <c r="I48" s="584"/>
      <c r="J48" s="585">
        <f t="shared" si="39"/>
        <v>0</v>
      </c>
      <c r="K48" s="537"/>
      <c r="L48" s="445">
        <f t="shared" si="40"/>
        <v>0</v>
      </c>
      <c r="M48" s="542"/>
      <c r="N48" s="445">
        <f t="shared" si="41"/>
        <v>0</v>
      </c>
      <c r="O48" s="542"/>
      <c r="P48" s="445">
        <f t="shared" si="42"/>
        <v>0</v>
      </c>
      <c r="Q48" s="537"/>
      <c r="R48" s="445">
        <f t="shared" si="43"/>
        <v>0</v>
      </c>
      <c r="S48" s="537"/>
      <c r="T48" s="445">
        <f t="shared" si="44"/>
        <v>0</v>
      </c>
      <c r="V48" s="581"/>
      <c r="W48" s="582">
        <f t="shared" si="45"/>
        <v>0</v>
      </c>
      <c r="X48" s="581">
        <f>+'2,1,5 Relleno M Común'!I50</f>
        <v>15427.02</v>
      </c>
      <c r="Y48" s="582">
        <f t="shared" si="46"/>
        <v>0</v>
      </c>
      <c r="Z48" s="581">
        <f>+'2,1,5 Relleno M Común'!I30</f>
        <v>7102</v>
      </c>
      <c r="AA48" s="582">
        <f t="shared" si="47"/>
        <v>0</v>
      </c>
      <c r="AB48" s="581"/>
      <c r="AC48" s="582">
        <f t="shared" si="48"/>
        <v>0</v>
      </c>
      <c r="AE48" s="769">
        <f t="shared" si="0"/>
        <v>0</v>
      </c>
    </row>
    <row r="49" spans="1:31" ht="15" customHeight="1" x14ac:dyDescent="0.2">
      <c r="A49" s="611" t="s">
        <v>627</v>
      </c>
      <c r="B49" s="601" t="s">
        <v>628</v>
      </c>
      <c r="C49" s="611" t="s">
        <v>155</v>
      </c>
      <c r="D49" s="576">
        <f t="shared" si="49"/>
        <v>88.07</v>
      </c>
      <c r="E49" s="577" t="e">
        <f t="shared" si="37"/>
        <v>#REF!</v>
      </c>
      <c r="F49" s="577" t="e">
        <f t="shared" si="38"/>
        <v>#REF!</v>
      </c>
      <c r="G49" s="578"/>
      <c r="I49" s="584"/>
      <c r="J49" s="585" t="e">
        <f t="shared" si="39"/>
        <v>#REF!</v>
      </c>
      <c r="K49" s="537">
        <v>52.84</v>
      </c>
      <c r="L49" s="445" t="e">
        <f t="shared" si="40"/>
        <v>#REF!</v>
      </c>
      <c r="M49" s="542"/>
      <c r="N49" s="445" t="e">
        <f t="shared" si="41"/>
        <v>#REF!</v>
      </c>
      <c r="O49" s="542"/>
      <c r="P49" s="445" t="e">
        <f t="shared" si="42"/>
        <v>#REF!</v>
      </c>
      <c r="Q49" s="542">
        <v>22.02</v>
      </c>
      <c r="R49" s="445" t="e">
        <f t="shared" si="43"/>
        <v>#REF!</v>
      </c>
      <c r="S49" s="537">
        <v>13.21</v>
      </c>
      <c r="T49" s="445" t="e">
        <f t="shared" si="44"/>
        <v>#REF!</v>
      </c>
      <c r="V49" s="581"/>
      <c r="W49" s="582">
        <f t="shared" si="45"/>
        <v>0</v>
      </c>
      <c r="X49" s="581" t="e">
        <f>+#REF!</f>
        <v>#REF!</v>
      </c>
      <c r="Y49" s="582" t="e">
        <f t="shared" si="46"/>
        <v>#REF!</v>
      </c>
      <c r="Z49" s="581" t="e">
        <f>+#REF!</f>
        <v>#REF!</v>
      </c>
      <c r="AA49" s="582" t="e">
        <f t="shared" si="47"/>
        <v>#REF!</v>
      </c>
      <c r="AB49" s="581"/>
      <c r="AC49" s="582">
        <f t="shared" si="48"/>
        <v>0</v>
      </c>
      <c r="AE49" s="769" t="e">
        <f t="shared" si="0"/>
        <v>#REF!</v>
      </c>
    </row>
    <row r="50" spans="1:31" ht="15" hidden="1" customHeight="1" x14ac:dyDescent="0.2">
      <c r="A50" s="611" t="s">
        <v>629</v>
      </c>
      <c r="B50" s="601" t="s">
        <v>630</v>
      </c>
      <c r="C50" s="611" t="s">
        <v>155</v>
      </c>
      <c r="D50" s="576">
        <f t="shared" si="49"/>
        <v>0</v>
      </c>
      <c r="E50" s="577" t="e">
        <f t="shared" si="37"/>
        <v>#REF!</v>
      </c>
      <c r="F50" s="577" t="e">
        <f t="shared" si="38"/>
        <v>#REF!</v>
      </c>
      <c r="G50" s="578"/>
      <c r="I50" s="586"/>
      <c r="J50" s="585" t="e">
        <f t="shared" si="39"/>
        <v>#REF!</v>
      </c>
      <c r="K50" s="537"/>
      <c r="L50" s="445" t="e">
        <f t="shared" si="40"/>
        <v>#REF!</v>
      </c>
      <c r="M50" s="542"/>
      <c r="N50" s="445" t="e">
        <f t="shared" si="41"/>
        <v>#REF!</v>
      </c>
      <c r="O50" s="542"/>
      <c r="P50" s="445" t="e">
        <f t="shared" si="42"/>
        <v>#REF!</v>
      </c>
      <c r="Q50" s="542"/>
      <c r="R50" s="445" t="e">
        <f t="shared" si="43"/>
        <v>#REF!</v>
      </c>
      <c r="S50" s="542"/>
      <c r="T50" s="445" t="e">
        <f t="shared" si="44"/>
        <v>#REF!</v>
      </c>
      <c r="V50" s="581" t="e">
        <f>+'2,1,7  Sub base Recebo '!I19</f>
        <v>#REF!</v>
      </c>
      <c r="W50" s="582" t="e">
        <f t="shared" si="45"/>
        <v>#REF!</v>
      </c>
      <c r="X50" s="581">
        <f>+'2,1,7  Sub base Recebo '!I50</f>
        <v>18149.439999999999</v>
      </c>
      <c r="Y50" s="582">
        <f t="shared" si="46"/>
        <v>0</v>
      </c>
      <c r="Z50" s="581">
        <f>+'2,1,7  Sub base Recebo '!I30</f>
        <v>6731</v>
      </c>
      <c r="AA50" s="582">
        <f t="shared" si="47"/>
        <v>0</v>
      </c>
      <c r="AB50" s="581">
        <f>+'2,1,7  Sub base Recebo '!I41</f>
        <v>0</v>
      </c>
      <c r="AC50" s="582">
        <f t="shared" si="48"/>
        <v>0</v>
      </c>
      <c r="AE50" s="769" t="e">
        <f t="shared" si="0"/>
        <v>#REF!</v>
      </c>
    </row>
    <row r="51" spans="1:31" ht="15" hidden="1" customHeight="1" x14ac:dyDescent="0.2">
      <c r="A51" s="611" t="s">
        <v>631</v>
      </c>
      <c r="B51" s="610" t="s">
        <v>632</v>
      </c>
      <c r="C51" s="611" t="s">
        <v>130</v>
      </c>
      <c r="D51" s="576">
        <f t="shared" si="49"/>
        <v>0</v>
      </c>
      <c r="E51" s="577" t="e">
        <f t="shared" si="37"/>
        <v>#REF!</v>
      </c>
      <c r="F51" s="577" t="e">
        <f t="shared" si="38"/>
        <v>#REF!</v>
      </c>
      <c r="G51" s="578"/>
      <c r="I51" s="584"/>
      <c r="J51" s="585" t="e">
        <f t="shared" si="39"/>
        <v>#REF!</v>
      </c>
      <c r="K51" s="537"/>
      <c r="L51" s="445" t="e">
        <f t="shared" si="40"/>
        <v>#REF!</v>
      </c>
      <c r="M51" s="542"/>
      <c r="N51" s="445" t="e">
        <f t="shared" si="41"/>
        <v>#REF!</v>
      </c>
      <c r="O51" s="542"/>
      <c r="P51" s="445" t="e">
        <f t="shared" si="42"/>
        <v>#REF!</v>
      </c>
      <c r="Q51" s="542"/>
      <c r="R51" s="445" t="e">
        <f t="shared" si="43"/>
        <v>#REF!</v>
      </c>
      <c r="S51" s="542"/>
      <c r="T51" s="445" t="e">
        <f t="shared" si="44"/>
        <v>#REF!</v>
      </c>
      <c r="V51" s="581" t="e">
        <f>+'2,1,8 Geotextil NT'!I19</f>
        <v>#REF!</v>
      </c>
      <c r="W51" s="582" t="e">
        <f t="shared" si="45"/>
        <v>#REF!</v>
      </c>
      <c r="X51" s="581">
        <f>+'2,1,8 Geotextil NT'!I50</f>
        <v>3841.65</v>
      </c>
      <c r="Y51" s="582">
        <f t="shared" si="46"/>
        <v>0</v>
      </c>
      <c r="Z51" s="581">
        <f>+'2,1,8 Geotextil NT'!I30</f>
        <v>37.1</v>
      </c>
      <c r="AA51" s="582">
        <f t="shared" si="47"/>
        <v>0</v>
      </c>
      <c r="AB51" s="581">
        <f>+'2,1,8 Geotextil NT'!I41</f>
        <v>0</v>
      </c>
      <c r="AC51" s="582">
        <f t="shared" si="48"/>
        <v>0</v>
      </c>
      <c r="AE51" s="769" t="e">
        <f t="shared" si="0"/>
        <v>#REF!</v>
      </c>
    </row>
    <row r="52" spans="1:31" ht="15" hidden="1" customHeight="1" x14ac:dyDescent="0.2">
      <c r="A52" s="611" t="s">
        <v>633</v>
      </c>
      <c r="B52" s="610" t="s">
        <v>634</v>
      </c>
      <c r="C52" s="611" t="s">
        <v>130</v>
      </c>
      <c r="D52" s="576">
        <f t="shared" si="49"/>
        <v>0</v>
      </c>
      <c r="E52" s="577" t="e">
        <f t="shared" si="37"/>
        <v>#REF!</v>
      </c>
      <c r="F52" s="577" t="e">
        <f t="shared" si="38"/>
        <v>#REF!</v>
      </c>
      <c r="G52" s="578"/>
      <c r="I52" s="584"/>
      <c r="J52" s="585" t="e">
        <f t="shared" si="39"/>
        <v>#REF!</v>
      </c>
      <c r="K52" s="537"/>
      <c r="L52" s="445" t="e">
        <f t="shared" si="40"/>
        <v>#REF!</v>
      </c>
      <c r="M52" s="542"/>
      <c r="N52" s="445" t="e">
        <f t="shared" si="41"/>
        <v>#REF!</v>
      </c>
      <c r="O52" s="542"/>
      <c r="P52" s="445" t="e">
        <f t="shared" si="42"/>
        <v>#REF!</v>
      </c>
      <c r="Q52" s="542"/>
      <c r="R52" s="445" t="e">
        <f t="shared" si="43"/>
        <v>#REF!</v>
      </c>
      <c r="S52" s="542"/>
      <c r="T52" s="445" t="e">
        <f t="shared" si="44"/>
        <v>#REF!</v>
      </c>
      <c r="V52" s="581" t="e">
        <f>+'2,1,9 Geotextil Tejido'!I19</f>
        <v>#REF!</v>
      </c>
      <c r="W52" s="582" t="e">
        <f t="shared" si="45"/>
        <v>#REF!</v>
      </c>
      <c r="X52" s="581">
        <f>+'2,1,9 Geotextil Tejido'!I50</f>
        <v>3841.65</v>
      </c>
      <c r="Y52" s="582">
        <f t="shared" si="46"/>
        <v>0</v>
      </c>
      <c r="Z52" s="581">
        <f>+'2,1,9 Geotextil Tejido'!I30</f>
        <v>37.1</v>
      </c>
      <c r="AA52" s="582">
        <f t="shared" si="47"/>
        <v>0</v>
      </c>
      <c r="AB52" s="581">
        <f>+'2,1,9 Geotextil Tejido'!I41</f>
        <v>0</v>
      </c>
      <c r="AC52" s="582">
        <f t="shared" si="48"/>
        <v>0</v>
      </c>
      <c r="AE52" s="769" t="e">
        <f t="shared" si="0"/>
        <v>#REF!</v>
      </c>
    </row>
    <row r="53" spans="1:31" x14ac:dyDescent="0.2">
      <c r="A53" s="611" t="s">
        <v>635</v>
      </c>
      <c r="B53" s="601" t="s">
        <v>636</v>
      </c>
      <c r="C53" s="611" t="s">
        <v>155</v>
      </c>
      <c r="D53" s="576">
        <f t="shared" si="49"/>
        <v>216.14</v>
      </c>
      <c r="E53" s="577" t="e">
        <f t="shared" si="37"/>
        <v>#REF!</v>
      </c>
      <c r="F53" s="577" t="e">
        <f t="shared" si="38"/>
        <v>#REF!</v>
      </c>
      <c r="G53" s="578"/>
      <c r="I53" s="612"/>
      <c r="J53" s="598" t="e">
        <f t="shared" si="39"/>
        <v>#REF!</v>
      </c>
      <c r="K53" s="537">
        <f>110.61+9.49</f>
        <v>120.1</v>
      </c>
      <c r="L53" s="445" t="e">
        <f t="shared" si="40"/>
        <v>#REF!</v>
      </c>
      <c r="M53" s="542"/>
      <c r="N53" s="445" t="e">
        <f t="shared" si="41"/>
        <v>#REF!</v>
      </c>
      <c r="O53" s="537">
        <f>21.04+1.68</f>
        <v>22.72</v>
      </c>
      <c r="P53" s="445" t="e">
        <f t="shared" si="42"/>
        <v>#REF!</v>
      </c>
      <c r="Q53" s="537">
        <v>47.63</v>
      </c>
      <c r="R53" s="445" t="e">
        <f t="shared" si="43"/>
        <v>#REF!</v>
      </c>
      <c r="S53" s="537">
        <v>25.69</v>
      </c>
      <c r="T53" s="445" t="e">
        <f t="shared" si="44"/>
        <v>#REF!</v>
      </c>
      <c r="V53" s="581" t="e">
        <f>+#REF!</f>
        <v>#REF!</v>
      </c>
      <c r="W53" s="582" t="e">
        <f t="shared" si="45"/>
        <v>#REF!</v>
      </c>
      <c r="X53" s="581" t="e">
        <f>+#REF!</f>
        <v>#REF!</v>
      </c>
      <c r="Y53" s="582" t="e">
        <f t="shared" si="46"/>
        <v>#REF!</v>
      </c>
      <c r="Z53" s="581" t="e">
        <f>+#REF!</f>
        <v>#REF!</v>
      </c>
      <c r="AA53" s="582" t="e">
        <f t="shared" si="47"/>
        <v>#REF!</v>
      </c>
      <c r="AB53" s="581" t="e">
        <f>+#REF!</f>
        <v>#REF!</v>
      </c>
      <c r="AC53" s="582" t="e">
        <f t="shared" si="48"/>
        <v>#REF!</v>
      </c>
      <c r="AE53" s="769" t="e">
        <f t="shared" si="0"/>
        <v>#REF!</v>
      </c>
    </row>
    <row r="54" spans="1:31" s="568" customFormat="1" ht="18" customHeight="1" x14ac:dyDescent="0.2">
      <c r="A54" s="572" t="s">
        <v>637</v>
      </c>
      <c r="B54" s="573" t="s">
        <v>638</v>
      </c>
      <c r="C54" s="846"/>
      <c r="D54" s="576"/>
      <c r="E54" s="577"/>
      <c r="F54" s="180" t="e">
        <f>+ROUND(SUM(F55:F70),10)</f>
        <v>#REF!</v>
      </c>
      <c r="G54" s="473"/>
      <c r="I54" s="613"/>
      <c r="J54" s="440" t="e">
        <f>ROUND(SUM(J55:J70),10)</f>
        <v>#REF!</v>
      </c>
      <c r="K54" s="537"/>
      <c r="L54" s="180" t="e">
        <f>ROUND(SUM(L55:L70),10)</f>
        <v>#REF!</v>
      </c>
      <c r="M54" s="542"/>
      <c r="N54" s="180" t="e">
        <f>ROUND(SUM(N55:N70),10)</f>
        <v>#REF!</v>
      </c>
      <c r="O54" s="542"/>
      <c r="P54" s="180" t="e">
        <f>ROUND(SUM(P55:P70),10)</f>
        <v>#REF!</v>
      </c>
      <c r="Q54" s="542"/>
      <c r="R54" s="180" t="e">
        <f>ROUND(SUM(R55:R70),10)</f>
        <v>#REF!</v>
      </c>
      <c r="S54" s="542"/>
      <c r="T54" s="180" t="e">
        <f>ROUND(SUM(T55:T70),10)</f>
        <v>#REF!</v>
      </c>
      <c r="V54" s="575"/>
      <c r="W54" s="570" t="e">
        <f>ROUND(SUM(W55:W70),10)</f>
        <v>#REF!</v>
      </c>
      <c r="X54" s="575"/>
      <c r="Y54" s="570" t="e">
        <f>ROUND(SUM(Y55:Y70),10)</f>
        <v>#REF!</v>
      </c>
      <c r="Z54" s="575"/>
      <c r="AA54" s="570" t="e">
        <f>ROUND(SUM(AA55:AA70),10)</f>
        <v>#REF!</v>
      </c>
      <c r="AB54" s="575"/>
      <c r="AC54" s="570" t="e">
        <f>ROUND(SUM(AC55:AC70),10)</f>
        <v>#REF!</v>
      </c>
      <c r="AE54" s="769" t="e">
        <f t="shared" si="0"/>
        <v>#REF!</v>
      </c>
    </row>
    <row r="55" spans="1:31" ht="15" customHeight="1" x14ac:dyDescent="0.2">
      <c r="A55" s="611" t="s">
        <v>639</v>
      </c>
      <c r="B55" s="649" t="s">
        <v>640</v>
      </c>
      <c r="C55" s="611" t="s">
        <v>155</v>
      </c>
      <c r="D55" s="576">
        <f t="shared" ref="D55:D70" si="50">+I55+K55+M55+O55+Q55+S55</f>
        <v>3.84</v>
      </c>
      <c r="E55" s="577" t="e">
        <f t="shared" si="37"/>
        <v>#REF!</v>
      </c>
      <c r="F55" s="577" t="e">
        <f t="shared" ref="F55:F70" si="51">ROUND(D55*E55,10)</f>
        <v>#REF!</v>
      </c>
      <c r="G55" s="578"/>
      <c r="I55" s="579"/>
      <c r="J55" s="580" t="e">
        <f>+ROUND(E55*I55,10)</f>
        <v>#REF!</v>
      </c>
      <c r="K55" s="537">
        <v>2.65</v>
      </c>
      <c r="L55" s="445" t="e">
        <f>+ROUND(E55*K55,10)</f>
        <v>#REF!</v>
      </c>
      <c r="M55" s="542"/>
      <c r="N55" s="445" t="e">
        <f>+ROUND(E55*M55,10)</f>
        <v>#REF!</v>
      </c>
      <c r="O55" s="542">
        <v>0.88</v>
      </c>
      <c r="P55" s="445" t="e">
        <f>+ROUND(E55*O55,10)</f>
        <v>#REF!</v>
      </c>
      <c r="Q55" s="542"/>
      <c r="R55" s="445" t="e">
        <f>+ROUND(E55*Q55,10)</f>
        <v>#REF!</v>
      </c>
      <c r="S55" s="542">
        <v>0.31</v>
      </c>
      <c r="T55" s="445" t="e">
        <f>+ROUND(E55*S55,10)</f>
        <v>#REF!</v>
      </c>
      <c r="V55" s="581" t="e">
        <f>+#REF!</f>
        <v>#REF!</v>
      </c>
      <c r="W55" s="582" t="e">
        <f>ROUND(V55*$D55,10)</f>
        <v>#REF!</v>
      </c>
      <c r="X55" s="581" t="e">
        <f>+#REF!</f>
        <v>#REF!</v>
      </c>
      <c r="Y55" s="582" t="e">
        <f>ROUND(X55*$D55,10)</f>
        <v>#REF!</v>
      </c>
      <c r="Z55" s="581" t="e">
        <f>+#REF!</f>
        <v>#REF!</v>
      </c>
      <c r="AA55" s="582" t="e">
        <f>ROUND(Z55*$D55,10)</f>
        <v>#REF!</v>
      </c>
      <c r="AB55" s="581"/>
      <c r="AC55" s="582">
        <f>ROUND(AB55*$D55,10)</f>
        <v>0</v>
      </c>
      <c r="AE55" s="769" t="e">
        <f t="shared" si="0"/>
        <v>#REF!</v>
      </c>
    </row>
    <row r="56" spans="1:31" ht="15" customHeight="1" x14ac:dyDescent="0.2">
      <c r="A56" s="611" t="s">
        <v>641</v>
      </c>
      <c r="B56" s="601" t="s">
        <v>642</v>
      </c>
      <c r="C56" s="611" t="s">
        <v>155</v>
      </c>
      <c r="D56" s="576">
        <f t="shared" si="50"/>
        <v>23.080000000000002</v>
      </c>
      <c r="E56" s="577" t="e">
        <f>V56+X56+Z56+AB56</f>
        <v>#REF!</v>
      </c>
      <c r="F56" s="577" t="e">
        <f t="shared" si="51"/>
        <v>#REF!</v>
      </c>
      <c r="G56" s="578"/>
      <c r="I56" s="584"/>
      <c r="J56" s="585" t="e">
        <f>+ROUND(E56*I56,10)</f>
        <v>#REF!</v>
      </c>
      <c r="K56" s="537">
        <v>15.91</v>
      </c>
      <c r="L56" s="445" t="e">
        <f>+ROUND(E56*K56,10)</f>
        <v>#REF!</v>
      </c>
      <c r="M56" s="542"/>
      <c r="N56" s="445" t="e">
        <f>+ROUND(E56*M56,10)</f>
        <v>#REF!</v>
      </c>
      <c r="O56" s="537">
        <v>5.3</v>
      </c>
      <c r="P56" s="445" t="e">
        <f>+ROUND(E56*O56,10)</f>
        <v>#REF!</v>
      </c>
      <c r="Q56" s="537"/>
      <c r="R56" s="445" t="e">
        <f>+ROUND(E56*Q56,10)</f>
        <v>#REF!</v>
      </c>
      <c r="S56" s="537">
        <v>1.87</v>
      </c>
      <c r="T56" s="445" t="e">
        <f>+ROUND(E56*S56,10)</f>
        <v>#REF!</v>
      </c>
      <c r="V56" s="581" t="e">
        <f>+#REF!</f>
        <v>#REF!</v>
      </c>
      <c r="W56" s="582" t="e">
        <f>ROUND(V56*$D56,10)</f>
        <v>#REF!</v>
      </c>
      <c r="X56" s="581" t="e">
        <f>+#REF!</f>
        <v>#REF!</v>
      </c>
      <c r="Y56" s="582" t="e">
        <f>ROUND(X56*$D56,10)</f>
        <v>#REF!</v>
      </c>
      <c r="Z56" s="581" t="e">
        <f>+#REF!</f>
        <v>#REF!</v>
      </c>
      <c r="AA56" s="582" t="e">
        <f>ROUND(Z56*$D56,10)</f>
        <v>#REF!</v>
      </c>
      <c r="AB56" s="581"/>
      <c r="AC56" s="582">
        <f>ROUND(AB56*$D56,10)</f>
        <v>0</v>
      </c>
      <c r="AE56" s="769" t="e">
        <f t="shared" si="0"/>
        <v>#REF!</v>
      </c>
    </row>
    <row r="57" spans="1:31" ht="15" hidden="1" customHeight="1" x14ac:dyDescent="0.2">
      <c r="A57" s="611" t="s">
        <v>643</v>
      </c>
      <c r="B57" s="601" t="s">
        <v>644</v>
      </c>
      <c r="C57" s="611" t="s">
        <v>155</v>
      </c>
      <c r="D57" s="576">
        <f t="shared" si="50"/>
        <v>0</v>
      </c>
      <c r="E57" s="577" t="e">
        <f>V57+X57+Z57+AB57</f>
        <v>#REF!</v>
      </c>
      <c r="F57" s="577" t="e">
        <f t="shared" si="51"/>
        <v>#REF!</v>
      </c>
      <c r="G57" s="578"/>
      <c r="I57" s="584"/>
      <c r="J57" s="585" t="e">
        <f>+ROUND(E57*I57,10)</f>
        <v>#REF!</v>
      </c>
      <c r="K57" s="537"/>
      <c r="L57" s="445" t="e">
        <f>+ROUND(E57*K57,10)</f>
        <v>#REF!</v>
      </c>
      <c r="M57" s="542"/>
      <c r="N57" s="445" t="e">
        <f>+ROUND(E57*M57,10)</f>
        <v>#REF!</v>
      </c>
      <c r="O57" s="542"/>
      <c r="P57" s="445" t="e">
        <f>+ROUND(E57*O57,10)</f>
        <v>#REF!</v>
      </c>
      <c r="Q57" s="542"/>
      <c r="R57" s="445" t="e">
        <f>+ROUND(E57*Q57,10)</f>
        <v>#REF!</v>
      </c>
      <c r="S57" s="542"/>
      <c r="T57" s="445" t="e">
        <f>+ROUND(E57*S57,10)</f>
        <v>#REF!</v>
      </c>
      <c r="V57" s="581" t="e">
        <f>+'2,2,3 Muros de contencion'!I19</f>
        <v>#REF!</v>
      </c>
      <c r="W57" s="582" t="e">
        <f>ROUND(V57*$D57,10)</f>
        <v>#REF!</v>
      </c>
      <c r="X57" s="581">
        <f>+'2,2,3 Muros de contencion'!I50</f>
        <v>196407.2</v>
      </c>
      <c r="Y57" s="582">
        <f>ROUND(X57*$D57,10)</f>
        <v>0</v>
      </c>
      <c r="Z57" s="581">
        <f>+'2,2,3 Muros de contencion'!I30</f>
        <v>11204.2</v>
      </c>
      <c r="AA57" s="582">
        <f>ROUND(Z57*$D57,10)</f>
        <v>0</v>
      </c>
      <c r="AB57" s="581">
        <f>+'2,2,3 Muros de contencion'!I41</f>
        <v>0</v>
      </c>
      <c r="AC57" s="582">
        <f>ROUND(AB57*$D57,10)</f>
        <v>0</v>
      </c>
      <c r="AE57" s="769" t="e">
        <f t="shared" si="0"/>
        <v>#REF!</v>
      </c>
    </row>
    <row r="58" spans="1:31" ht="15" customHeight="1" x14ac:dyDescent="0.2">
      <c r="A58" s="611" t="s">
        <v>645</v>
      </c>
      <c r="B58" s="601" t="s">
        <v>646</v>
      </c>
      <c r="C58" s="611" t="s">
        <v>155</v>
      </c>
      <c r="D58" s="576">
        <f t="shared" si="50"/>
        <v>29.849999999999998</v>
      </c>
      <c r="E58" s="577" t="e">
        <f>V58+X58+Z58+AB58</f>
        <v>#REF!</v>
      </c>
      <c r="F58" s="577" t="e">
        <f t="shared" si="51"/>
        <v>#REF!</v>
      </c>
      <c r="G58" s="578"/>
      <c r="I58" s="584"/>
      <c r="J58" s="585" t="e">
        <f>+ROUND(E58*I58,10)</f>
        <v>#REF!</v>
      </c>
      <c r="K58" s="537">
        <v>21.22</v>
      </c>
      <c r="L58" s="445" t="e">
        <f>+ROUND(E58*K58,10)</f>
        <v>#REF!</v>
      </c>
      <c r="M58" s="542"/>
      <c r="N58" s="445" t="e">
        <f>+ROUND(E58*M58,10)</f>
        <v>#REF!</v>
      </c>
      <c r="O58" s="537">
        <v>7.07</v>
      </c>
      <c r="P58" s="445" t="e">
        <f>+ROUND(E58*O58,10)</f>
        <v>#REF!</v>
      </c>
      <c r="Q58" s="537"/>
      <c r="R58" s="445" t="e">
        <f>+ROUND(E58*Q58,10)</f>
        <v>#REF!</v>
      </c>
      <c r="S58" s="537">
        <v>1.56</v>
      </c>
      <c r="T58" s="445" t="e">
        <f>+ROUND(E58*S58,10)</f>
        <v>#REF!</v>
      </c>
      <c r="V58" s="581" t="e">
        <f>+#REF!</f>
        <v>#REF!</v>
      </c>
      <c r="W58" s="582" t="e">
        <f>ROUND(V58*$D58,10)</f>
        <v>#REF!</v>
      </c>
      <c r="X58" s="581" t="e">
        <f>+#REF!</f>
        <v>#REF!</v>
      </c>
      <c r="Y58" s="582" t="e">
        <f>ROUND(X58*$D58,10)</f>
        <v>#REF!</v>
      </c>
      <c r="Z58" s="581" t="e">
        <f>+#REF!</f>
        <v>#REF!</v>
      </c>
      <c r="AA58" s="582" t="e">
        <f>ROUND(Z58*$D58,10)</f>
        <v>#REF!</v>
      </c>
      <c r="AB58" s="581" t="e">
        <f>+#REF!</f>
        <v>#REF!</v>
      </c>
      <c r="AC58" s="582" t="e">
        <f>ROUND(AB58*$D58,10)</f>
        <v>#REF!</v>
      </c>
      <c r="AE58" s="769" t="e">
        <f t="shared" si="0"/>
        <v>#REF!</v>
      </c>
    </row>
    <row r="59" spans="1:31" ht="15" customHeight="1" x14ac:dyDescent="0.2">
      <c r="A59" s="611" t="s">
        <v>647</v>
      </c>
      <c r="B59" s="601" t="s">
        <v>648</v>
      </c>
      <c r="C59" s="611" t="s">
        <v>155</v>
      </c>
      <c r="D59" s="576">
        <f t="shared" si="50"/>
        <v>20.520000000000003</v>
      </c>
      <c r="E59" s="577" t="e">
        <f>V59+X59+Z59+AB59</f>
        <v>#REF!</v>
      </c>
      <c r="F59" s="577" t="e">
        <f t="shared" si="51"/>
        <v>#REF!</v>
      </c>
      <c r="G59" s="578"/>
      <c r="I59" s="586"/>
      <c r="J59" s="585" t="e">
        <f>+ROUND(E59*I59,10)</f>
        <v>#REF!</v>
      </c>
      <c r="K59" s="537">
        <v>16.440000000000001</v>
      </c>
      <c r="L59" s="445" t="e">
        <f>+ROUND(E59*K59,10)</f>
        <v>#REF!</v>
      </c>
      <c r="M59" s="542"/>
      <c r="N59" s="445" t="e">
        <f>+ROUND(E59*M59,10)</f>
        <v>#REF!</v>
      </c>
      <c r="O59" s="542">
        <v>4.08</v>
      </c>
      <c r="P59" s="445" t="e">
        <f>+ROUND(E59*O59,10)</f>
        <v>#REF!</v>
      </c>
      <c r="Q59" s="537"/>
      <c r="R59" s="445" t="e">
        <f>+ROUND(E59*Q59,10)</f>
        <v>#REF!</v>
      </c>
      <c r="S59" s="537"/>
      <c r="T59" s="445" t="e">
        <f>+ROUND(E59*S59,10)</f>
        <v>#REF!</v>
      </c>
      <c r="V59" s="581" t="e">
        <f>+#REF!</f>
        <v>#REF!</v>
      </c>
      <c r="W59" s="582" t="e">
        <f>ROUND(V59*$D59,10)</f>
        <v>#REF!</v>
      </c>
      <c r="X59" s="581" t="e">
        <f>+#REF!</f>
        <v>#REF!</v>
      </c>
      <c r="Y59" s="582" t="e">
        <f>ROUND(X59*$D59,10)</f>
        <v>#REF!</v>
      </c>
      <c r="Z59" s="581" t="e">
        <f>+#REF!</f>
        <v>#REF!</v>
      </c>
      <c r="AA59" s="582" t="e">
        <f>ROUND(Z59*$D59,10)</f>
        <v>#REF!</v>
      </c>
      <c r="AB59" s="581"/>
      <c r="AC59" s="582">
        <f>ROUND(AB59*$D59,10)</f>
        <v>0</v>
      </c>
      <c r="AE59" s="769" t="e">
        <f t="shared" si="0"/>
        <v>#REF!</v>
      </c>
    </row>
    <row r="60" spans="1:31" ht="15" hidden="1" customHeight="1" x14ac:dyDescent="0.2">
      <c r="A60" s="611" t="s">
        <v>649</v>
      </c>
      <c r="B60" s="573" t="s">
        <v>650</v>
      </c>
      <c r="C60" s="611"/>
      <c r="D60" s="576"/>
      <c r="E60" s="577"/>
      <c r="F60" s="577"/>
      <c r="G60" s="578"/>
      <c r="I60" s="586"/>
      <c r="J60" s="585"/>
      <c r="K60" s="537"/>
      <c r="L60" s="445"/>
      <c r="M60" s="542"/>
      <c r="N60" s="445"/>
      <c r="O60" s="542"/>
      <c r="P60" s="445"/>
      <c r="Q60" s="542"/>
      <c r="R60" s="445"/>
      <c r="S60" s="542"/>
      <c r="T60" s="445"/>
      <c r="V60" s="581"/>
      <c r="W60" s="582"/>
      <c r="X60" s="581"/>
      <c r="Y60" s="582"/>
      <c r="Z60" s="581"/>
      <c r="AA60" s="582"/>
      <c r="AB60" s="581"/>
      <c r="AC60" s="582"/>
      <c r="AE60" s="769">
        <f t="shared" si="0"/>
        <v>0</v>
      </c>
    </row>
    <row r="61" spans="1:31" ht="15" hidden="1" customHeight="1" x14ac:dyDescent="0.2">
      <c r="A61" s="611" t="s">
        <v>651</v>
      </c>
      <c r="B61" s="601" t="s">
        <v>652</v>
      </c>
      <c r="C61" s="611" t="s">
        <v>114</v>
      </c>
      <c r="D61" s="576">
        <f t="shared" si="50"/>
        <v>0</v>
      </c>
      <c r="E61" s="577" t="e">
        <f>V61+X61+Z61+AB61</f>
        <v>#REF!</v>
      </c>
      <c r="F61" s="577" t="e">
        <f t="shared" si="51"/>
        <v>#REF!</v>
      </c>
      <c r="G61" s="578"/>
      <c r="I61" s="584"/>
      <c r="J61" s="585" t="e">
        <f>+ROUND(E61*I61,10)</f>
        <v>#REF!</v>
      </c>
      <c r="K61" s="537"/>
      <c r="L61" s="445" t="e">
        <f t="shared" ref="L61:L70" si="52">+ROUND(E61*K61,10)</f>
        <v>#REF!</v>
      </c>
      <c r="M61" s="542"/>
      <c r="N61" s="445" t="e">
        <f t="shared" ref="N61:N70" si="53">+ROUND(E61*M61,10)</f>
        <v>#REF!</v>
      </c>
      <c r="O61" s="542"/>
      <c r="P61" s="445" t="e">
        <f t="shared" ref="P61:P70" si="54">+ROUND(E61*O61,10)</f>
        <v>#REF!</v>
      </c>
      <c r="Q61" s="542"/>
      <c r="R61" s="445" t="e">
        <f t="shared" ref="R61:R70" si="55">+ROUND(E61*Q61,10)</f>
        <v>#REF!</v>
      </c>
      <c r="S61" s="542"/>
      <c r="T61" s="445" t="e">
        <f t="shared" ref="T61:T70" si="56">+ROUND(E61*S61,10)</f>
        <v>#REF!</v>
      </c>
      <c r="V61" s="581" t="e">
        <f>SUBTOTALMAT</f>
        <v>#REF!</v>
      </c>
      <c r="W61" s="582" t="e">
        <f t="shared" ref="W61:W70" si="57">ROUND(V61*$D61,10)</f>
        <v>#REF!</v>
      </c>
      <c r="X61" s="614">
        <f>'2,2,6,1 Pilotes 0,30'!I50</f>
        <v>22038.6</v>
      </c>
      <c r="Y61" s="582">
        <f t="shared" ref="Y61:Y70" si="58">ROUND(X61*$D61,10)</f>
        <v>0</v>
      </c>
      <c r="Z61" s="581">
        <f>+'2,2,6,1 Pilotes 0,30'!I30</f>
        <v>50986</v>
      </c>
      <c r="AA61" s="582">
        <f t="shared" ref="AA61:AA70" si="59">ROUND(Z61*$D61,10)</f>
        <v>0</v>
      </c>
      <c r="AB61" s="581">
        <f>+'2,2,6,1 Pilotes 0,30'!I41</f>
        <v>3839.9999999999995</v>
      </c>
      <c r="AC61" s="582">
        <f t="shared" ref="AC61:AC70" si="60">ROUND(AB61*$D61,10)</f>
        <v>0</v>
      </c>
      <c r="AE61" s="769" t="e">
        <f t="shared" si="0"/>
        <v>#REF!</v>
      </c>
    </row>
    <row r="62" spans="1:31" ht="15" hidden="1" customHeight="1" x14ac:dyDescent="0.2">
      <c r="A62" s="611" t="s">
        <v>653</v>
      </c>
      <c r="B62" s="601" t="s">
        <v>654</v>
      </c>
      <c r="C62" s="611" t="s">
        <v>114</v>
      </c>
      <c r="D62" s="576">
        <f t="shared" si="50"/>
        <v>0</v>
      </c>
      <c r="E62" s="577" t="e">
        <f>V62+X62+Z62+AB62</f>
        <v>#REF!</v>
      </c>
      <c r="F62" s="577" t="e">
        <f t="shared" si="51"/>
        <v>#REF!</v>
      </c>
      <c r="G62" s="578"/>
      <c r="I62" s="584"/>
      <c r="J62" s="585"/>
      <c r="K62" s="537"/>
      <c r="L62" s="445" t="e">
        <f t="shared" si="52"/>
        <v>#REF!</v>
      </c>
      <c r="M62" s="542"/>
      <c r="N62" s="445" t="e">
        <f t="shared" si="53"/>
        <v>#REF!</v>
      </c>
      <c r="O62" s="542"/>
      <c r="P62" s="445" t="e">
        <f t="shared" si="54"/>
        <v>#REF!</v>
      </c>
      <c r="Q62" s="542"/>
      <c r="R62" s="445" t="e">
        <f t="shared" si="55"/>
        <v>#REF!</v>
      </c>
      <c r="S62" s="542"/>
      <c r="T62" s="445" t="e">
        <f t="shared" si="56"/>
        <v>#REF!</v>
      </c>
      <c r="V62" s="581" t="e">
        <f>+'2,2,6,2 Pilotes 0,40'!SUBTOTALMAT</f>
        <v>#REF!</v>
      </c>
      <c r="W62" s="582" t="e">
        <f t="shared" si="57"/>
        <v>#REF!</v>
      </c>
      <c r="X62" s="581">
        <f>'2,2,6,2 Pilotes 0,40'!I50</f>
        <v>22038.6</v>
      </c>
      <c r="Y62" s="582">
        <f t="shared" si="58"/>
        <v>0</v>
      </c>
      <c r="Z62" s="581">
        <f>+'2,2,6,2 Pilotes 0,40'!I30</f>
        <v>56551</v>
      </c>
      <c r="AA62" s="582">
        <f t="shared" si="59"/>
        <v>0</v>
      </c>
      <c r="AB62" s="581">
        <f>+'2,2,6,2 Pilotes 0,40'!I41</f>
        <v>7466.666666666667</v>
      </c>
      <c r="AC62" s="582">
        <f t="shared" si="60"/>
        <v>0</v>
      </c>
      <c r="AE62" s="769" t="e">
        <f t="shared" si="0"/>
        <v>#REF!</v>
      </c>
    </row>
    <row r="63" spans="1:31" ht="15" hidden="1" customHeight="1" x14ac:dyDescent="0.2">
      <c r="A63" s="611" t="s">
        <v>655</v>
      </c>
      <c r="B63" s="601" t="s">
        <v>656</v>
      </c>
      <c r="C63" s="611" t="s">
        <v>114</v>
      </c>
      <c r="D63" s="576">
        <f t="shared" si="50"/>
        <v>0</v>
      </c>
      <c r="E63" s="577" t="e">
        <f>V63+X63+Z63+AB63</f>
        <v>#REF!</v>
      </c>
      <c r="F63" s="577" t="e">
        <f t="shared" si="51"/>
        <v>#REF!</v>
      </c>
      <c r="G63" s="578"/>
      <c r="I63" s="584"/>
      <c r="J63" s="585"/>
      <c r="K63" s="537"/>
      <c r="L63" s="445" t="e">
        <f t="shared" si="52"/>
        <v>#REF!</v>
      </c>
      <c r="M63" s="542"/>
      <c r="N63" s="445" t="e">
        <f t="shared" si="53"/>
        <v>#REF!</v>
      </c>
      <c r="O63" s="542"/>
      <c r="P63" s="445" t="e">
        <f t="shared" si="54"/>
        <v>#REF!</v>
      </c>
      <c r="Q63" s="542"/>
      <c r="R63" s="445" t="e">
        <f t="shared" si="55"/>
        <v>#REF!</v>
      </c>
      <c r="S63" s="542"/>
      <c r="T63" s="445" t="e">
        <f t="shared" si="56"/>
        <v>#REF!</v>
      </c>
      <c r="V63" s="581" t="e">
        <f>+'2,2,6,3 Pilotes 0,60'!SUBTOTALMAT</f>
        <v>#REF!</v>
      </c>
      <c r="W63" s="582" t="e">
        <f t="shared" si="57"/>
        <v>#REF!</v>
      </c>
      <c r="X63" s="581">
        <f>'2,2,6,3 Pilotes 0,60'!I50</f>
        <v>22038.6</v>
      </c>
      <c r="Y63" s="582">
        <f t="shared" si="58"/>
        <v>0</v>
      </c>
      <c r="Z63" s="581">
        <f>+'2,2,6,3 Pilotes 0,60'!I30</f>
        <v>82634.570000000007</v>
      </c>
      <c r="AA63" s="582">
        <f t="shared" si="59"/>
        <v>0</v>
      </c>
      <c r="AB63" s="581">
        <f>+'2,2,6,3 Pilotes 0,60'!I41</f>
        <v>16000</v>
      </c>
      <c r="AC63" s="582">
        <f t="shared" si="60"/>
        <v>0</v>
      </c>
      <c r="AE63" s="769" t="e">
        <f t="shared" si="0"/>
        <v>#REF!</v>
      </c>
    </row>
    <row r="64" spans="1:31" ht="15" hidden="1" customHeight="1" x14ac:dyDescent="0.2">
      <c r="A64" s="611" t="s">
        <v>657</v>
      </c>
      <c r="B64" s="601" t="s">
        <v>658</v>
      </c>
      <c r="C64" s="611" t="s">
        <v>114</v>
      </c>
      <c r="D64" s="576">
        <f t="shared" si="50"/>
        <v>0</v>
      </c>
      <c r="E64" s="577" t="e">
        <f t="shared" si="37"/>
        <v>#REF!</v>
      </c>
      <c r="F64" s="577" t="e">
        <f t="shared" si="51"/>
        <v>#REF!</v>
      </c>
      <c r="G64" s="578"/>
      <c r="I64" s="584"/>
      <c r="J64" s="585"/>
      <c r="K64" s="537"/>
      <c r="L64" s="445" t="e">
        <f t="shared" si="52"/>
        <v>#REF!</v>
      </c>
      <c r="M64" s="542"/>
      <c r="N64" s="445" t="e">
        <f t="shared" si="53"/>
        <v>#REF!</v>
      </c>
      <c r="O64" s="542"/>
      <c r="P64" s="445" t="e">
        <f t="shared" si="54"/>
        <v>#REF!</v>
      </c>
      <c r="Q64" s="542"/>
      <c r="R64" s="445" t="e">
        <f t="shared" si="55"/>
        <v>#REF!</v>
      </c>
      <c r="S64" s="542"/>
      <c r="T64" s="445" t="e">
        <f t="shared" si="56"/>
        <v>#REF!</v>
      </c>
      <c r="V64" s="581" t="e">
        <f>+'2,2,6,4 Pilotes 0,80'!SUBTOTALMAT</f>
        <v>#REF!</v>
      </c>
      <c r="W64" s="582" t="e">
        <f t="shared" si="57"/>
        <v>#REF!</v>
      </c>
      <c r="X64" s="581">
        <f>'2,2,6,4 Pilotes 0,80'!I50</f>
        <v>22038.6</v>
      </c>
      <c r="Y64" s="582">
        <f t="shared" si="58"/>
        <v>0</v>
      </c>
      <c r="Z64" s="581">
        <f>+'2,2,6,4 Pilotes 0,80'!I30</f>
        <v>139496</v>
      </c>
      <c r="AA64" s="582">
        <f t="shared" si="59"/>
        <v>0</v>
      </c>
      <c r="AB64" s="581">
        <f>+'2,2,6,4 Pilotes 0,80'!I41</f>
        <v>29333.333333333332</v>
      </c>
      <c r="AC64" s="582">
        <f t="shared" si="60"/>
        <v>0</v>
      </c>
      <c r="AE64" s="769" t="e">
        <f t="shared" si="0"/>
        <v>#REF!</v>
      </c>
    </row>
    <row r="65" spans="1:31" ht="15" hidden="1" customHeight="1" x14ac:dyDescent="0.2">
      <c r="A65" s="611" t="s">
        <v>659</v>
      </c>
      <c r="B65" s="601" t="s">
        <v>660</v>
      </c>
      <c r="C65" s="611" t="s">
        <v>114</v>
      </c>
      <c r="D65" s="576">
        <f t="shared" si="50"/>
        <v>0</v>
      </c>
      <c r="E65" s="577" t="e">
        <f t="shared" si="37"/>
        <v>#REF!</v>
      </c>
      <c r="F65" s="577" t="e">
        <f t="shared" si="51"/>
        <v>#REF!</v>
      </c>
      <c r="G65" s="578"/>
      <c r="I65" s="584"/>
      <c r="J65" s="585"/>
      <c r="K65" s="537"/>
      <c r="L65" s="445" t="e">
        <f t="shared" si="52"/>
        <v>#REF!</v>
      </c>
      <c r="M65" s="542"/>
      <c r="N65" s="445" t="e">
        <f t="shared" si="53"/>
        <v>#REF!</v>
      </c>
      <c r="O65" s="542"/>
      <c r="P65" s="445" t="e">
        <f t="shared" si="54"/>
        <v>#REF!</v>
      </c>
      <c r="Q65" s="542"/>
      <c r="R65" s="445" t="e">
        <f t="shared" si="55"/>
        <v>#REF!</v>
      </c>
      <c r="S65" s="542"/>
      <c r="T65" s="445" t="e">
        <f t="shared" si="56"/>
        <v>#REF!</v>
      </c>
      <c r="V65" s="581" t="e">
        <f>+'2,2,6,5 Pilotes 0,90 '!SUBTOTALMAT</f>
        <v>#REF!</v>
      </c>
      <c r="W65" s="582" t="e">
        <f t="shared" si="57"/>
        <v>#REF!</v>
      </c>
      <c r="X65" s="581">
        <f>'2,2,6,5 Pilotes 0,90 '!I50</f>
        <v>22038.6</v>
      </c>
      <c r="Y65" s="582">
        <f t="shared" si="58"/>
        <v>0</v>
      </c>
      <c r="Z65" s="581">
        <f>+'2,2,6,5 Pilotes 0,90 '!I30</f>
        <v>186666</v>
      </c>
      <c r="AA65" s="582">
        <f t="shared" si="59"/>
        <v>0</v>
      </c>
      <c r="AB65" s="581">
        <f>+'2,2,6,5 Pilotes 0,90 '!I41</f>
        <v>37333.333333333328</v>
      </c>
      <c r="AC65" s="582">
        <f t="shared" si="60"/>
        <v>0</v>
      </c>
      <c r="AE65" s="769" t="e">
        <f t="shared" si="0"/>
        <v>#REF!</v>
      </c>
    </row>
    <row r="66" spans="1:31" ht="15" hidden="1" customHeight="1" x14ac:dyDescent="0.2">
      <c r="A66" s="611" t="s">
        <v>661</v>
      </c>
      <c r="B66" s="601" t="s">
        <v>662</v>
      </c>
      <c r="C66" s="611" t="s">
        <v>155</v>
      </c>
      <c r="D66" s="576">
        <f t="shared" si="50"/>
        <v>0</v>
      </c>
      <c r="E66" s="577" t="e">
        <f t="shared" si="37"/>
        <v>#REF!</v>
      </c>
      <c r="F66" s="577" t="e">
        <f t="shared" si="51"/>
        <v>#REF!</v>
      </c>
      <c r="G66" s="578"/>
      <c r="I66" s="584"/>
      <c r="J66" s="585" t="e">
        <f>+ROUND(E66*I66,10)</f>
        <v>#REF!</v>
      </c>
      <c r="K66" s="537"/>
      <c r="L66" s="445" t="e">
        <f t="shared" si="52"/>
        <v>#REF!</v>
      </c>
      <c r="M66" s="542"/>
      <c r="N66" s="445" t="e">
        <f t="shared" si="53"/>
        <v>#REF!</v>
      </c>
      <c r="O66" s="542"/>
      <c r="P66" s="445" t="e">
        <f t="shared" si="54"/>
        <v>#REF!</v>
      </c>
      <c r="Q66" s="542"/>
      <c r="R66" s="445" t="e">
        <f t="shared" si="55"/>
        <v>#REF!</v>
      </c>
      <c r="S66" s="542"/>
      <c r="T66" s="445" t="e">
        <f t="shared" si="56"/>
        <v>#REF!</v>
      </c>
      <c r="V66" s="581" t="e">
        <f>+'2,2,7 Dados en concreto'!I19</f>
        <v>#REF!</v>
      </c>
      <c r="W66" s="582" t="e">
        <f t="shared" si="57"/>
        <v>#REF!</v>
      </c>
      <c r="X66" s="581">
        <f>+'2,2,7 Dados en concreto'!I50</f>
        <v>144031.95000000001</v>
      </c>
      <c r="Y66" s="582">
        <f t="shared" si="58"/>
        <v>0</v>
      </c>
      <c r="Z66" s="581">
        <f>+'2,2,7 Dados en concreto'!I30</f>
        <v>6360</v>
      </c>
      <c r="AA66" s="582">
        <f t="shared" si="59"/>
        <v>0</v>
      </c>
      <c r="AB66" s="581">
        <f>+'2,2,7 Dados en concreto'!I41</f>
        <v>0</v>
      </c>
      <c r="AC66" s="582">
        <f t="shared" si="60"/>
        <v>0</v>
      </c>
      <c r="AE66" s="769" t="e">
        <f t="shared" si="0"/>
        <v>#REF!</v>
      </c>
    </row>
    <row r="67" spans="1:31" ht="15" hidden="1" customHeight="1" x14ac:dyDescent="0.2">
      <c r="A67" s="611" t="s">
        <v>663</v>
      </c>
      <c r="B67" s="601" t="s">
        <v>664</v>
      </c>
      <c r="C67" s="611" t="s">
        <v>130</v>
      </c>
      <c r="D67" s="576">
        <f t="shared" si="50"/>
        <v>0</v>
      </c>
      <c r="E67" s="577" t="e">
        <f t="shared" si="37"/>
        <v>#REF!</v>
      </c>
      <c r="F67" s="577" t="e">
        <f t="shared" si="51"/>
        <v>#REF!</v>
      </c>
      <c r="G67" s="578"/>
      <c r="I67" s="584"/>
      <c r="J67" s="585" t="e">
        <f>+ROUND(E67*I67,10)</f>
        <v>#REF!</v>
      </c>
      <c r="K67" s="537"/>
      <c r="L67" s="445" t="e">
        <f t="shared" si="52"/>
        <v>#REF!</v>
      </c>
      <c r="M67" s="542"/>
      <c r="N67" s="445" t="e">
        <f t="shared" si="53"/>
        <v>#REF!</v>
      </c>
      <c r="O67" s="542"/>
      <c r="P67" s="445" t="e">
        <f t="shared" si="54"/>
        <v>#REF!</v>
      </c>
      <c r="Q67" s="542"/>
      <c r="R67" s="445" t="e">
        <f t="shared" si="55"/>
        <v>#REF!</v>
      </c>
      <c r="S67" s="542"/>
      <c r="T67" s="445" t="e">
        <f t="shared" si="56"/>
        <v>#REF!</v>
      </c>
      <c r="V67" s="581" t="e">
        <f>+'2,2,8 Placa Flotante 0,60'!I17</f>
        <v>#REF!</v>
      </c>
      <c r="W67" s="582" t="e">
        <f t="shared" si="57"/>
        <v>#REF!</v>
      </c>
      <c r="X67" s="581">
        <f>+'2,2,8 Placa Flotante 0,60'!I47</f>
        <v>44091.41</v>
      </c>
      <c r="Y67" s="582">
        <f t="shared" si="58"/>
        <v>0</v>
      </c>
      <c r="Z67" s="581">
        <f>+'2,2,8 Placa Flotante 0,60'!I27</f>
        <v>2273.6999999999998</v>
      </c>
      <c r="AA67" s="582">
        <f t="shared" si="59"/>
        <v>0</v>
      </c>
      <c r="AB67" s="581">
        <f>+'2,2,8 Placa Flotante 0,60'!I38</f>
        <v>0</v>
      </c>
      <c r="AC67" s="582">
        <f t="shared" si="60"/>
        <v>0</v>
      </c>
      <c r="AE67" s="769" t="e">
        <f t="shared" si="0"/>
        <v>#REF!</v>
      </c>
    </row>
    <row r="68" spans="1:31" ht="15.75" customHeight="1" x14ac:dyDescent="0.2">
      <c r="A68" s="611" t="s">
        <v>665</v>
      </c>
      <c r="B68" s="601" t="s">
        <v>666</v>
      </c>
      <c r="C68" s="611" t="s">
        <v>130</v>
      </c>
      <c r="D68" s="576">
        <f t="shared" si="50"/>
        <v>438.86</v>
      </c>
      <c r="E68" s="577" t="e">
        <f t="shared" si="37"/>
        <v>#REF!</v>
      </c>
      <c r="F68" s="577" t="e">
        <f t="shared" si="51"/>
        <v>#REF!</v>
      </c>
      <c r="G68" s="578"/>
      <c r="I68" s="586"/>
      <c r="J68" s="585" t="e">
        <f>+ROUND(E68*I68,10)</f>
        <v>#REF!</v>
      </c>
      <c r="K68" s="537">
        <v>368.71</v>
      </c>
      <c r="L68" s="445" t="e">
        <f t="shared" si="52"/>
        <v>#REF!</v>
      </c>
      <c r="M68" s="542"/>
      <c r="N68" s="445" t="e">
        <f t="shared" si="53"/>
        <v>#REF!</v>
      </c>
      <c r="O68" s="542">
        <v>70.150000000000006</v>
      </c>
      <c r="P68" s="445" t="e">
        <f t="shared" si="54"/>
        <v>#REF!</v>
      </c>
      <c r="Q68" s="542"/>
      <c r="R68" s="445" t="e">
        <f t="shared" si="55"/>
        <v>#REF!</v>
      </c>
      <c r="S68" s="542"/>
      <c r="T68" s="445" t="e">
        <f t="shared" si="56"/>
        <v>#REF!</v>
      </c>
      <c r="V68" s="581" t="e">
        <f>+'2,2,9 Reposicion -Placa'!I19</f>
        <v>#REF!</v>
      </c>
      <c r="W68" s="582" t="e">
        <f t="shared" si="57"/>
        <v>#REF!</v>
      </c>
      <c r="X68" s="581">
        <f>+'2,2,9 Reposicion -Placa'!I50</f>
        <v>11370.94</v>
      </c>
      <c r="Y68" s="582">
        <f t="shared" si="58"/>
        <v>4990250.7284000004</v>
      </c>
      <c r="Z68" s="581">
        <f>+'2,2,9 Reposicion -Placa'!I30</f>
        <v>2385</v>
      </c>
      <c r="AA68" s="582">
        <f t="shared" si="59"/>
        <v>1046681.1</v>
      </c>
      <c r="AB68" s="581"/>
      <c r="AC68" s="582">
        <f t="shared" si="60"/>
        <v>0</v>
      </c>
      <c r="AE68" s="769" t="e">
        <f t="shared" si="0"/>
        <v>#REF!</v>
      </c>
    </row>
    <row r="69" spans="1:31" ht="15" hidden="1" customHeight="1" x14ac:dyDescent="0.2">
      <c r="A69" s="611" t="s">
        <v>667</v>
      </c>
      <c r="B69" s="601" t="s">
        <v>668</v>
      </c>
      <c r="C69" s="611" t="s">
        <v>130</v>
      </c>
      <c r="D69" s="576">
        <f>+I69+K69+M69+O69+Q69+S69</f>
        <v>0</v>
      </c>
      <c r="E69" s="577" t="e">
        <f>V69+X69+Z69+AB69</f>
        <v>#REF!</v>
      </c>
      <c r="F69" s="577" t="e">
        <f>ROUND(D69*E69,10)</f>
        <v>#REF!</v>
      </c>
      <c r="G69" s="578"/>
      <c r="I69" s="584"/>
      <c r="J69" s="585" t="e">
        <f>+ROUND(E69*I69,10)</f>
        <v>#REF!</v>
      </c>
      <c r="K69" s="537"/>
      <c r="L69" s="445" t="e">
        <f>+ROUND(E69*K69,10)</f>
        <v>#REF!</v>
      </c>
      <c r="M69" s="542"/>
      <c r="N69" s="445" t="e">
        <f>+ROUND(E69*M69,10)</f>
        <v>#REF!</v>
      </c>
      <c r="O69" s="542"/>
      <c r="P69" s="445" t="e">
        <f>+ROUND(E69*O69,10)</f>
        <v>#REF!</v>
      </c>
      <c r="Q69" s="542"/>
      <c r="R69" s="445" t="e">
        <f>+ROUND(E69*Q69,10)</f>
        <v>#REF!</v>
      </c>
      <c r="S69" s="542"/>
      <c r="T69" s="445" t="e">
        <f>+ROUND(E69*S69,10)</f>
        <v>#REF!</v>
      </c>
      <c r="V69" s="581" t="e">
        <f>+'2,2,10 Placas cont= 0,125'!I19</f>
        <v>#REF!</v>
      </c>
      <c r="W69" s="582" t="e">
        <f>ROUND(V69*$D69,10)</f>
        <v>#REF!</v>
      </c>
      <c r="X69" s="581">
        <f>+'2,2,10 Placas cont= 0,125'!I50</f>
        <v>11370.94</v>
      </c>
      <c r="Y69" s="582">
        <f>ROUND(X69*$D69,10)</f>
        <v>0</v>
      </c>
      <c r="Z69" s="581">
        <f>+'2,2,10 Placas cont= 0,125'!I30</f>
        <v>2385</v>
      </c>
      <c r="AA69" s="582">
        <f>ROUND(Z69*$D69,10)</f>
        <v>0</v>
      </c>
      <c r="AB69" s="581">
        <f>+'2,2,10 Placas cont= 0,125'!I41</f>
        <v>0</v>
      </c>
      <c r="AC69" s="582">
        <f>ROUND(AB69*$D69,10)</f>
        <v>0</v>
      </c>
      <c r="AE69" s="769" t="e">
        <f t="shared" si="0"/>
        <v>#REF!</v>
      </c>
    </row>
    <row r="70" spans="1:31" ht="15.75" hidden="1" customHeight="1" x14ac:dyDescent="0.2">
      <c r="A70" s="611" t="s">
        <v>669</v>
      </c>
      <c r="B70" s="601" t="s">
        <v>670</v>
      </c>
      <c r="C70" s="611" t="s">
        <v>130</v>
      </c>
      <c r="D70" s="576">
        <f t="shared" si="50"/>
        <v>0</v>
      </c>
      <c r="E70" s="577" t="e">
        <f t="shared" si="37"/>
        <v>#REF!</v>
      </c>
      <c r="F70" s="577" t="e">
        <f t="shared" si="51"/>
        <v>#REF!</v>
      </c>
      <c r="G70" s="578"/>
      <c r="I70" s="597"/>
      <c r="J70" s="598" t="e">
        <f>+ROUND(E70*I70,10)</f>
        <v>#REF!</v>
      </c>
      <c r="K70" s="537"/>
      <c r="L70" s="445" t="e">
        <f t="shared" si="52"/>
        <v>#REF!</v>
      </c>
      <c r="M70" s="542"/>
      <c r="N70" s="445" t="e">
        <f t="shared" si="53"/>
        <v>#REF!</v>
      </c>
      <c r="O70" s="542"/>
      <c r="P70" s="445" t="e">
        <f t="shared" si="54"/>
        <v>#REF!</v>
      </c>
      <c r="Q70" s="542"/>
      <c r="R70" s="445" t="e">
        <f t="shared" si="55"/>
        <v>#REF!</v>
      </c>
      <c r="S70" s="542"/>
      <c r="T70" s="445" t="e">
        <f t="shared" si="56"/>
        <v>#REF!</v>
      </c>
      <c r="V70" s="581" t="e">
        <f>+'2,2,11 Placas cont= 0,15'!I19</f>
        <v>#REF!</v>
      </c>
      <c r="W70" s="582" t="e">
        <f t="shared" si="57"/>
        <v>#REF!</v>
      </c>
      <c r="X70" s="581">
        <f>+'2,2,11 Placas cont= 0,15'!I50</f>
        <v>12002.66</v>
      </c>
      <c r="Y70" s="582">
        <f t="shared" si="58"/>
        <v>0</v>
      </c>
      <c r="Z70" s="581">
        <f>+'2,2,11 Placas cont= 0,15'!I30</f>
        <v>1749</v>
      </c>
      <c r="AA70" s="582">
        <f t="shared" si="59"/>
        <v>0</v>
      </c>
      <c r="AB70" s="581">
        <f>+'2,2,11 Placas cont= 0,15'!I41</f>
        <v>0</v>
      </c>
      <c r="AC70" s="582">
        <f t="shared" si="60"/>
        <v>0</v>
      </c>
      <c r="AE70" s="769" t="e">
        <f t="shared" si="0"/>
        <v>#REF!</v>
      </c>
    </row>
    <row r="71" spans="1:31" s="568" customFormat="1" ht="18" customHeight="1" x14ac:dyDescent="0.2">
      <c r="A71" s="572" t="s">
        <v>671</v>
      </c>
      <c r="B71" s="573" t="s">
        <v>672</v>
      </c>
      <c r="C71" s="846"/>
      <c r="D71" s="576"/>
      <c r="E71" s="180"/>
      <c r="F71" s="180" t="e">
        <f>+ROUND(SUM(F72:F74),10)</f>
        <v>#REF!</v>
      </c>
      <c r="G71" s="473"/>
      <c r="I71" s="613"/>
      <c r="J71" s="440" t="e">
        <f>ROUND(SUM(J72:J74),10)</f>
        <v>#REF!</v>
      </c>
      <c r="K71" s="537"/>
      <c r="L71" s="180" t="e">
        <f>ROUND(SUM(L72:L74),10)</f>
        <v>#REF!</v>
      </c>
      <c r="M71" s="542"/>
      <c r="N71" s="180" t="e">
        <f>ROUND(SUM(N72:N74),10)</f>
        <v>#REF!</v>
      </c>
      <c r="O71" s="542"/>
      <c r="P71" s="180" t="e">
        <f>ROUND(SUM(P72:P74),10)</f>
        <v>#REF!</v>
      </c>
      <c r="Q71" s="542"/>
      <c r="R71" s="180" t="e">
        <f>ROUND(SUM(R72:R74),10)</f>
        <v>#REF!</v>
      </c>
      <c r="S71" s="542"/>
      <c r="T71" s="180" t="e">
        <f>ROUND(SUM(T72:T74),10)</f>
        <v>#REF!</v>
      </c>
      <c r="V71" s="575"/>
      <c r="W71" s="570" t="e">
        <f>ROUND(SUM(W72:W74),10)</f>
        <v>#REF!</v>
      </c>
      <c r="X71" s="575"/>
      <c r="Y71" s="570" t="e">
        <f>ROUND(SUM(Y72:Y74),10)</f>
        <v>#REF!</v>
      </c>
      <c r="Z71" s="575"/>
      <c r="AA71" s="570" t="e">
        <f>ROUND(SUM(AA72:AA74),10)</f>
        <v>#REF!</v>
      </c>
      <c r="AB71" s="575"/>
      <c r="AC71" s="570">
        <f>ROUND(SUM(AC72:AC74),10)</f>
        <v>0</v>
      </c>
      <c r="AE71" s="769" t="e">
        <f t="shared" si="0"/>
        <v>#REF!</v>
      </c>
    </row>
    <row r="72" spans="1:31" ht="15" customHeight="1" x14ac:dyDescent="0.2">
      <c r="A72" s="611" t="s">
        <v>673</v>
      </c>
      <c r="B72" s="601" t="s">
        <v>674</v>
      </c>
      <c r="C72" s="611" t="s">
        <v>119</v>
      </c>
      <c r="D72" s="576">
        <f>+I72+K72+M72+O72+Q72+S72</f>
        <v>831.2</v>
      </c>
      <c r="E72" s="577" t="e">
        <f t="shared" si="37"/>
        <v>#REF!</v>
      </c>
      <c r="F72" s="577" t="e">
        <f>ROUND(D72*E72,10)</f>
        <v>#REF!</v>
      </c>
      <c r="G72" s="578"/>
      <c r="I72" s="594"/>
      <c r="J72" s="580" t="e">
        <f>+ROUND(E72*I72,10)</f>
        <v>#REF!</v>
      </c>
      <c r="K72" s="537">
        <f>831.2*PA</f>
        <v>327.26727540808002</v>
      </c>
      <c r="L72" s="445" t="e">
        <f>+ROUND(E72*K72,10)</f>
        <v>#REF!</v>
      </c>
      <c r="M72" s="537">
        <f>831.2*PL</f>
        <v>0</v>
      </c>
      <c r="N72" s="445" t="e">
        <f>+ROUND(E72*M72,10)</f>
        <v>#REF!</v>
      </c>
      <c r="O72" s="537">
        <f>831.2*PB</f>
        <v>53.801800141199998</v>
      </c>
      <c r="P72" s="445" t="e">
        <f>+ROUND(E72*O72,10)</f>
        <v>#REF!</v>
      </c>
      <c r="Q72" s="537">
        <f>831.2*PC</f>
        <v>194.33829624400002</v>
      </c>
      <c r="R72" s="445" t="e">
        <f>+ROUND(E72*Q72,10)</f>
        <v>#REF!</v>
      </c>
      <c r="S72" s="537">
        <f>831.2*PE</f>
        <v>255.79262820672002</v>
      </c>
      <c r="T72" s="445" t="e">
        <f>+ROUND(E72*S72,10)</f>
        <v>#REF!</v>
      </c>
      <c r="V72" s="581" t="e">
        <f>+'2,3,1 Acero 37000 '!I19</f>
        <v>#REF!</v>
      </c>
      <c r="W72" s="582" t="e">
        <f>ROUND(V72*$D72,10)</f>
        <v>#REF!</v>
      </c>
      <c r="X72" s="581">
        <f>+'2,3,1 Acero 37000 '!I50</f>
        <v>360.08</v>
      </c>
      <c r="Y72" s="582">
        <f>ROUND(X72*$D72,10)</f>
        <v>299298.49599999998</v>
      </c>
      <c r="Z72" s="581">
        <f>+'2,3,1 Acero 37000 '!I30</f>
        <v>20.61</v>
      </c>
      <c r="AA72" s="582">
        <f>ROUND(Z72*$D72,10)</f>
        <v>17131.031999999999</v>
      </c>
      <c r="AB72" s="581">
        <f>+'2,3,1 Acero 37000 '!I41</f>
        <v>0</v>
      </c>
      <c r="AC72" s="582">
        <f>ROUND(AB72*$D72,10)</f>
        <v>0</v>
      </c>
      <c r="AE72" s="769" t="e">
        <f t="shared" si="0"/>
        <v>#REF!</v>
      </c>
    </row>
    <row r="73" spans="1:31" ht="15" customHeight="1" x14ac:dyDescent="0.2">
      <c r="A73" s="611" t="s">
        <v>675</v>
      </c>
      <c r="B73" s="601" t="s">
        <v>676</v>
      </c>
      <c r="C73" s="611" t="s">
        <v>119</v>
      </c>
      <c r="D73" s="576">
        <f>+I73+K73+M73+O73+Q73+S73</f>
        <v>2707.11</v>
      </c>
      <c r="E73" s="577" t="e">
        <f t="shared" si="37"/>
        <v>#REF!</v>
      </c>
      <c r="F73" s="577" t="e">
        <f>ROUND(D73*E73,10)</f>
        <v>#REF!</v>
      </c>
      <c r="G73" s="578"/>
      <c r="I73" s="586"/>
      <c r="J73" s="585" t="e">
        <f>+ROUND(E73*I73,10)</f>
        <v>#REF!</v>
      </c>
      <c r="K73" s="537">
        <f>2707.11*PA</f>
        <v>1065.866835815649</v>
      </c>
      <c r="L73" s="445" t="e">
        <f>+ROUND(E73*K73,10)</f>
        <v>#REF!</v>
      </c>
      <c r="M73" s="537">
        <f>2707.11*PL</f>
        <v>0</v>
      </c>
      <c r="N73" s="445" t="e">
        <f>+ROUND(E73*M73,10)</f>
        <v>#REF!</v>
      </c>
      <c r="O73" s="537">
        <f>2707.11*PB</f>
        <v>175.22544655948499</v>
      </c>
      <c r="P73" s="445" t="e">
        <f>+ROUND(E73*O73,10)</f>
        <v>#REF!</v>
      </c>
      <c r="Q73" s="537">
        <f>2707.11*PC</f>
        <v>632.93448645945</v>
      </c>
      <c r="R73" s="445" t="e">
        <f>+ROUND(E73*Q73,10)</f>
        <v>#REF!</v>
      </c>
      <c r="S73" s="537">
        <f>2707.11*PE</f>
        <v>833.08323116541612</v>
      </c>
      <c r="T73" s="445" t="e">
        <f>+ROUND(E73*S73,10)</f>
        <v>#REF!</v>
      </c>
      <c r="V73" s="581" t="e">
        <f>+#REF!</f>
        <v>#REF!</v>
      </c>
      <c r="W73" s="582" t="e">
        <f>ROUND(V73*$D73,10)</f>
        <v>#REF!</v>
      </c>
      <c r="X73" s="581" t="e">
        <f>+#REF!</f>
        <v>#REF!</v>
      </c>
      <c r="Y73" s="582" t="e">
        <f>ROUND(X73*$D73,10)</f>
        <v>#REF!</v>
      </c>
      <c r="Z73" s="581" t="e">
        <f>+#REF!</f>
        <v>#REF!</v>
      </c>
      <c r="AA73" s="582" t="e">
        <f>ROUND(Z73*$D73,10)</f>
        <v>#REF!</v>
      </c>
      <c r="AB73" s="581"/>
      <c r="AC73" s="582">
        <f>ROUND(AB73*$D73,10)</f>
        <v>0</v>
      </c>
      <c r="AE73" s="769" t="e">
        <f t="shared" si="0"/>
        <v>#REF!</v>
      </c>
    </row>
    <row r="74" spans="1:31" ht="15.75" customHeight="1" x14ac:dyDescent="0.2">
      <c r="A74" s="611" t="s">
        <v>677</v>
      </c>
      <c r="B74" s="601" t="s">
        <v>678</v>
      </c>
      <c r="C74" s="611" t="s">
        <v>119</v>
      </c>
      <c r="D74" s="576">
        <f>+I74+K74+M74+O74+Q74+S74</f>
        <v>1312.19</v>
      </c>
      <c r="E74" s="577" t="e">
        <f t="shared" si="37"/>
        <v>#REF!</v>
      </c>
      <c r="F74" s="577" t="e">
        <f>ROUND(D74*E74,10)</f>
        <v>#REF!</v>
      </c>
      <c r="G74" s="578"/>
      <c r="I74" s="612"/>
      <c r="J74" s="598" t="e">
        <f>+ROUND(E74*I74,10)</f>
        <v>#REF!</v>
      </c>
      <c r="K74" s="537">
        <v>1102.44</v>
      </c>
      <c r="L74" s="445" t="e">
        <f>+ROUND(E74*K74,10)</f>
        <v>#REF!</v>
      </c>
      <c r="M74" s="542"/>
      <c r="N74" s="445" t="e">
        <f>+ROUND(E74*M74,10)</f>
        <v>#REF!</v>
      </c>
      <c r="O74" s="537">
        <v>209.75</v>
      </c>
      <c r="P74" s="445" t="e">
        <f>+ROUND(E74*O74,10)</f>
        <v>#REF!</v>
      </c>
      <c r="Q74" s="537"/>
      <c r="R74" s="445" t="e">
        <f>+ROUND(E74*Q74,10)</f>
        <v>#REF!</v>
      </c>
      <c r="S74" s="537"/>
      <c r="T74" s="445" t="e">
        <f>+ROUND(E74*S74,10)</f>
        <v>#REF!</v>
      </c>
      <c r="V74" s="581" t="e">
        <f>+#REF!</f>
        <v>#REF!</v>
      </c>
      <c r="W74" s="582" t="e">
        <f>ROUND(V74*$D74,10)</f>
        <v>#REF!</v>
      </c>
      <c r="X74" s="581" t="e">
        <f>+#REF!</f>
        <v>#REF!</v>
      </c>
      <c r="Y74" s="582" t="e">
        <f>ROUND(X74*$D74,10)</f>
        <v>#REF!</v>
      </c>
      <c r="Z74" s="581" t="e">
        <f>+#REF!</f>
        <v>#REF!</v>
      </c>
      <c r="AA74" s="582" t="e">
        <f>ROUND(Z74*$D74,10)</f>
        <v>#REF!</v>
      </c>
      <c r="AB74" s="581"/>
      <c r="AC74" s="582">
        <f>ROUND(AB74*$D74,10)</f>
        <v>0</v>
      </c>
      <c r="AE74" s="769" t="e">
        <f t="shared" si="0"/>
        <v>#REF!</v>
      </c>
    </row>
    <row r="75" spans="1:31" s="568" customFormat="1" ht="18" hidden="1" customHeight="1" x14ac:dyDescent="0.2">
      <c r="A75" s="572" t="s">
        <v>679</v>
      </c>
      <c r="B75" s="573" t="s">
        <v>598</v>
      </c>
      <c r="C75" s="846"/>
      <c r="D75" s="576"/>
      <c r="E75" s="180"/>
      <c r="F75" s="180" t="e">
        <f>+ROUND(SUM(F76:F79),10)</f>
        <v>#REF!</v>
      </c>
      <c r="G75" s="473"/>
      <c r="I75" s="613"/>
      <c r="J75" s="440" t="e">
        <f>ROUND(SUM(J76:J79),10)</f>
        <v>#REF!</v>
      </c>
      <c r="K75" s="537"/>
      <c r="L75" s="180" t="e">
        <f>ROUND(SUM(L76:L79),10)</f>
        <v>#REF!</v>
      </c>
      <c r="M75" s="542"/>
      <c r="N75" s="180" t="e">
        <f>ROUND(SUM(N76:N79),10)</f>
        <v>#REF!</v>
      </c>
      <c r="O75" s="542"/>
      <c r="P75" s="180" t="e">
        <f>ROUND(SUM(P76:P79),10)</f>
        <v>#REF!</v>
      </c>
      <c r="Q75" s="542"/>
      <c r="R75" s="180" t="e">
        <f>ROUND(SUM(R76:R79),10)</f>
        <v>#REF!</v>
      </c>
      <c r="S75" s="542"/>
      <c r="T75" s="180" t="e">
        <f>ROUND(SUM(T76:T79),10)</f>
        <v>#REF!</v>
      </c>
      <c r="V75" s="575"/>
      <c r="W75" s="570" t="e">
        <f>ROUND(SUM(W76:W79),10)</f>
        <v>#REF!</v>
      </c>
      <c r="X75" s="575"/>
      <c r="Y75" s="570">
        <f>ROUND(SUM(Y76:Y79),10)</f>
        <v>0</v>
      </c>
      <c r="Z75" s="575"/>
      <c r="AA75" s="570">
        <f>ROUND(SUM(AA76:AA79),10)</f>
        <v>0</v>
      </c>
      <c r="AB75" s="575"/>
      <c r="AC75" s="570">
        <f>ROUND(SUM(AC76:AC79),10)</f>
        <v>0</v>
      </c>
      <c r="AE75" s="769" t="e">
        <f t="shared" si="0"/>
        <v>#REF!</v>
      </c>
    </row>
    <row r="76" spans="1:31" ht="15" hidden="1" customHeight="1" x14ac:dyDescent="0.2">
      <c r="A76" s="611" t="s">
        <v>680</v>
      </c>
      <c r="B76" s="601" t="s">
        <v>681</v>
      </c>
      <c r="C76" s="611" t="s">
        <v>155</v>
      </c>
      <c r="D76" s="576">
        <f>+I76+K76+M76+O76+Q76+S76</f>
        <v>0</v>
      </c>
      <c r="E76" s="577" t="e">
        <f t="shared" si="37"/>
        <v>#REF!</v>
      </c>
      <c r="F76" s="577" t="e">
        <f>ROUND(D76*E76,10)</f>
        <v>#REF!</v>
      </c>
      <c r="G76" s="578"/>
      <c r="I76" s="594"/>
      <c r="J76" s="580" t="e">
        <f>+ROUND(E76*I76,10)</f>
        <v>#REF!</v>
      </c>
      <c r="K76" s="537"/>
      <c r="L76" s="445" t="e">
        <f>+ROUND(E76*K76,10)</f>
        <v>#REF!</v>
      </c>
      <c r="M76" s="542"/>
      <c r="N76" s="445" t="e">
        <f>+ROUND(E76*M76,10)</f>
        <v>#REF!</v>
      </c>
      <c r="O76" s="542"/>
      <c r="P76" s="445" t="e">
        <f>+ROUND(E76*O76,10)</f>
        <v>#REF!</v>
      </c>
      <c r="Q76" s="542"/>
      <c r="R76" s="445" t="e">
        <f>+ROUND(E76*Q76,10)</f>
        <v>#REF!</v>
      </c>
      <c r="S76" s="542"/>
      <c r="T76" s="445" t="e">
        <f>+ROUND(E76*S76,10)</f>
        <v>#REF!</v>
      </c>
      <c r="V76" s="581" t="e">
        <f>+'2,4,1 Gaviones'!I19</f>
        <v>#REF!</v>
      </c>
      <c r="W76" s="582" t="e">
        <f>ROUND(V76*$D76,10)</f>
        <v>#REF!</v>
      </c>
      <c r="X76" s="581">
        <f>+'2,4,1 Gaviones'!I50</f>
        <v>135029.95000000001</v>
      </c>
      <c r="Y76" s="582">
        <f>ROUND(X76*$D76,10)</f>
        <v>0</v>
      </c>
      <c r="Z76" s="581">
        <f>+'2,4,1 Gaviones'!I30</f>
        <v>3710</v>
      </c>
      <c r="AA76" s="582">
        <f>ROUND(Z76*$D76,10)</f>
        <v>0</v>
      </c>
      <c r="AB76" s="581">
        <f>+'2,4,1 Gaviones'!I41</f>
        <v>0</v>
      </c>
      <c r="AC76" s="582">
        <f>ROUND(AB76*$D76,10)</f>
        <v>0</v>
      </c>
      <c r="AE76" s="769" t="e">
        <f t="shared" ref="AE76:AE139" si="61">SUM(AC76,AA76,Y76,W76)-SUM(T76,R76,P76,N76,L76)</f>
        <v>#REF!</v>
      </c>
    </row>
    <row r="77" spans="1:31" ht="15" hidden="1" customHeight="1" x14ac:dyDescent="0.2">
      <c r="A77" s="611" t="s">
        <v>682</v>
      </c>
      <c r="B77" s="601" t="s">
        <v>683</v>
      </c>
      <c r="C77" s="611" t="s">
        <v>114</v>
      </c>
      <c r="D77" s="576">
        <f>+I77+K77+M77+O77+Q77+S77</f>
        <v>0</v>
      </c>
      <c r="E77" s="577" t="e">
        <f t="shared" si="37"/>
        <v>#REF!</v>
      </c>
      <c r="F77" s="577" t="e">
        <f>ROUND(D77*E77,10)</f>
        <v>#REF!</v>
      </c>
      <c r="G77" s="578"/>
      <c r="I77" s="584"/>
      <c r="J77" s="585" t="e">
        <f>+ROUND(E77*I77,10)</f>
        <v>#REF!</v>
      </c>
      <c r="K77" s="537"/>
      <c r="L77" s="445" t="e">
        <f>+ROUND(E77*K77,10)</f>
        <v>#REF!</v>
      </c>
      <c r="M77" s="542"/>
      <c r="N77" s="445" t="e">
        <f>+ROUND(E77*M77,10)</f>
        <v>#REF!</v>
      </c>
      <c r="O77" s="542"/>
      <c r="P77" s="445" t="e">
        <f>+ROUND(E77*O77,10)</f>
        <v>#REF!</v>
      </c>
      <c r="Q77" s="542"/>
      <c r="R77" s="445" t="e">
        <f>+ROUND(E77*Q77,10)</f>
        <v>#REF!</v>
      </c>
      <c r="S77" s="542"/>
      <c r="T77" s="445" t="e">
        <f>+ROUND(E77*S77,10)</f>
        <v>#REF!</v>
      </c>
      <c r="V77" s="581" t="e">
        <f>+'2,4,2 Cajon aislamiento vigas'!I17</f>
        <v>#REF!</v>
      </c>
      <c r="W77" s="582" t="e">
        <f>ROUND(V77*$D77,10)</f>
        <v>#REF!</v>
      </c>
      <c r="X77" s="581">
        <f>+'2,4,2 Cajon aislamiento vigas'!I47</f>
        <v>8641.92</v>
      </c>
      <c r="Y77" s="582">
        <f>ROUND(X77*$D77,10)</f>
        <v>0</v>
      </c>
      <c r="Z77" s="581">
        <f>+'2,4,2 Cajon aislamiento vigas'!I27</f>
        <v>132.5</v>
      </c>
      <c r="AA77" s="582">
        <f>ROUND(Z77*$D77,10)</f>
        <v>0</v>
      </c>
      <c r="AB77" s="581">
        <f>+'2,4,2 Cajon aislamiento vigas'!I38</f>
        <v>0</v>
      </c>
      <c r="AC77" s="582">
        <f>ROUND(AB77*$D77,10)</f>
        <v>0</v>
      </c>
      <c r="AE77" s="769" t="e">
        <f t="shared" si="61"/>
        <v>#REF!</v>
      </c>
    </row>
    <row r="78" spans="1:31" ht="15" hidden="1" customHeight="1" x14ac:dyDescent="0.2">
      <c r="A78" s="611" t="s">
        <v>684</v>
      </c>
      <c r="B78" s="601" t="s">
        <v>685</v>
      </c>
      <c r="C78" s="611" t="s">
        <v>130</v>
      </c>
      <c r="D78" s="576">
        <f>+I78+K78+M78+O78+Q78+S78</f>
        <v>0</v>
      </c>
      <c r="E78" s="577" t="e">
        <f t="shared" si="37"/>
        <v>#REF!</v>
      </c>
      <c r="F78" s="577" t="e">
        <f>ROUND(D78*E78,10)</f>
        <v>#REF!</v>
      </c>
      <c r="G78" s="578"/>
      <c r="I78" s="584"/>
      <c r="J78" s="585" t="e">
        <f>+ROUND(E78*I78,10)</f>
        <v>#REF!</v>
      </c>
      <c r="K78" s="537"/>
      <c r="L78" s="445" t="e">
        <f>+ROUND(E78*K78,10)</f>
        <v>#REF!</v>
      </c>
      <c r="M78" s="542"/>
      <c r="N78" s="445" t="e">
        <f>+ROUND(E78*M78,10)</f>
        <v>#REF!</v>
      </c>
      <c r="O78" s="542"/>
      <c r="P78" s="445" t="e">
        <f>+ROUND(E78*O78,10)</f>
        <v>#REF!</v>
      </c>
      <c r="Q78" s="542"/>
      <c r="R78" s="445" t="e">
        <f>+ROUND(E78*Q78,10)</f>
        <v>#REF!</v>
      </c>
      <c r="S78" s="542"/>
      <c r="T78" s="445" t="e">
        <f>+ROUND(E78*S78,10)</f>
        <v>#REF!</v>
      </c>
      <c r="V78" s="581" t="e">
        <f>+'2,4,3 Icopor Aislante ciment. '!I17</f>
        <v>#REF!</v>
      </c>
      <c r="W78" s="582" t="e">
        <f>ROUND(V78*$D78,10)</f>
        <v>#REF!</v>
      </c>
      <c r="X78" s="581">
        <f>+'2,4,3 Icopor Aislante ciment. '!I47</f>
        <v>4320.96</v>
      </c>
      <c r="Y78" s="582">
        <f>ROUND(X78*$D78,10)</f>
        <v>0</v>
      </c>
      <c r="Z78" s="581">
        <f>+'2,4,3 Icopor Aislante ciment. '!I27</f>
        <v>132.5</v>
      </c>
      <c r="AA78" s="582">
        <f>ROUND(Z78*$D78,10)</f>
        <v>0</v>
      </c>
      <c r="AB78" s="581">
        <f>+'2,4,3 Icopor Aislante ciment. '!I38</f>
        <v>0</v>
      </c>
      <c r="AC78" s="582">
        <f>ROUND(AB78*$D78,10)</f>
        <v>0</v>
      </c>
      <c r="AE78" s="769" t="e">
        <f t="shared" si="61"/>
        <v>#REF!</v>
      </c>
    </row>
    <row r="79" spans="1:31" ht="15" hidden="1" customHeight="1" thickBot="1" x14ac:dyDescent="0.25">
      <c r="A79" s="611" t="s">
        <v>686</v>
      </c>
      <c r="B79" s="601" t="s">
        <v>687</v>
      </c>
      <c r="C79" s="611" t="s">
        <v>130</v>
      </c>
      <c r="D79" s="576">
        <f>+I79+K79+M79+O79+Q79+S79</f>
        <v>0</v>
      </c>
      <c r="E79" s="577" t="e">
        <f t="shared" si="37"/>
        <v>#REF!</v>
      </c>
      <c r="F79" s="577" t="e">
        <f>ROUND(D79*E79,10)</f>
        <v>#REF!</v>
      </c>
      <c r="G79" s="578"/>
      <c r="I79" s="602"/>
      <c r="J79" s="603" t="e">
        <f>+ROUND(E79*I79,10)</f>
        <v>#REF!</v>
      </c>
      <c r="K79" s="537"/>
      <c r="L79" s="445" t="e">
        <f>+ROUND(E79*K79,10)</f>
        <v>#REF!</v>
      </c>
      <c r="M79" s="542"/>
      <c r="N79" s="445" t="e">
        <f>+ROUND(E79*M79,10)</f>
        <v>#REF!</v>
      </c>
      <c r="O79" s="542"/>
      <c r="P79" s="445" t="e">
        <f>+ROUND(E79*O79,10)</f>
        <v>#REF!</v>
      </c>
      <c r="Q79" s="542"/>
      <c r="R79" s="445" t="e">
        <f>+ROUND(E79*Q79,10)</f>
        <v>#REF!</v>
      </c>
      <c r="S79" s="542"/>
      <c r="T79" s="445" t="e">
        <f>+ROUND(E79*S79,10)</f>
        <v>#REF!</v>
      </c>
      <c r="V79" s="581" t="e">
        <f>+'2,4,4 Pañete Taludes '!I19</f>
        <v>#REF!</v>
      </c>
      <c r="W79" s="582" t="e">
        <f>ROUND(V79*$D79,10)</f>
        <v>#REF!</v>
      </c>
      <c r="X79" s="581">
        <f>+'2,4,4 Pañete Taludes '!I50</f>
        <v>7316.65</v>
      </c>
      <c r="Y79" s="582">
        <f>ROUND(X79*$D79,10)</f>
        <v>0</v>
      </c>
      <c r="Z79" s="581">
        <f>+'2,4,4 Pañete Taludes '!I30</f>
        <v>111.3</v>
      </c>
      <c r="AA79" s="582">
        <f>ROUND(Z79*$D79,10)</f>
        <v>0</v>
      </c>
      <c r="AB79" s="581">
        <f>+'2,4,4 Pañete Taludes '!I41</f>
        <v>0</v>
      </c>
      <c r="AC79" s="582">
        <f>ROUND(AB79*$D79,10)</f>
        <v>0</v>
      </c>
      <c r="AE79" s="769" t="e">
        <f t="shared" si="61"/>
        <v>#REF!</v>
      </c>
    </row>
    <row r="80" spans="1:31" ht="6" customHeight="1" thickBot="1" x14ac:dyDescent="0.25">
      <c r="A80" s="910"/>
      <c r="B80" s="911"/>
      <c r="C80" s="910"/>
      <c r="G80" s="174"/>
      <c r="I80" s="604"/>
      <c r="J80" s="604"/>
      <c r="K80" s="605"/>
      <c r="L80" s="604"/>
      <c r="M80" s="606"/>
      <c r="N80" s="604"/>
      <c r="O80" s="606"/>
      <c r="P80" s="604"/>
      <c r="Q80" s="606"/>
      <c r="R80" s="604"/>
      <c r="S80" s="606"/>
      <c r="T80" s="604"/>
      <c r="V80" s="615"/>
      <c r="W80" s="615"/>
      <c r="X80" s="615"/>
      <c r="Y80" s="615"/>
      <c r="Z80" s="615"/>
      <c r="AA80" s="615"/>
      <c r="AB80" s="615"/>
      <c r="AC80" s="615"/>
      <c r="AE80" s="769"/>
    </row>
    <row r="81" spans="1:31" s="571" customFormat="1" ht="30" customHeight="1" thickTop="1" thickBot="1" x14ac:dyDescent="0.25">
      <c r="A81" s="564">
        <v>3</v>
      </c>
      <c r="B81" s="1068" t="s">
        <v>688</v>
      </c>
      <c r="C81" s="1069"/>
      <c r="D81" s="1069"/>
      <c r="E81" s="1069"/>
      <c r="F81" s="1070"/>
      <c r="G81" s="180" t="e">
        <f>+ROUND(+F82+F89+F96+F103+F113+F119,10)</f>
        <v>#REF!</v>
      </c>
      <c r="H81" s="568"/>
      <c r="I81" s="616"/>
      <c r="J81" s="439" t="e">
        <f>+ROUND(J82+J89+J96+J103+J113+J119,10)</f>
        <v>#REF!</v>
      </c>
      <c r="K81" s="617"/>
      <c r="L81" s="180" t="e">
        <f>+ROUND(L82+L89+L96+L103+L113+L119,10)</f>
        <v>#REF!</v>
      </c>
      <c r="M81" s="180"/>
      <c r="N81" s="180" t="e">
        <f>+ROUND(N82+N89+N96+N103+N113+N119,10)</f>
        <v>#REF!</v>
      </c>
      <c r="O81" s="180"/>
      <c r="P81" s="180" t="e">
        <f>+ROUND(P82+P89+P96+P103+P113+P119,10)</f>
        <v>#REF!</v>
      </c>
      <c r="Q81" s="180"/>
      <c r="R81" s="180" t="e">
        <f>+ROUND(R82+R89+R96+R103+R113+R119,10)</f>
        <v>#REF!</v>
      </c>
      <c r="S81" s="180"/>
      <c r="T81" s="180" t="e">
        <f>+ROUND(T82+T89+T96+T103+T113+T119,10)</f>
        <v>#REF!</v>
      </c>
      <c r="U81" s="568"/>
      <c r="V81" s="569" t="e">
        <f>W81/$G$81</f>
        <v>#REF!</v>
      </c>
      <c r="W81" s="570" t="e">
        <f>ROUND(W82+W89+W96+W103+W113+W119,10)</f>
        <v>#REF!</v>
      </c>
      <c r="X81" s="569" t="e">
        <f>Y81/$G$81</f>
        <v>#REF!</v>
      </c>
      <c r="Y81" s="570" t="e">
        <f>ROUND(Y82+Y89+Y96+Y103+Y113+Y119,10)</f>
        <v>#REF!</v>
      </c>
      <c r="Z81" s="569" t="e">
        <f>AA81/$G$81</f>
        <v>#REF!</v>
      </c>
      <c r="AA81" s="570" t="e">
        <f>ROUND(AA82+AA89+AA96+AA103+AA113+AA119,10)</f>
        <v>#REF!</v>
      </c>
      <c r="AB81" s="569" t="e">
        <f>AC81/$G$81</f>
        <v>#REF!</v>
      </c>
      <c r="AC81" s="570" t="e">
        <f>ROUND(AC82+AC89+AC96+AC103+AC113+AC119,10)</f>
        <v>#REF!</v>
      </c>
      <c r="AE81" s="769" t="e">
        <f t="shared" si="61"/>
        <v>#REF!</v>
      </c>
    </row>
    <row r="82" spans="1:31" s="571" customFormat="1" ht="18" customHeight="1" thickTop="1" x14ac:dyDescent="0.2">
      <c r="A82" s="572" t="s">
        <v>689</v>
      </c>
      <c r="B82" s="573" t="s">
        <v>690</v>
      </c>
      <c r="C82" s="846"/>
      <c r="D82" s="576"/>
      <c r="E82" s="180"/>
      <c r="F82" s="180" t="e">
        <f>+ROUND(SUM(F83:F88),10)</f>
        <v>#REF!</v>
      </c>
      <c r="G82" s="473"/>
      <c r="H82" s="568"/>
      <c r="I82" s="618"/>
      <c r="J82" s="439" t="e">
        <f>ROUND(SUM(J83:J88),10)</f>
        <v>#REF!</v>
      </c>
      <c r="K82" s="539"/>
      <c r="L82" s="180" t="e">
        <f>ROUND(SUM(L83:L88),10)</f>
        <v>#REF!</v>
      </c>
      <c r="M82" s="544"/>
      <c r="N82" s="180" t="e">
        <f>ROUND(SUM(N83:N88),10)</f>
        <v>#REF!</v>
      </c>
      <c r="O82" s="544"/>
      <c r="P82" s="180" t="e">
        <f>ROUND(SUM(P83:P88),10)</f>
        <v>#REF!</v>
      </c>
      <c r="Q82" s="544"/>
      <c r="R82" s="180" t="e">
        <f>ROUND(SUM(R83:R88),10)</f>
        <v>#REF!</v>
      </c>
      <c r="S82" s="544"/>
      <c r="T82" s="180" t="e">
        <f>ROUND(SUM(T83:T88),10)</f>
        <v>#REF!</v>
      </c>
      <c r="U82" s="568"/>
      <c r="V82" s="575"/>
      <c r="W82" s="570" t="e">
        <f>ROUND(SUM(W83:W88),10)</f>
        <v>#REF!</v>
      </c>
      <c r="X82" s="575"/>
      <c r="Y82" s="570" t="e">
        <f>ROUND(SUM(Y83:Y88),10)</f>
        <v>#REF!</v>
      </c>
      <c r="Z82" s="575"/>
      <c r="AA82" s="570" t="e">
        <f>ROUND(SUM(AA83:AA88),10)</f>
        <v>#REF!</v>
      </c>
      <c r="AB82" s="575"/>
      <c r="AC82" s="570" t="e">
        <f>ROUND(SUM(AC83:AC88),10)</f>
        <v>#REF!</v>
      </c>
      <c r="AE82" s="769" t="e">
        <f t="shared" si="61"/>
        <v>#REF!</v>
      </c>
    </row>
    <row r="83" spans="1:31" ht="15" hidden="1" customHeight="1" x14ac:dyDescent="0.2">
      <c r="A83" s="627" t="s">
        <v>691</v>
      </c>
      <c r="B83" s="610" t="s">
        <v>692</v>
      </c>
      <c r="C83" s="611" t="s">
        <v>114</v>
      </c>
      <c r="D83" s="576">
        <f t="shared" ref="D83:D88" si="62">+I83+K83+M83+O83+Q83+S83</f>
        <v>0</v>
      </c>
      <c r="E83" s="577" t="e">
        <f t="shared" ref="E83:E120" si="63">V83+X83+Z83+AB83</f>
        <v>#REF!</v>
      </c>
      <c r="F83" s="577" t="e">
        <f t="shared" ref="F83:F88" si="64">ROUND(D83*E83,10)</f>
        <v>#REF!</v>
      </c>
      <c r="G83" s="578"/>
      <c r="I83" s="594"/>
      <c r="J83" s="580" t="e">
        <f t="shared" ref="J83:J88" si="65">+ROUND(E83*I83,10)</f>
        <v>#REF!</v>
      </c>
      <c r="K83" s="538"/>
      <c r="L83" s="445" t="e">
        <f t="shared" ref="L83:L88" si="66">+ROUND(E83*K83,10)</f>
        <v>#REF!</v>
      </c>
      <c r="M83" s="542"/>
      <c r="N83" s="445" t="e">
        <f t="shared" ref="N83:N88" si="67">+ROUND(E83*M83,10)</f>
        <v>#REF!</v>
      </c>
      <c r="O83" s="542"/>
      <c r="P83" s="445" t="e">
        <f t="shared" ref="P83:P88" si="68">+ROUND(E83*O83,10)</f>
        <v>#REF!</v>
      </c>
      <c r="Q83" s="542"/>
      <c r="R83" s="445" t="e">
        <f t="shared" ref="R83:R88" si="69">+ROUND(E83*Q83,10)</f>
        <v>#REF!</v>
      </c>
      <c r="S83" s="542"/>
      <c r="T83" s="445" t="e">
        <f t="shared" ref="T83:T88" si="70">+ROUND(E83*S83,10)</f>
        <v>#REF!</v>
      </c>
      <c r="V83" s="581" t="e">
        <f>+'3,1,1 Novafort A.LL. 4" 110mm '!I19</f>
        <v>#REF!</v>
      </c>
      <c r="W83" s="582" t="e">
        <f t="shared" ref="W83:W88" si="71">ROUND(V83*$D83,10)</f>
        <v>#REF!</v>
      </c>
      <c r="X83" s="581">
        <f>+'3,1,1 Novafort A.LL. 4" 110mm '!I50</f>
        <v>13804.82</v>
      </c>
      <c r="Y83" s="582">
        <f t="shared" ref="Y83:Y88" si="72">ROUND(X83*$D83,10)</f>
        <v>0</v>
      </c>
      <c r="Z83" s="581">
        <f>+'3,1,1 Novafort A.LL. 4" 110mm '!I30</f>
        <v>3375.26</v>
      </c>
      <c r="AA83" s="582">
        <f t="shared" ref="AA83:AA88" si="73">ROUND(Z83*$D83,10)</f>
        <v>0</v>
      </c>
      <c r="AB83" s="581">
        <f>+'3,1,1 Novafort A.LL. 4" 110mm '!I41</f>
        <v>0</v>
      </c>
      <c r="AC83" s="582">
        <f t="shared" ref="AC83:AC88" si="74">ROUND(AB83*$D83,10)</f>
        <v>0</v>
      </c>
      <c r="AE83" s="769" t="e">
        <f t="shared" si="61"/>
        <v>#REF!</v>
      </c>
    </row>
    <row r="84" spans="1:31" ht="15" customHeight="1" x14ac:dyDescent="0.2">
      <c r="A84" s="627" t="s">
        <v>693</v>
      </c>
      <c r="B84" s="610" t="s">
        <v>694</v>
      </c>
      <c r="C84" s="611" t="s">
        <v>114</v>
      </c>
      <c r="D84" s="576">
        <f t="shared" si="62"/>
        <v>78.7</v>
      </c>
      <c r="E84" s="577" t="e">
        <f t="shared" si="63"/>
        <v>#REF!</v>
      </c>
      <c r="F84" s="577" t="e">
        <f t="shared" si="64"/>
        <v>#REF!</v>
      </c>
      <c r="G84" s="578"/>
      <c r="I84" s="584"/>
      <c r="J84" s="585" t="e">
        <f t="shared" si="65"/>
        <v>#REF!</v>
      </c>
      <c r="K84" s="537"/>
      <c r="L84" s="445" t="e">
        <f t="shared" si="66"/>
        <v>#REF!</v>
      </c>
      <c r="M84" s="542"/>
      <c r="N84" s="445" t="e">
        <f t="shared" si="67"/>
        <v>#REF!</v>
      </c>
      <c r="O84" s="542"/>
      <c r="P84" s="445" t="e">
        <f t="shared" si="68"/>
        <v>#REF!</v>
      </c>
      <c r="Q84" s="542">
        <v>78.7</v>
      </c>
      <c r="R84" s="445" t="e">
        <f t="shared" si="69"/>
        <v>#REF!</v>
      </c>
      <c r="S84" s="542"/>
      <c r="T84" s="445" t="e">
        <f t="shared" si="70"/>
        <v>#REF!</v>
      </c>
      <c r="V84" s="581" t="e">
        <f>+#REF!</f>
        <v>#REF!</v>
      </c>
      <c r="W84" s="582" t="e">
        <f t="shared" si="71"/>
        <v>#REF!</v>
      </c>
      <c r="X84" s="581" t="e">
        <f>+#REF!</f>
        <v>#REF!</v>
      </c>
      <c r="Y84" s="582" t="e">
        <f t="shared" si="72"/>
        <v>#REF!</v>
      </c>
      <c r="Z84" s="581" t="e">
        <f>+#REF!</f>
        <v>#REF!</v>
      </c>
      <c r="AA84" s="582" t="e">
        <f t="shared" si="73"/>
        <v>#REF!</v>
      </c>
      <c r="AB84" s="581" t="e">
        <f>+#REF!</f>
        <v>#REF!</v>
      </c>
      <c r="AC84" s="582" t="e">
        <f t="shared" si="74"/>
        <v>#REF!</v>
      </c>
      <c r="AE84" s="769" t="e">
        <f t="shared" si="61"/>
        <v>#REF!</v>
      </c>
    </row>
    <row r="85" spans="1:31" ht="15" hidden="1" customHeight="1" x14ac:dyDescent="0.2">
      <c r="A85" s="627" t="s">
        <v>695</v>
      </c>
      <c r="B85" s="610" t="s">
        <v>696</v>
      </c>
      <c r="C85" s="611" t="s">
        <v>114</v>
      </c>
      <c r="D85" s="576">
        <f t="shared" si="62"/>
        <v>0</v>
      </c>
      <c r="E85" s="577" t="e">
        <f t="shared" si="63"/>
        <v>#REF!</v>
      </c>
      <c r="F85" s="577" t="e">
        <f t="shared" si="64"/>
        <v>#REF!</v>
      </c>
      <c r="G85" s="578"/>
      <c r="I85" s="584"/>
      <c r="J85" s="585" t="e">
        <f t="shared" si="65"/>
        <v>#REF!</v>
      </c>
      <c r="K85" s="537"/>
      <c r="L85" s="445" t="e">
        <f t="shared" si="66"/>
        <v>#REF!</v>
      </c>
      <c r="M85" s="542"/>
      <c r="N85" s="445" t="e">
        <f t="shared" si="67"/>
        <v>#REF!</v>
      </c>
      <c r="O85" s="542"/>
      <c r="P85" s="445" t="e">
        <f t="shared" si="68"/>
        <v>#REF!</v>
      </c>
      <c r="Q85" s="542"/>
      <c r="R85" s="445" t="e">
        <f t="shared" si="69"/>
        <v>#REF!</v>
      </c>
      <c r="S85" s="542"/>
      <c r="T85" s="445" t="e">
        <f t="shared" si="70"/>
        <v>#REF!</v>
      </c>
      <c r="V85" s="581" t="e">
        <f>+'3,1,3 Novafort A.LL 8"200 mm   '!I19</f>
        <v>#REF!</v>
      </c>
      <c r="W85" s="582" t="e">
        <f t="shared" si="71"/>
        <v>#REF!</v>
      </c>
      <c r="X85" s="581">
        <f>+'3,1,3 Novafort A.LL 8"200 mm   '!I50</f>
        <v>13804.82</v>
      </c>
      <c r="Y85" s="582">
        <f t="shared" si="72"/>
        <v>0</v>
      </c>
      <c r="Z85" s="581">
        <f>+'3,1,3 Novafort A.LL 8"200 mm   '!I30</f>
        <v>3375.26</v>
      </c>
      <c r="AA85" s="582">
        <f t="shared" si="73"/>
        <v>0</v>
      </c>
      <c r="AB85" s="581">
        <f>+'3,1,3 Novafort A.LL 8"200 mm   '!I41</f>
        <v>0</v>
      </c>
      <c r="AC85" s="582">
        <f t="shared" si="74"/>
        <v>0</v>
      </c>
      <c r="AE85" s="769" t="e">
        <f t="shared" si="61"/>
        <v>#REF!</v>
      </c>
    </row>
    <row r="86" spans="1:31" ht="15" hidden="1" customHeight="1" x14ac:dyDescent="0.2">
      <c r="A86" s="627" t="s">
        <v>697</v>
      </c>
      <c r="B86" s="610" t="s">
        <v>698</v>
      </c>
      <c r="C86" s="611" t="s">
        <v>111</v>
      </c>
      <c r="D86" s="576">
        <f t="shared" si="62"/>
        <v>0</v>
      </c>
      <c r="E86" s="577" t="e">
        <f>V86+X86+Z86+AB86</f>
        <v>#REF!</v>
      </c>
      <c r="F86" s="577" t="e">
        <f t="shared" si="64"/>
        <v>#REF!</v>
      </c>
      <c r="G86" s="578"/>
      <c r="I86" s="584"/>
      <c r="J86" s="585" t="e">
        <f t="shared" si="65"/>
        <v>#REF!</v>
      </c>
      <c r="K86" s="537"/>
      <c r="L86" s="445" t="e">
        <f t="shared" si="66"/>
        <v>#REF!</v>
      </c>
      <c r="M86" s="542"/>
      <c r="N86" s="445" t="e">
        <f t="shared" si="67"/>
        <v>#REF!</v>
      </c>
      <c r="O86" s="542"/>
      <c r="P86" s="445" t="e">
        <f t="shared" si="68"/>
        <v>#REF!</v>
      </c>
      <c r="Q86" s="542"/>
      <c r="R86" s="445" t="e">
        <f t="shared" si="69"/>
        <v>#REF!</v>
      </c>
      <c r="S86" s="542"/>
      <c r="T86" s="445" t="e">
        <f t="shared" si="70"/>
        <v>#REF!</v>
      </c>
      <c r="V86" s="581" t="e">
        <f>+'3,1,4 Novafort 10"A.LL. 255mm '!I19</f>
        <v>#REF!</v>
      </c>
      <c r="W86" s="582" t="e">
        <f t="shared" si="71"/>
        <v>#REF!</v>
      </c>
      <c r="X86" s="581">
        <f>+'3,1,4 Novafort 10"A.LL. 255mm '!I50</f>
        <v>14417</v>
      </c>
      <c r="Y86" s="582">
        <f t="shared" si="72"/>
        <v>0</v>
      </c>
      <c r="Z86" s="581">
        <f>+'3,1,4 Novafort 10"A.LL. 255mm '!I30</f>
        <v>3375.26</v>
      </c>
      <c r="AA86" s="582">
        <f t="shared" si="73"/>
        <v>0</v>
      </c>
      <c r="AB86" s="581">
        <f>+'3,1,4 Novafort 10"A.LL. 255mm '!I41</f>
        <v>0</v>
      </c>
      <c r="AC86" s="582">
        <f t="shared" si="74"/>
        <v>0</v>
      </c>
      <c r="AE86" s="769" t="e">
        <f t="shared" si="61"/>
        <v>#REF!</v>
      </c>
    </row>
    <row r="87" spans="1:31" ht="15.75" hidden="1" customHeight="1" x14ac:dyDescent="0.2">
      <c r="A87" s="627" t="s">
        <v>699</v>
      </c>
      <c r="B87" s="610" t="s">
        <v>700</v>
      </c>
      <c r="C87" s="611" t="s">
        <v>111</v>
      </c>
      <c r="D87" s="576">
        <f t="shared" si="62"/>
        <v>0</v>
      </c>
      <c r="E87" s="577" t="e">
        <f t="shared" si="63"/>
        <v>#REF!</v>
      </c>
      <c r="F87" s="577" t="e">
        <f t="shared" si="64"/>
        <v>#REF!</v>
      </c>
      <c r="G87" s="578"/>
      <c r="I87" s="584"/>
      <c r="J87" s="585" t="e">
        <f t="shared" si="65"/>
        <v>#REF!</v>
      </c>
      <c r="K87" s="537"/>
      <c r="L87" s="445" t="e">
        <f t="shared" si="66"/>
        <v>#REF!</v>
      </c>
      <c r="M87" s="542"/>
      <c r="N87" s="445" t="e">
        <f t="shared" si="67"/>
        <v>#REF!</v>
      </c>
      <c r="O87" s="542"/>
      <c r="P87" s="445" t="e">
        <f t="shared" si="68"/>
        <v>#REF!</v>
      </c>
      <c r="Q87" s="542"/>
      <c r="R87" s="445" t="e">
        <f t="shared" si="69"/>
        <v>#REF!</v>
      </c>
      <c r="S87" s="542"/>
      <c r="T87" s="445" t="e">
        <f t="shared" si="70"/>
        <v>#REF!</v>
      </c>
      <c r="V87" s="581" t="e">
        <f>+'3,1,5 Novafort A.LL.12" 315mm  '!I19</f>
        <v>#REF!</v>
      </c>
      <c r="W87" s="582" t="e">
        <f t="shared" si="71"/>
        <v>#REF!</v>
      </c>
      <c r="X87" s="581">
        <f>+'3,1,5 Novafort A.LL.12" 315mm  '!I50</f>
        <v>17295.150000000001</v>
      </c>
      <c r="Y87" s="582">
        <f t="shared" si="72"/>
        <v>0</v>
      </c>
      <c r="Z87" s="581">
        <f>+'3,1,5 Novafort A.LL.12" 315mm  '!I30</f>
        <v>3375.26</v>
      </c>
      <c r="AA87" s="582">
        <f t="shared" si="73"/>
        <v>0</v>
      </c>
      <c r="AB87" s="581">
        <f>+'3,1,5 Novafort A.LL.12" 315mm  '!I41</f>
        <v>0</v>
      </c>
      <c r="AC87" s="582">
        <f t="shared" si="74"/>
        <v>0</v>
      </c>
      <c r="AE87" s="769" t="e">
        <f t="shared" si="61"/>
        <v>#REF!</v>
      </c>
    </row>
    <row r="88" spans="1:31" ht="15.75" hidden="1" customHeight="1" x14ac:dyDescent="0.2">
      <c r="A88" s="627" t="s">
        <v>701</v>
      </c>
      <c r="B88" s="610" t="s">
        <v>702</v>
      </c>
      <c r="C88" s="611" t="s">
        <v>111</v>
      </c>
      <c r="D88" s="576">
        <f t="shared" si="62"/>
        <v>0</v>
      </c>
      <c r="E88" s="577" t="e">
        <f t="shared" si="63"/>
        <v>#REF!</v>
      </c>
      <c r="F88" s="577" t="e">
        <f t="shared" si="64"/>
        <v>#REF!</v>
      </c>
      <c r="G88" s="578"/>
      <c r="I88" s="597"/>
      <c r="J88" s="598" t="e">
        <f t="shared" si="65"/>
        <v>#REF!</v>
      </c>
      <c r="K88" s="537"/>
      <c r="L88" s="445" t="e">
        <f t="shared" si="66"/>
        <v>#REF!</v>
      </c>
      <c r="M88" s="542"/>
      <c r="N88" s="445" t="e">
        <f t="shared" si="67"/>
        <v>#REF!</v>
      </c>
      <c r="O88" s="542"/>
      <c r="P88" s="445" t="e">
        <f t="shared" si="68"/>
        <v>#REF!</v>
      </c>
      <c r="Q88" s="542"/>
      <c r="R88" s="445" t="e">
        <f t="shared" si="69"/>
        <v>#REF!</v>
      </c>
      <c r="S88" s="542"/>
      <c r="T88" s="445" t="e">
        <f t="shared" si="70"/>
        <v>#REF!</v>
      </c>
      <c r="V88" s="581" t="e">
        <f>+'3,1,6  Acc. Novafort. A.LL'!I19</f>
        <v>#REF!</v>
      </c>
      <c r="W88" s="582" t="e">
        <f t="shared" si="71"/>
        <v>#REF!</v>
      </c>
      <c r="X88" s="581">
        <f>+'3,1,6  Acc. Novafort. A.LL'!I50</f>
        <v>5234.25</v>
      </c>
      <c r="Y88" s="582">
        <f t="shared" si="72"/>
        <v>0</v>
      </c>
      <c r="Z88" s="581">
        <f>+'3,1,6  Acc. Novafort. A.LL'!I30</f>
        <v>97.63</v>
      </c>
      <c r="AA88" s="582">
        <f t="shared" si="73"/>
        <v>0</v>
      </c>
      <c r="AB88" s="581">
        <f>+'3,1,6  Acc. Novafort. A.LL'!I41</f>
        <v>0</v>
      </c>
      <c r="AC88" s="582">
        <f t="shared" si="74"/>
        <v>0</v>
      </c>
      <c r="AE88" s="769" t="e">
        <f t="shared" si="61"/>
        <v>#REF!</v>
      </c>
    </row>
    <row r="89" spans="1:31" s="568" customFormat="1" ht="18" customHeight="1" x14ac:dyDescent="0.2">
      <c r="A89" s="572" t="s">
        <v>703</v>
      </c>
      <c r="B89" s="573" t="s">
        <v>704</v>
      </c>
      <c r="C89" s="846"/>
      <c r="D89" s="576"/>
      <c r="E89" s="577"/>
      <c r="F89" s="180" t="e">
        <f>+ROUND(SUM(F90:F95),10)</f>
        <v>#REF!</v>
      </c>
      <c r="G89" s="473"/>
      <c r="I89" s="621"/>
      <c r="J89" s="440" t="e">
        <f>ROUND(SUM(J90:J95),10)</f>
        <v>#REF!</v>
      </c>
      <c r="K89" s="539"/>
      <c r="L89" s="180" t="e">
        <f>ROUND(SUM(L90:L95),10)</f>
        <v>#REF!</v>
      </c>
      <c r="M89" s="544"/>
      <c r="N89" s="180" t="e">
        <f>ROUND(SUM(N90:N95),10)</f>
        <v>#REF!</v>
      </c>
      <c r="O89" s="544"/>
      <c r="P89" s="180" t="e">
        <f>ROUND(SUM(P90:P95),10)</f>
        <v>#REF!</v>
      </c>
      <c r="Q89" s="544"/>
      <c r="R89" s="180" t="e">
        <f>ROUND(SUM(R90:R95),10)</f>
        <v>#REF!</v>
      </c>
      <c r="S89" s="544"/>
      <c r="T89" s="180" t="e">
        <f>ROUND(SUM(T90:T95),10)</f>
        <v>#REF!</v>
      </c>
      <c r="V89" s="575"/>
      <c r="W89" s="570" t="e">
        <f>ROUND(SUM(W90:W95),10)</f>
        <v>#REF!</v>
      </c>
      <c r="X89" s="575"/>
      <c r="Y89" s="570" t="e">
        <f>ROUND(SUM(Y90:Y95),10)</f>
        <v>#REF!</v>
      </c>
      <c r="Z89" s="575"/>
      <c r="AA89" s="570" t="e">
        <f>ROUND(SUM(AA90:AA95),10)</f>
        <v>#REF!</v>
      </c>
      <c r="AB89" s="575"/>
      <c r="AC89" s="570" t="e">
        <f>ROUND(SUM(AC90:AC95),10)</f>
        <v>#REF!</v>
      </c>
      <c r="AE89" s="769" t="e">
        <f t="shared" si="61"/>
        <v>#REF!</v>
      </c>
    </row>
    <row r="90" spans="1:31" ht="15" customHeight="1" x14ac:dyDescent="0.2">
      <c r="A90" s="611" t="s">
        <v>705</v>
      </c>
      <c r="B90" s="601" t="s">
        <v>706</v>
      </c>
      <c r="C90" s="611" t="s">
        <v>114</v>
      </c>
      <c r="D90" s="576">
        <f t="shared" ref="D90:D95" si="75">+I90+K90+M90+O90+Q90+S90</f>
        <v>22.8</v>
      </c>
      <c r="E90" s="577" t="e">
        <f t="shared" si="63"/>
        <v>#REF!</v>
      </c>
      <c r="F90" s="577" t="e">
        <f t="shared" ref="F90:F95" si="76">ROUND(D90*E90,10)</f>
        <v>#REF!</v>
      </c>
      <c r="G90" s="578"/>
      <c r="I90" s="594"/>
      <c r="J90" s="580" t="e">
        <f t="shared" ref="J90:J95" si="77">+ROUND(E90*I90,10)</f>
        <v>#REF!</v>
      </c>
      <c r="K90" s="537"/>
      <c r="L90" s="445" t="e">
        <f t="shared" ref="L90:L95" si="78">+ROUND(E90*K90,10)</f>
        <v>#REF!</v>
      </c>
      <c r="M90" s="542"/>
      <c r="N90" s="445" t="e">
        <f t="shared" ref="N90:N95" si="79">+ROUND(E90*M90,10)</f>
        <v>#REF!</v>
      </c>
      <c r="O90" s="542"/>
      <c r="P90" s="445" t="e">
        <f t="shared" ref="P90:P95" si="80">+ROUND(E90*O90,10)</f>
        <v>#REF!</v>
      </c>
      <c r="Q90" s="542">
        <v>22.8</v>
      </c>
      <c r="R90" s="445" t="e">
        <f t="shared" ref="R90:R95" si="81">+ROUND(E90*Q90,10)</f>
        <v>#REF!</v>
      </c>
      <c r="S90" s="542"/>
      <c r="T90" s="445" t="e">
        <f t="shared" ref="T90:T95" si="82">+ROUND(E90*S90,10)</f>
        <v>#REF!</v>
      </c>
      <c r="V90" s="581" t="e">
        <f>+#REF!</f>
        <v>#REF!</v>
      </c>
      <c r="W90" s="582" t="e">
        <f t="shared" ref="W90:W95" si="83">ROUND(V90*$D90,10)</f>
        <v>#REF!</v>
      </c>
      <c r="X90" s="581" t="e">
        <f>+#REF!</f>
        <v>#REF!</v>
      </c>
      <c r="Y90" s="582" t="e">
        <f t="shared" ref="Y90:Y95" si="84">ROUND(X90*$D90,10)</f>
        <v>#REF!</v>
      </c>
      <c r="Z90" s="581" t="e">
        <f>+#REF!</f>
        <v>#REF!</v>
      </c>
      <c r="AA90" s="582" t="e">
        <f t="shared" ref="AA90:AA95" si="85">ROUND(Z90*$D90,10)</f>
        <v>#REF!</v>
      </c>
      <c r="AB90" s="581" t="e">
        <f>+#REF!</f>
        <v>#REF!</v>
      </c>
      <c r="AC90" s="582" t="e">
        <f t="shared" ref="AC90:AC95" si="86">ROUND(AB90*$D90,10)</f>
        <v>#REF!</v>
      </c>
      <c r="AE90" s="769" t="e">
        <f t="shared" si="61"/>
        <v>#REF!</v>
      </c>
    </row>
    <row r="91" spans="1:31" ht="15" customHeight="1" x14ac:dyDescent="0.2">
      <c r="A91" s="611" t="s">
        <v>707</v>
      </c>
      <c r="B91" s="601" t="s">
        <v>708</v>
      </c>
      <c r="C91" s="611" t="s">
        <v>114</v>
      </c>
      <c r="D91" s="576">
        <f t="shared" si="75"/>
        <v>174.5</v>
      </c>
      <c r="E91" s="577" t="e">
        <f t="shared" si="63"/>
        <v>#REF!</v>
      </c>
      <c r="F91" s="577" t="e">
        <f t="shared" si="76"/>
        <v>#REF!</v>
      </c>
      <c r="G91" s="578"/>
      <c r="I91" s="584"/>
      <c r="J91" s="585" t="e">
        <f t="shared" si="77"/>
        <v>#REF!</v>
      </c>
      <c r="K91" s="537"/>
      <c r="L91" s="445" t="e">
        <f t="shared" si="78"/>
        <v>#REF!</v>
      </c>
      <c r="M91" s="542"/>
      <c r="N91" s="445" t="e">
        <f t="shared" si="79"/>
        <v>#REF!</v>
      </c>
      <c r="O91" s="542"/>
      <c r="P91" s="445" t="e">
        <f t="shared" si="80"/>
        <v>#REF!</v>
      </c>
      <c r="Q91" s="542">
        <v>174.5</v>
      </c>
      <c r="R91" s="445" t="e">
        <f t="shared" si="81"/>
        <v>#REF!</v>
      </c>
      <c r="S91" s="542"/>
      <c r="T91" s="445" t="e">
        <f t="shared" si="82"/>
        <v>#REF!</v>
      </c>
      <c r="V91" s="581" t="e">
        <f>+#REF!</f>
        <v>#REF!</v>
      </c>
      <c r="W91" s="582" t="e">
        <f t="shared" si="83"/>
        <v>#REF!</v>
      </c>
      <c r="X91" s="581" t="e">
        <f>+#REF!</f>
        <v>#REF!</v>
      </c>
      <c r="Y91" s="582" t="e">
        <f t="shared" si="84"/>
        <v>#REF!</v>
      </c>
      <c r="Z91" s="581" t="e">
        <f>+#REF!</f>
        <v>#REF!</v>
      </c>
      <c r="AA91" s="582" t="e">
        <f t="shared" si="85"/>
        <v>#REF!</v>
      </c>
      <c r="AB91" s="581" t="e">
        <f>+#REF!</f>
        <v>#REF!</v>
      </c>
      <c r="AC91" s="582" t="e">
        <f t="shared" si="86"/>
        <v>#REF!</v>
      </c>
      <c r="AE91" s="769" t="e">
        <f t="shared" si="61"/>
        <v>#REF!</v>
      </c>
    </row>
    <row r="92" spans="1:31" ht="15" hidden="1" customHeight="1" x14ac:dyDescent="0.2">
      <c r="A92" s="611" t="s">
        <v>709</v>
      </c>
      <c r="B92" s="601" t="s">
        <v>710</v>
      </c>
      <c r="C92" s="611" t="s">
        <v>114</v>
      </c>
      <c r="D92" s="576">
        <f t="shared" si="75"/>
        <v>0</v>
      </c>
      <c r="E92" s="577" t="e">
        <f t="shared" si="63"/>
        <v>#REF!</v>
      </c>
      <c r="F92" s="577" t="e">
        <f t="shared" si="76"/>
        <v>#REF!</v>
      </c>
      <c r="G92" s="578"/>
      <c r="I92" s="584"/>
      <c r="J92" s="585" t="e">
        <f t="shared" si="77"/>
        <v>#REF!</v>
      </c>
      <c r="K92" s="537"/>
      <c r="L92" s="445" t="e">
        <f t="shared" si="78"/>
        <v>#REF!</v>
      </c>
      <c r="M92" s="542"/>
      <c r="N92" s="445" t="e">
        <f t="shared" si="79"/>
        <v>#REF!</v>
      </c>
      <c r="O92" s="542"/>
      <c r="P92" s="445" t="e">
        <f t="shared" si="80"/>
        <v>#REF!</v>
      </c>
      <c r="Q92" s="542"/>
      <c r="R92" s="445" t="e">
        <f t="shared" si="81"/>
        <v>#REF!</v>
      </c>
      <c r="S92" s="542"/>
      <c r="T92" s="445" t="e">
        <f t="shared" si="82"/>
        <v>#REF!</v>
      </c>
      <c r="V92" s="581" t="e">
        <f>+'3,2,3 Novafort A.N. 8"200 mm'!I19</f>
        <v>#REF!</v>
      </c>
      <c r="W92" s="582" t="e">
        <f t="shared" si="83"/>
        <v>#REF!</v>
      </c>
      <c r="X92" s="581">
        <f>+'3,2,3 Novafort A.N. 8"200 mm'!I50</f>
        <v>13804.82</v>
      </c>
      <c r="Y92" s="582">
        <f t="shared" si="84"/>
        <v>0</v>
      </c>
      <c r="Z92" s="581">
        <f>+'3,2,3 Novafort A.N. 8"200 mm'!I30</f>
        <v>3375.26</v>
      </c>
      <c r="AA92" s="582">
        <f t="shared" si="85"/>
        <v>0</v>
      </c>
      <c r="AB92" s="581">
        <f>+'3,2,3 Novafort A.N. 8"200 mm'!I41</f>
        <v>0</v>
      </c>
      <c r="AC92" s="582">
        <f t="shared" si="86"/>
        <v>0</v>
      </c>
      <c r="AE92" s="769" t="e">
        <f t="shared" si="61"/>
        <v>#REF!</v>
      </c>
    </row>
    <row r="93" spans="1:31" ht="15" hidden="1" customHeight="1" x14ac:dyDescent="0.2">
      <c r="A93" s="611" t="s">
        <v>711</v>
      </c>
      <c r="B93" s="601" t="s">
        <v>712</v>
      </c>
      <c r="C93" s="611" t="s">
        <v>111</v>
      </c>
      <c r="D93" s="576">
        <f t="shared" si="75"/>
        <v>0</v>
      </c>
      <c r="E93" s="577" t="e">
        <f t="shared" si="63"/>
        <v>#REF!</v>
      </c>
      <c r="F93" s="577" t="e">
        <f t="shared" si="76"/>
        <v>#REF!</v>
      </c>
      <c r="G93" s="578"/>
      <c r="I93" s="584"/>
      <c r="J93" s="585" t="e">
        <f t="shared" si="77"/>
        <v>#REF!</v>
      </c>
      <c r="K93" s="537"/>
      <c r="L93" s="445" t="e">
        <f t="shared" si="78"/>
        <v>#REF!</v>
      </c>
      <c r="M93" s="542"/>
      <c r="N93" s="445" t="e">
        <f t="shared" si="79"/>
        <v>#REF!</v>
      </c>
      <c r="O93" s="542"/>
      <c r="P93" s="445" t="e">
        <f t="shared" si="80"/>
        <v>#REF!</v>
      </c>
      <c r="Q93" s="542"/>
      <c r="R93" s="445" t="e">
        <f t="shared" si="81"/>
        <v>#REF!</v>
      </c>
      <c r="S93" s="542"/>
      <c r="T93" s="445" t="e">
        <f t="shared" si="82"/>
        <v>#REF!</v>
      </c>
      <c r="V93" s="581" t="e">
        <f>+'3,2,4 Novafort 10"A.N. 255 mm'!I19</f>
        <v>#REF!</v>
      </c>
      <c r="W93" s="582" t="e">
        <f t="shared" si="83"/>
        <v>#REF!</v>
      </c>
      <c r="X93" s="581">
        <f>+'3,2,4 Novafort 10"A.N. 255 mm'!I50</f>
        <v>14417</v>
      </c>
      <c r="Y93" s="582">
        <f t="shared" si="84"/>
        <v>0</v>
      </c>
      <c r="Z93" s="581">
        <f>+'3,2,4 Novafort 10"A.N. 255 mm'!I30</f>
        <v>3375.26</v>
      </c>
      <c r="AA93" s="582">
        <f t="shared" si="85"/>
        <v>0</v>
      </c>
      <c r="AB93" s="581">
        <f>+'3,2,4 Novafort 10"A.N. 255 mm'!I41</f>
        <v>0</v>
      </c>
      <c r="AC93" s="582">
        <f t="shared" si="86"/>
        <v>0</v>
      </c>
      <c r="AE93" s="769" t="e">
        <f t="shared" si="61"/>
        <v>#REF!</v>
      </c>
    </row>
    <row r="94" spans="1:31" ht="15" hidden="1" customHeight="1" x14ac:dyDescent="0.2">
      <c r="A94" s="611" t="s">
        <v>713</v>
      </c>
      <c r="B94" s="601" t="s">
        <v>714</v>
      </c>
      <c r="C94" s="611" t="s">
        <v>111</v>
      </c>
      <c r="D94" s="576">
        <f t="shared" si="75"/>
        <v>0</v>
      </c>
      <c r="E94" s="577" t="e">
        <f t="shared" si="63"/>
        <v>#REF!</v>
      </c>
      <c r="F94" s="577" t="e">
        <f t="shared" si="76"/>
        <v>#REF!</v>
      </c>
      <c r="G94" s="578"/>
      <c r="I94" s="584"/>
      <c r="J94" s="585" t="e">
        <f t="shared" si="77"/>
        <v>#REF!</v>
      </c>
      <c r="K94" s="537"/>
      <c r="L94" s="445" t="e">
        <f t="shared" si="78"/>
        <v>#REF!</v>
      </c>
      <c r="M94" s="542"/>
      <c r="N94" s="445" t="e">
        <f t="shared" si="79"/>
        <v>#REF!</v>
      </c>
      <c r="O94" s="542"/>
      <c r="P94" s="445" t="e">
        <f t="shared" si="80"/>
        <v>#REF!</v>
      </c>
      <c r="Q94" s="542"/>
      <c r="R94" s="445" t="e">
        <f t="shared" si="81"/>
        <v>#REF!</v>
      </c>
      <c r="S94" s="542"/>
      <c r="T94" s="445" t="e">
        <f t="shared" si="82"/>
        <v>#REF!</v>
      </c>
      <c r="V94" s="581" t="e">
        <f>+'3,2,5 Novafort A.N.12" 315mm'!I19</f>
        <v>#REF!</v>
      </c>
      <c r="W94" s="582" t="e">
        <f t="shared" si="83"/>
        <v>#REF!</v>
      </c>
      <c r="X94" s="581">
        <f>+'3,2,5 Novafort A.N.12" 315mm'!I50</f>
        <v>17295.150000000001</v>
      </c>
      <c r="Y94" s="582">
        <f t="shared" si="84"/>
        <v>0</v>
      </c>
      <c r="Z94" s="581">
        <f>+'3,2,5 Novafort A.N.12" 315mm'!I30</f>
        <v>3375.26</v>
      </c>
      <c r="AA94" s="582">
        <f t="shared" si="85"/>
        <v>0</v>
      </c>
      <c r="AB94" s="581">
        <f>+'3,2,5 Novafort A.N.12" 315mm'!I41</f>
        <v>0</v>
      </c>
      <c r="AC94" s="582">
        <f t="shared" si="86"/>
        <v>0</v>
      </c>
      <c r="AE94" s="769" t="e">
        <f t="shared" si="61"/>
        <v>#REF!</v>
      </c>
    </row>
    <row r="95" spans="1:31" ht="15.75" hidden="1" customHeight="1" x14ac:dyDescent="0.2">
      <c r="A95" s="611" t="s">
        <v>715</v>
      </c>
      <c r="B95" s="601" t="s">
        <v>716</v>
      </c>
      <c r="C95" s="611" t="s">
        <v>111</v>
      </c>
      <c r="D95" s="576">
        <f t="shared" si="75"/>
        <v>0</v>
      </c>
      <c r="E95" s="577" t="e">
        <f t="shared" si="63"/>
        <v>#REF!</v>
      </c>
      <c r="F95" s="577" t="e">
        <f t="shared" si="76"/>
        <v>#REF!</v>
      </c>
      <c r="G95" s="578"/>
      <c r="I95" s="597"/>
      <c r="J95" s="598" t="e">
        <f t="shared" si="77"/>
        <v>#REF!</v>
      </c>
      <c r="K95" s="537"/>
      <c r="L95" s="445" t="e">
        <f t="shared" si="78"/>
        <v>#REF!</v>
      </c>
      <c r="M95" s="542"/>
      <c r="N95" s="445" t="e">
        <f t="shared" si="79"/>
        <v>#REF!</v>
      </c>
      <c r="O95" s="542"/>
      <c r="P95" s="445" t="e">
        <f t="shared" si="80"/>
        <v>#REF!</v>
      </c>
      <c r="Q95" s="542"/>
      <c r="R95" s="445" t="e">
        <f t="shared" si="81"/>
        <v>#REF!</v>
      </c>
      <c r="S95" s="542"/>
      <c r="T95" s="445" t="e">
        <f t="shared" si="82"/>
        <v>#REF!</v>
      </c>
      <c r="V95" s="581" t="e">
        <f>+'3,2,6  Acc. Novafort. A.N.'!I19</f>
        <v>#REF!</v>
      </c>
      <c r="W95" s="582" t="e">
        <f t="shared" si="83"/>
        <v>#REF!</v>
      </c>
      <c r="X95" s="581">
        <f>+'3,2,6  Acc. Novafort. A.N.'!I50</f>
        <v>5234.25</v>
      </c>
      <c r="Y95" s="582">
        <f t="shared" si="84"/>
        <v>0</v>
      </c>
      <c r="Z95" s="581">
        <f>+'3,2,6  Acc. Novafort. A.N.'!I30</f>
        <v>97.63</v>
      </c>
      <c r="AA95" s="582">
        <f t="shared" si="85"/>
        <v>0</v>
      </c>
      <c r="AB95" s="581">
        <f>+'3,2,6  Acc. Novafort. A.N.'!I41</f>
        <v>0</v>
      </c>
      <c r="AC95" s="582">
        <f t="shared" si="86"/>
        <v>0</v>
      </c>
      <c r="AE95" s="769" t="e">
        <f t="shared" si="61"/>
        <v>#REF!</v>
      </c>
    </row>
    <row r="96" spans="1:31" s="568" customFormat="1" ht="18" hidden="1" customHeight="1" x14ac:dyDescent="0.2">
      <c r="A96" s="572" t="s">
        <v>717</v>
      </c>
      <c r="B96" s="573" t="s">
        <v>718</v>
      </c>
      <c r="C96" s="846"/>
      <c r="D96" s="576"/>
      <c r="E96" s="577"/>
      <c r="F96" s="180" t="e">
        <f>+ROUND(SUM(F97:F102),10)</f>
        <v>#REF!</v>
      </c>
      <c r="G96" s="473"/>
      <c r="I96" s="621"/>
      <c r="J96" s="440" t="e">
        <f>ROUND(SUM(J97:J101),10)</f>
        <v>#REF!</v>
      </c>
      <c r="K96" s="539"/>
      <c r="L96" s="180" t="e">
        <f>ROUND(SUM(L97:N102),10)</f>
        <v>#REF!</v>
      </c>
      <c r="M96" s="544"/>
      <c r="N96" s="180" t="e">
        <f>ROUND(SUM(N97:N101),10)</f>
        <v>#REF!</v>
      </c>
      <c r="O96" s="544"/>
      <c r="P96" s="180" t="e">
        <f>ROUND(SUM(P97:P102),10)</f>
        <v>#REF!</v>
      </c>
      <c r="Q96" s="544"/>
      <c r="R96" s="180" t="e">
        <f>ROUND(SUM(R97:R102),10)</f>
        <v>#REF!</v>
      </c>
      <c r="S96" s="544"/>
      <c r="T96" s="180" t="e">
        <f>ROUND(SUM(T97:T102),10)</f>
        <v>#REF!</v>
      </c>
      <c r="V96" s="575"/>
      <c r="W96" s="570" t="e">
        <f>ROUND(SUM(W97:W102),10)</f>
        <v>#REF!</v>
      </c>
      <c r="X96" s="575"/>
      <c r="Y96" s="570">
        <f>ROUND(SUM(Y97:Y102),10)</f>
        <v>0</v>
      </c>
      <c r="Z96" s="575"/>
      <c r="AA96" s="570">
        <f>ROUND(SUM(AA97:AA102),10)</f>
        <v>0</v>
      </c>
      <c r="AB96" s="575"/>
      <c r="AC96" s="570">
        <f>ROUND(SUM(AC97:AC102),10)</f>
        <v>0</v>
      </c>
      <c r="AE96" s="769" t="e">
        <f t="shared" si="61"/>
        <v>#REF!</v>
      </c>
    </row>
    <row r="97" spans="1:31" ht="15" hidden="1" customHeight="1" x14ac:dyDescent="0.2">
      <c r="A97" s="611" t="s">
        <v>719</v>
      </c>
      <c r="B97" s="601" t="s">
        <v>720</v>
      </c>
      <c r="C97" s="611" t="s">
        <v>114</v>
      </c>
      <c r="D97" s="576">
        <f t="shared" ref="D97:D102" si="87">+I97+K97+M97+O97+Q97+S97</f>
        <v>0</v>
      </c>
      <c r="E97" s="577" t="e">
        <f>V97+X97+Z97+AB97</f>
        <v>#REF!</v>
      </c>
      <c r="F97" s="577" t="e">
        <f t="shared" ref="F97:F102" si="88">ROUND(D97*E97,10)</f>
        <v>#REF!</v>
      </c>
      <c r="G97" s="578"/>
      <c r="I97" s="594"/>
      <c r="J97" s="580" t="e">
        <f t="shared" ref="J97:J102" si="89">+ROUND(E97*I97,10)</f>
        <v>#REF!</v>
      </c>
      <c r="K97" s="537"/>
      <c r="L97" s="445" t="e">
        <f t="shared" ref="L97:L102" si="90">+ROUND(E97*K97,10)</f>
        <v>#REF!</v>
      </c>
      <c r="M97" s="542"/>
      <c r="N97" s="445" t="e">
        <f t="shared" ref="N97:N102" si="91">+ROUND(E97*M97,10)</f>
        <v>#REF!</v>
      </c>
      <c r="O97" s="542"/>
      <c r="P97" s="445" t="e">
        <f t="shared" ref="P97:P102" si="92">+ROUND(E97*O97,10)</f>
        <v>#REF!</v>
      </c>
      <c r="Q97" s="542"/>
      <c r="R97" s="445" t="e">
        <f t="shared" ref="R97:R102" si="93">+ROUND(E97*Q97,10)</f>
        <v>#REF!</v>
      </c>
      <c r="S97" s="542"/>
      <c r="T97" s="445" t="e">
        <f t="shared" ref="T97:T102" si="94">+ROUND(E97*S97,10)</f>
        <v>#REF!</v>
      </c>
      <c r="V97" s="581" t="e">
        <f>+'3,3,1 Tuberia drenaje PVC 4"'!I19</f>
        <v>#REF!</v>
      </c>
      <c r="W97" s="582" t="e">
        <f t="shared" ref="W97:W102" si="95">ROUND(V97*$D97,10)</f>
        <v>#REF!</v>
      </c>
      <c r="X97" s="581">
        <f>+'3,3,1 Tuberia drenaje PVC 4"'!I50</f>
        <v>10934.58</v>
      </c>
      <c r="Y97" s="582">
        <f t="shared" ref="Y97:Y102" si="96">ROUND(X97*$D97,10)</f>
        <v>0</v>
      </c>
      <c r="Z97" s="581">
        <f>+'3,3,1 Tuberia drenaje PVC 4"'!I30</f>
        <v>1361.26</v>
      </c>
      <c r="AA97" s="582">
        <f t="shared" ref="AA97:AA102" si="97">ROUND(Z97*$D97,10)</f>
        <v>0</v>
      </c>
      <c r="AB97" s="581">
        <f>+'3,3,1 Tuberia drenaje PVC 4"'!I41</f>
        <v>0</v>
      </c>
      <c r="AC97" s="582">
        <f t="shared" ref="AC97:AC102" si="98">ROUND(AB97*$D97,10)</f>
        <v>0</v>
      </c>
      <c r="AE97" s="769" t="e">
        <f t="shared" si="61"/>
        <v>#REF!</v>
      </c>
    </row>
    <row r="98" spans="1:31" ht="15" hidden="1" customHeight="1" x14ac:dyDescent="0.2">
      <c r="A98" s="611" t="s">
        <v>721</v>
      </c>
      <c r="B98" s="601" t="s">
        <v>722</v>
      </c>
      <c r="C98" s="611" t="s">
        <v>114</v>
      </c>
      <c r="D98" s="576">
        <f t="shared" si="87"/>
        <v>0</v>
      </c>
      <c r="E98" s="577" t="e">
        <f t="shared" si="63"/>
        <v>#REF!</v>
      </c>
      <c r="F98" s="577" t="e">
        <f t="shared" si="88"/>
        <v>#REF!</v>
      </c>
      <c r="G98" s="578"/>
      <c r="I98" s="584"/>
      <c r="J98" s="585" t="e">
        <f t="shared" si="89"/>
        <v>#REF!</v>
      </c>
      <c r="K98" s="537"/>
      <c r="L98" s="445" t="e">
        <f t="shared" si="90"/>
        <v>#REF!</v>
      </c>
      <c r="M98" s="542"/>
      <c r="N98" s="445" t="e">
        <f t="shared" si="91"/>
        <v>#REF!</v>
      </c>
      <c r="O98" s="542"/>
      <c r="P98" s="445" t="e">
        <f t="shared" si="92"/>
        <v>#REF!</v>
      </c>
      <c r="Q98" s="542"/>
      <c r="R98" s="445" t="e">
        <f t="shared" si="93"/>
        <v>#REF!</v>
      </c>
      <c r="S98" s="542"/>
      <c r="T98" s="445" t="e">
        <f t="shared" si="94"/>
        <v>#REF!</v>
      </c>
      <c r="V98" s="581" t="e">
        <f>+'3,3,2 Tuberia drenaje PVC 4"'!I19</f>
        <v>#REF!</v>
      </c>
      <c r="W98" s="582" t="e">
        <f t="shared" si="95"/>
        <v>#REF!</v>
      </c>
      <c r="X98" s="581">
        <f>+'3,3,2 Tuberia drenaje PVC 4"'!I50</f>
        <v>10934.58</v>
      </c>
      <c r="Y98" s="582">
        <f t="shared" si="96"/>
        <v>0</v>
      </c>
      <c r="Z98" s="581">
        <f>+'3,3,2 Tuberia drenaje PVC 4"'!I30</f>
        <v>1361.26</v>
      </c>
      <c r="AA98" s="582">
        <f t="shared" si="97"/>
        <v>0</v>
      </c>
      <c r="AB98" s="581">
        <f>+'3,3,2 Tuberia drenaje PVC 4"'!I41</f>
        <v>0</v>
      </c>
      <c r="AC98" s="582">
        <f t="shared" si="98"/>
        <v>0</v>
      </c>
      <c r="AE98" s="769" t="e">
        <f t="shared" si="61"/>
        <v>#REF!</v>
      </c>
    </row>
    <row r="99" spans="1:31" ht="15" hidden="1" customHeight="1" x14ac:dyDescent="0.2">
      <c r="A99" s="611" t="s">
        <v>723</v>
      </c>
      <c r="B99" s="601" t="s">
        <v>724</v>
      </c>
      <c r="C99" s="611" t="s">
        <v>111</v>
      </c>
      <c r="D99" s="576">
        <f t="shared" si="87"/>
        <v>0</v>
      </c>
      <c r="E99" s="577" t="e">
        <f t="shared" si="63"/>
        <v>#REF!</v>
      </c>
      <c r="F99" s="577" t="e">
        <f t="shared" si="88"/>
        <v>#REF!</v>
      </c>
      <c r="G99" s="578"/>
      <c r="I99" s="584"/>
      <c r="J99" s="585" t="e">
        <f t="shared" si="89"/>
        <v>#REF!</v>
      </c>
      <c r="K99" s="537"/>
      <c r="L99" s="445" t="e">
        <f t="shared" si="90"/>
        <v>#REF!</v>
      </c>
      <c r="M99" s="542"/>
      <c r="N99" s="445" t="e">
        <f t="shared" si="91"/>
        <v>#REF!</v>
      </c>
      <c r="O99" s="542"/>
      <c r="P99" s="445" t="e">
        <f t="shared" si="92"/>
        <v>#REF!</v>
      </c>
      <c r="Q99" s="542"/>
      <c r="R99" s="445" t="e">
        <f t="shared" si="93"/>
        <v>#REF!</v>
      </c>
      <c r="S99" s="542"/>
      <c r="T99" s="445" t="e">
        <f t="shared" si="94"/>
        <v>#REF!</v>
      </c>
      <c r="V99" s="581" t="e">
        <f>+'3,3,3 Accesorio drenaje PVC 3"'!I19</f>
        <v>#REF!</v>
      </c>
      <c r="W99" s="582" t="e">
        <f t="shared" si="95"/>
        <v>#REF!</v>
      </c>
      <c r="X99" s="581">
        <f>+'3,3,3 Accesorio drenaje PVC 3"'!I50</f>
        <v>3221.07</v>
      </c>
      <c r="Y99" s="582">
        <f t="shared" si="96"/>
        <v>0</v>
      </c>
      <c r="Z99" s="581">
        <f>+'3,3,3 Accesorio drenaje PVC 3"'!I30</f>
        <v>195.26</v>
      </c>
      <c r="AA99" s="582">
        <f t="shared" si="97"/>
        <v>0</v>
      </c>
      <c r="AB99" s="581">
        <f>+'3,3,3 Accesorio drenaje PVC 3"'!I41</f>
        <v>0</v>
      </c>
      <c r="AC99" s="582">
        <f t="shared" si="98"/>
        <v>0</v>
      </c>
      <c r="AE99" s="769" t="e">
        <f t="shared" si="61"/>
        <v>#REF!</v>
      </c>
    </row>
    <row r="100" spans="1:31" ht="15" hidden="1" customHeight="1" x14ac:dyDescent="0.2">
      <c r="A100" s="611" t="s">
        <v>725</v>
      </c>
      <c r="B100" s="601" t="s">
        <v>726</v>
      </c>
      <c r="C100" s="611" t="s">
        <v>111</v>
      </c>
      <c r="D100" s="576">
        <f t="shared" si="87"/>
        <v>0</v>
      </c>
      <c r="E100" s="577" t="e">
        <f t="shared" si="63"/>
        <v>#REF!</v>
      </c>
      <c r="F100" s="577" t="e">
        <f t="shared" si="88"/>
        <v>#REF!</v>
      </c>
      <c r="G100" s="578"/>
      <c r="I100" s="584"/>
      <c r="J100" s="585" t="e">
        <f t="shared" si="89"/>
        <v>#REF!</v>
      </c>
      <c r="K100" s="537"/>
      <c r="L100" s="445" t="e">
        <f t="shared" si="90"/>
        <v>#REF!</v>
      </c>
      <c r="M100" s="542"/>
      <c r="N100" s="445" t="e">
        <f t="shared" si="91"/>
        <v>#REF!</v>
      </c>
      <c r="O100" s="542"/>
      <c r="P100" s="445" t="e">
        <f t="shared" si="92"/>
        <v>#REF!</v>
      </c>
      <c r="Q100" s="542"/>
      <c r="R100" s="445" t="e">
        <f t="shared" si="93"/>
        <v>#REF!</v>
      </c>
      <c r="S100" s="542"/>
      <c r="T100" s="445" t="e">
        <f t="shared" si="94"/>
        <v>#REF!</v>
      </c>
      <c r="V100" s="581" t="e">
        <f>+'3,3,4 Accesorio drenaje PVC 4"'!I19</f>
        <v>#REF!</v>
      </c>
      <c r="W100" s="582" t="e">
        <f t="shared" si="95"/>
        <v>#REF!</v>
      </c>
      <c r="X100" s="581">
        <f>+'3,3,4 Accesorio drenaje PVC 4"'!I50</f>
        <v>19039.060000000001</v>
      </c>
      <c r="Y100" s="582">
        <f t="shared" si="96"/>
        <v>0</v>
      </c>
      <c r="Z100" s="581">
        <f>+'3,3,4 Accesorio drenaje PVC 4"'!I30</f>
        <v>1361.26</v>
      </c>
      <c r="AA100" s="582">
        <f t="shared" si="97"/>
        <v>0</v>
      </c>
      <c r="AB100" s="581">
        <f>+'3,3,4 Accesorio drenaje PVC 4"'!I41</f>
        <v>0</v>
      </c>
      <c r="AC100" s="582">
        <f t="shared" si="98"/>
        <v>0</v>
      </c>
      <c r="AE100" s="769" t="e">
        <f t="shared" si="61"/>
        <v>#REF!</v>
      </c>
    </row>
    <row r="101" spans="1:31" ht="15.75" hidden="1" customHeight="1" x14ac:dyDescent="0.2">
      <c r="A101" s="611" t="s">
        <v>727</v>
      </c>
      <c r="B101" s="601" t="s">
        <v>728</v>
      </c>
      <c r="C101" s="611" t="s">
        <v>155</v>
      </c>
      <c r="D101" s="576">
        <f t="shared" si="87"/>
        <v>0</v>
      </c>
      <c r="E101" s="577" t="e">
        <f t="shared" si="63"/>
        <v>#REF!</v>
      </c>
      <c r="F101" s="577" t="e">
        <f t="shared" si="88"/>
        <v>#REF!</v>
      </c>
      <c r="G101" s="578"/>
      <c r="I101" s="597"/>
      <c r="J101" s="598" t="e">
        <f t="shared" si="89"/>
        <v>#REF!</v>
      </c>
      <c r="K101" s="537"/>
      <c r="L101" s="445" t="e">
        <f t="shared" si="90"/>
        <v>#REF!</v>
      </c>
      <c r="M101" s="542"/>
      <c r="N101" s="445" t="e">
        <f t="shared" si="91"/>
        <v>#REF!</v>
      </c>
      <c r="O101" s="542"/>
      <c r="P101" s="445" t="e">
        <f t="shared" si="92"/>
        <v>#REF!</v>
      </c>
      <c r="Q101" s="542"/>
      <c r="R101" s="445" t="e">
        <f t="shared" si="93"/>
        <v>#REF!</v>
      </c>
      <c r="S101" s="542"/>
      <c r="T101" s="445" t="e">
        <f t="shared" si="94"/>
        <v>#REF!</v>
      </c>
      <c r="V101" s="581" t="e">
        <f>+'3,3,5 Filtros Escorrentias'!I19</f>
        <v>#REF!</v>
      </c>
      <c r="W101" s="582" t="e">
        <f t="shared" si="95"/>
        <v>#REF!</v>
      </c>
      <c r="X101" s="581">
        <f>+'3,3,5 Filtros Escorrentias'!I50</f>
        <v>19039.060000000001</v>
      </c>
      <c r="Y101" s="582">
        <f t="shared" si="96"/>
        <v>0</v>
      </c>
      <c r="Z101" s="581">
        <f>+'3,3,5 Filtros Escorrentias'!I30</f>
        <v>1361.26</v>
      </c>
      <c r="AA101" s="582">
        <f t="shared" si="97"/>
        <v>0</v>
      </c>
      <c r="AB101" s="581">
        <f>+'3,3,5 Filtros Escorrentias'!I41</f>
        <v>0</v>
      </c>
      <c r="AC101" s="582">
        <f t="shared" si="98"/>
        <v>0</v>
      </c>
      <c r="AE101" s="769" t="e">
        <f t="shared" si="61"/>
        <v>#REF!</v>
      </c>
    </row>
    <row r="102" spans="1:31" ht="15.75" hidden="1" customHeight="1" x14ac:dyDescent="0.2">
      <c r="A102" s="627" t="s">
        <v>729</v>
      </c>
      <c r="B102" s="649" t="s">
        <v>730</v>
      </c>
      <c r="C102" s="627" t="s">
        <v>111</v>
      </c>
      <c r="D102" s="576">
        <f t="shared" si="87"/>
        <v>0</v>
      </c>
      <c r="E102" s="577" t="e">
        <f>V102+X102+Z102+AB102</f>
        <v>#REF!</v>
      </c>
      <c r="F102" s="577" t="e">
        <f t="shared" si="88"/>
        <v>#REF!</v>
      </c>
      <c r="G102" s="578"/>
      <c r="I102" s="597"/>
      <c r="J102" s="598" t="e">
        <f t="shared" si="89"/>
        <v>#REF!</v>
      </c>
      <c r="K102" s="537"/>
      <c r="L102" s="445" t="e">
        <f t="shared" si="90"/>
        <v>#REF!</v>
      </c>
      <c r="M102" s="544"/>
      <c r="N102" s="445" t="e">
        <f t="shared" si="91"/>
        <v>#REF!</v>
      </c>
      <c r="O102" s="542"/>
      <c r="P102" s="445" t="e">
        <f t="shared" si="92"/>
        <v>#REF!</v>
      </c>
      <c r="Q102" s="544"/>
      <c r="R102" s="445" t="e">
        <f t="shared" si="93"/>
        <v>#REF!</v>
      </c>
      <c r="S102" s="544"/>
      <c r="T102" s="445" t="e">
        <f t="shared" si="94"/>
        <v>#REF!</v>
      </c>
      <c r="V102" s="581" t="e">
        <f>'3,3,6 POZO INFILTRACIÓN'!I19</f>
        <v>#REF!</v>
      </c>
      <c r="W102" s="582" t="e">
        <f t="shared" si="95"/>
        <v>#REF!</v>
      </c>
      <c r="X102" s="581">
        <f>'3,3,6 POZO INFILTRACIÓN'!I50</f>
        <v>4863906.05</v>
      </c>
      <c r="Y102" s="582">
        <f t="shared" si="96"/>
        <v>0</v>
      </c>
      <c r="Z102" s="581">
        <f>'3,3,6 POZO INFILTRACIÓN'!I30</f>
        <v>734071.2</v>
      </c>
      <c r="AA102" s="582">
        <f t="shared" si="97"/>
        <v>0</v>
      </c>
      <c r="AB102" s="581">
        <f>'3,3,6 POZO INFILTRACIÓN'!I41</f>
        <v>0</v>
      </c>
      <c r="AC102" s="582">
        <f t="shared" si="98"/>
        <v>0</v>
      </c>
      <c r="AE102" s="769" t="e">
        <f t="shared" si="61"/>
        <v>#REF!</v>
      </c>
    </row>
    <row r="103" spans="1:31" s="568" customFormat="1" ht="18" hidden="1" customHeight="1" x14ac:dyDescent="0.2">
      <c r="A103" s="572" t="s">
        <v>731</v>
      </c>
      <c r="B103" s="573" t="s">
        <v>732</v>
      </c>
      <c r="C103" s="846"/>
      <c r="D103" s="576"/>
      <c r="E103" s="577"/>
      <c r="F103" s="180" t="e">
        <f>+ROUND(SUM(F104:F112),10)</f>
        <v>#REF!</v>
      </c>
      <c r="G103" s="473"/>
      <c r="I103" s="597"/>
      <c r="J103" s="440" t="e">
        <f>ROUND(SUM(J104:J112),10)</f>
        <v>#REF!</v>
      </c>
      <c r="K103" s="539"/>
      <c r="L103" s="180" t="e">
        <f>ROUND(SUM(L104:L112),10)</f>
        <v>#REF!</v>
      </c>
      <c r="M103" s="544"/>
      <c r="N103" s="180" t="e">
        <f>ROUND(SUM(N104:N112),10)</f>
        <v>#REF!</v>
      </c>
      <c r="O103" s="544"/>
      <c r="P103" s="180" t="e">
        <f>ROUND(SUM(P104:P112),10)</f>
        <v>#REF!</v>
      </c>
      <c r="Q103" s="544"/>
      <c r="R103" s="180" t="e">
        <f>ROUND(SUM(R104:R112),10)</f>
        <v>#REF!</v>
      </c>
      <c r="S103" s="544"/>
      <c r="T103" s="180" t="e">
        <f>ROUND(SUM(T104:T112),10)</f>
        <v>#REF!</v>
      </c>
      <c r="V103" s="575"/>
      <c r="W103" s="570" t="e">
        <f>ROUND(SUM(W104:W112),10)</f>
        <v>#REF!</v>
      </c>
      <c r="X103" s="575"/>
      <c r="Y103" s="570">
        <f>ROUND(SUM(Y104:Y112),10)</f>
        <v>987747.15</v>
      </c>
      <c r="Z103" s="575"/>
      <c r="AA103" s="570">
        <f>ROUND(SUM(AA104:AA112),10)</f>
        <v>18550.05</v>
      </c>
      <c r="AB103" s="575"/>
      <c r="AC103" s="570" t="e">
        <f>ROUND(SUM(AC104:AC112),10)</f>
        <v>#N/A</v>
      </c>
      <c r="AE103" s="769" t="e">
        <f t="shared" si="61"/>
        <v>#N/A</v>
      </c>
    </row>
    <row r="104" spans="1:31" ht="15" hidden="1" customHeight="1" x14ac:dyDescent="0.2">
      <c r="A104" s="611" t="s">
        <v>733</v>
      </c>
      <c r="B104" s="601" t="s">
        <v>734</v>
      </c>
      <c r="C104" s="611" t="s">
        <v>111</v>
      </c>
      <c r="D104" s="576">
        <f t="shared" ref="D104:D112" si="99">+I104+K104+M104+O104+Q104+S104</f>
        <v>15</v>
      </c>
      <c r="E104" s="577" t="e">
        <f t="shared" si="63"/>
        <v>#REF!</v>
      </c>
      <c r="F104" s="577" t="e">
        <f t="shared" ref="F104:F112" si="100">ROUND(D104*E104,10)</f>
        <v>#REF!</v>
      </c>
      <c r="G104" s="578"/>
      <c r="I104" s="597"/>
      <c r="J104" s="580" t="e">
        <f t="shared" ref="J104:J112" si="101">+ROUND(E104*I104,10)</f>
        <v>#REF!</v>
      </c>
      <c r="K104" s="537"/>
      <c r="L104" s="445" t="e">
        <f t="shared" ref="L104:L112" si="102">+ROUND(E104*K104,10)</f>
        <v>#REF!</v>
      </c>
      <c r="M104" s="542">
        <v>1</v>
      </c>
      <c r="N104" s="445" t="e">
        <f t="shared" ref="N104:N112" si="103">+ROUND(E104*M104,10)</f>
        <v>#REF!</v>
      </c>
      <c r="O104" s="542">
        <v>14</v>
      </c>
      <c r="P104" s="445" t="e">
        <f t="shared" ref="P104:P112" si="104">+ROUND(E104*O104,10)</f>
        <v>#REF!</v>
      </c>
      <c r="Q104" s="542"/>
      <c r="R104" s="445" t="e">
        <f t="shared" ref="R104:R112" si="105">+ROUND(E104*Q104,10)</f>
        <v>#REF!</v>
      </c>
      <c r="S104" s="542"/>
      <c r="T104" s="445" t="e">
        <f t="shared" ref="T104:T112" si="106">+ROUND(E104*S104,10)</f>
        <v>#REF!</v>
      </c>
      <c r="V104" s="581" t="e">
        <f>'3,4,1 Caja inspección 0,60 '!I19</f>
        <v>#REF!</v>
      </c>
      <c r="W104" s="582" t="e">
        <f t="shared" ref="W104:W112" si="107">ROUND(V104*$D104,10)</f>
        <v>#REF!</v>
      </c>
      <c r="X104" s="581">
        <f>+'3,4,1 Caja inspección 0,60 '!I50</f>
        <v>65849.81</v>
      </c>
      <c r="Y104" s="582">
        <f t="shared" ref="Y104:Y112" si="108">ROUND(X104*$D104,10)</f>
        <v>987747.15</v>
      </c>
      <c r="Z104" s="581">
        <f>+'3,4,1 Caja inspección 0,60 '!I30</f>
        <v>1236.67</v>
      </c>
      <c r="AA104" s="582">
        <f t="shared" ref="AA104:AA112" si="109">ROUND(Z104*$D104,10)</f>
        <v>18550.05</v>
      </c>
      <c r="AB104" s="581"/>
      <c r="AC104" s="582">
        <f t="shared" ref="AC104:AC112" si="110">ROUND(AB104*$D104,10)</f>
        <v>0</v>
      </c>
      <c r="AE104" s="769" t="e">
        <f t="shared" si="61"/>
        <v>#REF!</v>
      </c>
    </row>
    <row r="105" spans="1:31" ht="15" hidden="1" customHeight="1" x14ac:dyDescent="0.2">
      <c r="A105" s="611" t="s">
        <v>735</v>
      </c>
      <c r="B105" s="601" t="s">
        <v>736</v>
      </c>
      <c r="C105" s="611" t="s">
        <v>111</v>
      </c>
      <c r="D105" s="576">
        <f t="shared" si="99"/>
        <v>0</v>
      </c>
      <c r="E105" s="577" t="e">
        <f t="shared" si="63"/>
        <v>#REF!</v>
      </c>
      <c r="F105" s="577" t="e">
        <f t="shared" si="100"/>
        <v>#REF!</v>
      </c>
      <c r="G105" s="578"/>
      <c r="I105" s="584"/>
      <c r="J105" s="585" t="e">
        <f t="shared" si="101"/>
        <v>#REF!</v>
      </c>
      <c r="K105" s="537"/>
      <c r="L105" s="445" t="e">
        <f t="shared" si="102"/>
        <v>#REF!</v>
      </c>
      <c r="M105" s="542"/>
      <c r="N105" s="445" t="e">
        <f t="shared" si="103"/>
        <v>#REF!</v>
      </c>
      <c r="O105" s="542"/>
      <c r="P105" s="445" t="e">
        <f t="shared" si="104"/>
        <v>#REF!</v>
      </c>
      <c r="Q105" s="542"/>
      <c r="R105" s="445" t="e">
        <f t="shared" si="105"/>
        <v>#REF!</v>
      </c>
      <c r="S105" s="542"/>
      <c r="T105" s="445" t="e">
        <f t="shared" si="106"/>
        <v>#REF!</v>
      </c>
      <c r="V105" s="581" t="e">
        <f>+'3,4,2 Caja inspección 0,80'!I19</f>
        <v>#REF!</v>
      </c>
      <c r="W105" s="582" t="e">
        <f t="shared" si="107"/>
        <v>#REF!</v>
      </c>
      <c r="X105" s="581">
        <f>+'3,4,2 Caja inspección 0,80'!I50</f>
        <v>65849.81</v>
      </c>
      <c r="Y105" s="582">
        <f t="shared" si="108"/>
        <v>0</v>
      </c>
      <c r="Z105" s="581">
        <f>+'3,4,2 Caja inspección 0,80'!I30</f>
        <v>1236.67</v>
      </c>
      <c r="AA105" s="582">
        <f t="shared" si="109"/>
        <v>0</v>
      </c>
      <c r="AB105" s="581">
        <f>+'3,4,2 Caja inspección 0,80'!I41</f>
        <v>0</v>
      </c>
      <c r="AC105" s="582">
        <f t="shared" si="110"/>
        <v>0</v>
      </c>
      <c r="AE105" s="769" t="e">
        <f t="shared" si="61"/>
        <v>#REF!</v>
      </c>
    </row>
    <row r="106" spans="1:31" ht="15" hidden="1" customHeight="1" x14ac:dyDescent="0.2">
      <c r="A106" s="611" t="s">
        <v>737</v>
      </c>
      <c r="B106" s="601" t="s">
        <v>738</v>
      </c>
      <c r="C106" s="611" t="s">
        <v>111</v>
      </c>
      <c r="D106" s="576">
        <f t="shared" si="99"/>
        <v>0</v>
      </c>
      <c r="E106" s="577" t="e">
        <f t="shared" si="63"/>
        <v>#REF!</v>
      </c>
      <c r="F106" s="577" t="e">
        <f t="shared" si="100"/>
        <v>#REF!</v>
      </c>
      <c r="G106" s="578"/>
      <c r="I106" s="584"/>
      <c r="J106" s="585" t="e">
        <f t="shared" si="101"/>
        <v>#REF!</v>
      </c>
      <c r="K106" s="537"/>
      <c r="L106" s="445" t="e">
        <f t="shared" si="102"/>
        <v>#REF!</v>
      </c>
      <c r="M106" s="542"/>
      <c r="N106" s="445" t="e">
        <f t="shared" si="103"/>
        <v>#REF!</v>
      </c>
      <c r="O106" s="542"/>
      <c r="P106" s="445" t="e">
        <f t="shared" si="104"/>
        <v>#REF!</v>
      </c>
      <c r="Q106" s="542"/>
      <c r="R106" s="445" t="e">
        <f t="shared" si="105"/>
        <v>#REF!</v>
      </c>
      <c r="S106" s="542"/>
      <c r="T106" s="445" t="e">
        <f t="shared" si="106"/>
        <v>#REF!</v>
      </c>
      <c r="V106" s="581" t="e">
        <f>+'3,4,3 Caja inspección 1,00'!I19</f>
        <v>#REF!</v>
      </c>
      <c r="W106" s="582" t="e">
        <f t="shared" si="107"/>
        <v>#REF!</v>
      </c>
      <c r="X106" s="581">
        <f>+'3,4,3 Caja inspección 1,00'!I50</f>
        <v>65849.81</v>
      </c>
      <c r="Y106" s="582">
        <f t="shared" si="108"/>
        <v>0</v>
      </c>
      <c r="Z106" s="581">
        <f>+'3,4,3 Caja inspección 1,00'!I30</f>
        <v>1236.67</v>
      </c>
      <c r="AA106" s="582">
        <f t="shared" si="109"/>
        <v>0</v>
      </c>
      <c r="AB106" s="581">
        <f>+'3,4,3 Caja inspección 1,00'!I41</f>
        <v>0</v>
      </c>
      <c r="AC106" s="582">
        <f t="shared" si="110"/>
        <v>0</v>
      </c>
      <c r="AE106" s="769" t="e">
        <f t="shared" si="61"/>
        <v>#REF!</v>
      </c>
    </row>
    <row r="107" spans="1:31" ht="15" hidden="1" customHeight="1" x14ac:dyDescent="0.2">
      <c r="A107" s="611" t="s">
        <v>739</v>
      </c>
      <c r="B107" s="601" t="s">
        <v>740</v>
      </c>
      <c r="C107" s="627" t="s">
        <v>111</v>
      </c>
      <c r="D107" s="576">
        <f t="shared" si="99"/>
        <v>0</v>
      </c>
      <c r="E107" s="577" t="e">
        <f t="shared" si="63"/>
        <v>#REF!</v>
      </c>
      <c r="F107" s="577" t="e">
        <f t="shared" si="100"/>
        <v>#REF!</v>
      </c>
      <c r="G107" s="578"/>
      <c r="I107" s="584"/>
      <c r="J107" s="585" t="e">
        <f t="shared" si="101"/>
        <v>#REF!</v>
      </c>
      <c r="K107" s="537"/>
      <c r="L107" s="445" t="e">
        <f t="shared" si="102"/>
        <v>#REF!</v>
      </c>
      <c r="M107" s="542"/>
      <c r="N107" s="445" t="e">
        <f t="shared" si="103"/>
        <v>#REF!</v>
      </c>
      <c r="O107" s="542"/>
      <c r="P107" s="445" t="e">
        <f t="shared" si="104"/>
        <v>#REF!</v>
      </c>
      <c r="Q107" s="542"/>
      <c r="R107" s="445" t="e">
        <f t="shared" si="105"/>
        <v>#REF!</v>
      </c>
      <c r="S107" s="542"/>
      <c r="T107" s="445" t="e">
        <f t="shared" si="106"/>
        <v>#REF!</v>
      </c>
      <c r="V107" s="581" t="e">
        <f>'3,4,4 Caja Distribuciòn 0,40  '!I19</f>
        <v>#REF!</v>
      </c>
      <c r="W107" s="582" t="e">
        <f t="shared" si="107"/>
        <v>#REF!</v>
      </c>
      <c r="X107" s="581">
        <f>'3,4,4 Caja Distribuciòn 0,40  '!I50</f>
        <v>73563.319999999992</v>
      </c>
      <c r="Y107" s="582">
        <f t="shared" si="108"/>
        <v>0</v>
      </c>
      <c r="Z107" s="581">
        <f>'3,4,4 Caja Distribuciòn 0,40  '!I30</f>
        <v>1236.67</v>
      </c>
      <c r="AA107" s="582">
        <f t="shared" si="109"/>
        <v>0</v>
      </c>
      <c r="AB107" s="581">
        <f>'3,4,4 Caja Distribuciòn 0,40  '!I41</f>
        <v>0</v>
      </c>
      <c r="AC107" s="582">
        <f t="shared" si="110"/>
        <v>0</v>
      </c>
      <c r="AE107" s="769" t="e">
        <f t="shared" si="61"/>
        <v>#REF!</v>
      </c>
    </row>
    <row r="108" spans="1:31" ht="15" hidden="1" customHeight="1" x14ac:dyDescent="0.2">
      <c r="A108" s="627" t="s">
        <v>739</v>
      </c>
      <c r="B108" s="610" t="s">
        <v>741</v>
      </c>
      <c r="C108" s="627" t="s">
        <v>111</v>
      </c>
      <c r="D108" s="576">
        <f t="shared" si="99"/>
        <v>0</v>
      </c>
      <c r="E108" s="577">
        <f t="shared" si="63"/>
        <v>0</v>
      </c>
      <c r="F108" s="577">
        <f t="shared" si="100"/>
        <v>0</v>
      </c>
      <c r="G108" s="578"/>
      <c r="I108" s="584"/>
      <c r="J108" s="585">
        <f t="shared" si="101"/>
        <v>0</v>
      </c>
      <c r="K108" s="537"/>
      <c r="L108" s="445">
        <f t="shared" si="102"/>
        <v>0</v>
      </c>
      <c r="M108" s="542"/>
      <c r="N108" s="445">
        <f t="shared" si="103"/>
        <v>0</v>
      </c>
      <c r="O108" s="542"/>
      <c r="P108" s="445">
        <f t="shared" si="104"/>
        <v>0</v>
      </c>
      <c r="Q108" s="542"/>
      <c r="R108" s="445">
        <f t="shared" si="105"/>
        <v>0</v>
      </c>
      <c r="S108" s="542"/>
      <c r="T108" s="445">
        <f t="shared" si="106"/>
        <v>0</v>
      </c>
      <c r="V108" s="581"/>
      <c r="W108" s="582">
        <f t="shared" si="107"/>
        <v>0</v>
      </c>
      <c r="X108" s="581"/>
      <c r="Y108" s="582">
        <f t="shared" si="108"/>
        <v>0</v>
      </c>
      <c r="Z108" s="581"/>
      <c r="AA108" s="582">
        <f t="shared" si="109"/>
        <v>0</v>
      </c>
      <c r="AB108" s="581"/>
      <c r="AC108" s="582">
        <f t="shared" si="110"/>
        <v>0</v>
      </c>
      <c r="AE108" s="769">
        <f t="shared" si="61"/>
        <v>0</v>
      </c>
    </row>
    <row r="109" spans="1:31" ht="15" hidden="1" customHeight="1" x14ac:dyDescent="0.2">
      <c r="A109" s="627" t="s">
        <v>742</v>
      </c>
      <c r="B109" s="610" t="s">
        <v>743</v>
      </c>
      <c r="C109" s="627" t="s">
        <v>114</v>
      </c>
      <c r="D109" s="576">
        <f t="shared" si="99"/>
        <v>0</v>
      </c>
      <c r="E109" s="577">
        <f t="shared" si="63"/>
        <v>0</v>
      </c>
      <c r="F109" s="577">
        <f t="shared" si="100"/>
        <v>0</v>
      </c>
      <c r="G109" s="578"/>
      <c r="I109" s="584"/>
      <c r="J109" s="585">
        <f t="shared" si="101"/>
        <v>0</v>
      </c>
      <c r="K109" s="537"/>
      <c r="L109" s="445">
        <f t="shared" si="102"/>
        <v>0</v>
      </c>
      <c r="M109" s="542"/>
      <c r="N109" s="445">
        <f t="shared" si="103"/>
        <v>0</v>
      </c>
      <c r="O109" s="542"/>
      <c r="P109" s="445">
        <f t="shared" si="104"/>
        <v>0</v>
      </c>
      <c r="Q109" s="542"/>
      <c r="R109" s="445">
        <f t="shared" si="105"/>
        <v>0</v>
      </c>
      <c r="S109" s="542"/>
      <c r="T109" s="445">
        <f t="shared" si="106"/>
        <v>0</v>
      </c>
      <c r="V109" s="581"/>
      <c r="W109" s="582">
        <f t="shared" si="107"/>
        <v>0</v>
      </c>
      <c r="X109" s="581"/>
      <c r="Y109" s="582">
        <f t="shared" si="108"/>
        <v>0</v>
      </c>
      <c r="Z109" s="581"/>
      <c r="AA109" s="582">
        <f t="shared" si="109"/>
        <v>0</v>
      </c>
      <c r="AB109" s="581"/>
      <c r="AC109" s="582">
        <f t="shared" si="110"/>
        <v>0</v>
      </c>
      <c r="AE109" s="769">
        <f t="shared" si="61"/>
        <v>0</v>
      </c>
    </row>
    <row r="110" spans="1:31" ht="15" hidden="1" customHeight="1" x14ac:dyDescent="0.2">
      <c r="A110" s="627" t="s">
        <v>744</v>
      </c>
      <c r="B110" s="610" t="s">
        <v>745</v>
      </c>
      <c r="C110" s="627" t="s">
        <v>114</v>
      </c>
      <c r="D110" s="576">
        <f t="shared" si="99"/>
        <v>0</v>
      </c>
      <c r="E110" s="577" t="e">
        <f t="shared" si="63"/>
        <v>#REF!</v>
      </c>
      <c r="F110" s="577" t="e">
        <f t="shared" si="100"/>
        <v>#REF!</v>
      </c>
      <c r="G110" s="578"/>
      <c r="I110" s="584"/>
      <c r="J110" s="585" t="e">
        <f t="shared" si="101"/>
        <v>#REF!</v>
      </c>
      <c r="K110" s="537"/>
      <c r="L110" s="445" t="e">
        <f t="shared" si="102"/>
        <v>#REF!</v>
      </c>
      <c r="M110" s="542"/>
      <c r="N110" s="445" t="e">
        <f t="shared" si="103"/>
        <v>#REF!</v>
      </c>
      <c r="O110" s="542"/>
      <c r="P110" s="445" t="e">
        <f t="shared" si="104"/>
        <v>#REF!</v>
      </c>
      <c r="Q110" s="542"/>
      <c r="R110" s="445" t="e">
        <f t="shared" si="105"/>
        <v>#REF!</v>
      </c>
      <c r="S110" s="542"/>
      <c r="T110" s="445" t="e">
        <f t="shared" si="106"/>
        <v>#REF!</v>
      </c>
      <c r="V110" s="581" t="e">
        <f>+'3,4,6 Carcamo aguas lluvias'!I20</f>
        <v>#REF!</v>
      </c>
      <c r="W110" s="582" t="e">
        <f t="shared" si="107"/>
        <v>#REF!</v>
      </c>
      <c r="X110" s="581">
        <f>+'3,4,6 Carcamo aguas lluvias'!I51</f>
        <v>82312.259999999995</v>
      </c>
      <c r="Y110" s="582">
        <f t="shared" si="108"/>
        <v>0</v>
      </c>
      <c r="Z110" s="581">
        <f>+'3,4,6 Carcamo aguas lluvias'!I31</f>
        <v>1236.67</v>
      </c>
      <c r="AA110" s="582">
        <f t="shared" si="109"/>
        <v>0</v>
      </c>
      <c r="AB110" s="581">
        <f>+'3,4,6 Carcamo aguas lluvias'!I42</f>
        <v>0</v>
      </c>
      <c r="AC110" s="582">
        <f t="shared" si="110"/>
        <v>0</v>
      </c>
      <c r="AE110" s="769" t="e">
        <f t="shared" si="61"/>
        <v>#REF!</v>
      </c>
    </row>
    <row r="111" spans="1:31" ht="15" hidden="1" customHeight="1" x14ac:dyDescent="0.2">
      <c r="A111" s="627" t="s">
        <v>746</v>
      </c>
      <c r="B111" s="610" t="s">
        <v>747</v>
      </c>
      <c r="C111" s="627" t="s">
        <v>111</v>
      </c>
      <c r="D111" s="576">
        <f t="shared" si="99"/>
        <v>0</v>
      </c>
      <c r="E111" s="577" t="e">
        <f t="shared" si="63"/>
        <v>#REF!</v>
      </c>
      <c r="F111" s="577" t="e">
        <f t="shared" si="100"/>
        <v>#REF!</v>
      </c>
      <c r="G111" s="578"/>
      <c r="I111" s="584"/>
      <c r="J111" s="585" t="e">
        <f t="shared" si="101"/>
        <v>#REF!</v>
      </c>
      <c r="K111" s="537"/>
      <c r="L111" s="445" t="e">
        <f t="shared" si="102"/>
        <v>#REF!</v>
      </c>
      <c r="M111" s="542"/>
      <c r="N111" s="445" t="e">
        <f t="shared" si="103"/>
        <v>#REF!</v>
      </c>
      <c r="O111" s="542"/>
      <c r="P111" s="445" t="e">
        <f t="shared" si="104"/>
        <v>#REF!</v>
      </c>
      <c r="Q111" s="542"/>
      <c r="R111" s="445" t="e">
        <f t="shared" si="105"/>
        <v>#REF!</v>
      </c>
      <c r="S111" s="542"/>
      <c r="T111" s="445" t="e">
        <f t="shared" si="106"/>
        <v>#REF!</v>
      </c>
      <c r="V111" s="581" t="e">
        <f>+'3,4,7 Trampa de grasas'!I20</f>
        <v>#REF!</v>
      </c>
      <c r="W111" s="582" t="e">
        <f t="shared" si="107"/>
        <v>#REF!</v>
      </c>
      <c r="X111" s="581">
        <f>+'3,4,7 Trampa de grasas'!I51</f>
        <v>365832.26</v>
      </c>
      <c r="Y111" s="582">
        <f t="shared" si="108"/>
        <v>0</v>
      </c>
      <c r="Z111" s="581">
        <f>+'3,4,7 Trampa de grasas'!I31</f>
        <v>1236.67</v>
      </c>
      <c r="AA111" s="582">
        <f t="shared" si="109"/>
        <v>0</v>
      </c>
      <c r="AB111" s="581">
        <f>+'3,4,7 Trampa de grasas'!I42</f>
        <v>0</v>
      </c>
      <c r="AC111" s="582">
        <f t="shared" si="110"/>
        <v>0</v>
      </c>
      <c r="AE111" s="769" t="e">
        <f t="shared" si="61"/>
        <v>#REF!</v>
      </c>
    </row>
    <row r="112" spans="1:31" ht="15" hidden="1" customHeight="1" x14ac:dyDescent="0.2">
      <c r="A112" s="627" t="s">
        <v>748</v>
      </c>
      <c r="B112" s="610" t="s">
        <v>749</v>
      </c>
      <c r="C112" s="627" t="s">
        <v>111</v>
      </c>
      <c r="D112" s="576">
        <f t="shared" si="99"/>
        <v>0</v>
      </c>
      <c r="E112" s="577" t="e">
        <f>V112+X112+Z112+AB112</f>
        <v>#REF!</v>
      </c>
      <c r="F112" s="577" t="e">
        <f t="shared" si="100"/>
        <v>#REF!</v>
      </c>
      <c r="G112" s="578"/>
      <c r="I112" s="597"/>
      <c r="J112" s="585" t="e">
        <f t="shared" si="101"/>
        <v>#REF!</v>
      </c>
      <c r="K112" s="537"/>
      <c r="L112" s="445" t="e">
        <f t="shared" si="102"/>
        <v>#REF!</v>
      </c>
      <c r="M112" s="542"/>
      <c r="N112" s="445" t="e">
        <f t="shared" si="103"/>
        <v>#REF!</v>
      </c>
      <c r="O112" s="542"/>
      <c r="P112" s="445" t="e">
        <f t="shared" si="104"/>
        <v>#REF!</v>
      </c>
      <c r="Q112" s="542"/>
      <c r="R112" s="445" t="e">
        <f t="shared" si="105"/>
        <v>#REF!</v>
      </c>
      <c r="S112" s="542"/>
      <c r="T112" s="445" t="e">
        <f t="shared" si="106"/>
        <v>#REF!</v>
      </c>
      <c r="V112" s="581" t="e">
        <f>+'3,4,8 Pozo Septico'!I19</f>
        <v>#REF!</v>
      </c>
      <c r="W112" s="582" t="e">
        <f t="shared" si="107"/>
        <v>#REF!</v>
      </c>
      <c r="X112" s="581">
        <f>+'3,4,8 Pozo Septico'!I50</f>
        <v>2160479.2000000002</v>
      </c>
      <c r="Y112" s="582">
        <f t="shared" si="108"/>
        <v>0</v>
      </c>
      <c r="Z112" s="581">
        <f>+'3,4,8 Pozo Septico'!I30</f>
        <v>3523616.67</v>
      </c>
      <c r="AA112" s="582">
        <f t="shared" si="109"/>
        <v>0</v>
      </c>
      <c r="AB112" s="581" t="e">
        <f>+'3,4,8 Pozo Septico'!I41</f>
        <v>#N/A</v>
      </c>
      <c r="AC112" s="582" t="e">
        <f t="shared" si="110"/>
        <v>#N/A</v>
      </c>
      <c r="AE112" s="769" t="e">
        <f t="shared" si="61"/>
        <v>#N/A</v>
      </c>
    </row>
    <row r="113" spans="1:31" s="568" customFormat="1" ht="18" hidden="1" customHeight="1" x14ac:dyDescent="0.2">
      <c r="A113" s="622" t="s">
        <v>750</v>
      </c>
      <c r="B113" s="623" t="s">
        <v>751</v>
      </c>
      <c r="C113" s="846"/>
      <c r="D113" s="576"/>
      <c r="E113" s="577"/>
      <c r="F113" s="180">
        <f>+ROUND(SUM(F114:F118),10)</f>
        <v>0</v>
      </c>
      <c r="G113" s="473"/>
      <c r="I113" s="621"/>
      <c r="J113" s="440">
        <f>ROUND(SUM(J114:J118),10)</f>
        <v>0</v>
      </c>
      <c r="K113" s="539"/>
      <c r="L113" s="180">
        <f>ROUND(SUM(L114:L118),10)</f>
        <v>0</v>
      </c>
      <c r="M113" s="544"/>
      <c r="N113" s="180">
        <f>ROUND(SUM(N114:N118),10)</f>
        <v>0</v>
      </c>
      <c r="O113" s="544"/>
      <c r="P113" s="180">
        <f>ROUND(SUM(P114:P118),10)</f>
        <v>0</v>
      </c>
      <c r="Q113" s="544"/>
      <c r="R113" s="180">
        <f>ROUND(SUM(R114:R118),10)</f>
        <v>0</v>
      </c>
      <c r="S113" s="544"/>
      <c r="T113" s="180">
        <f>ROUND(SUM(T114:T118),10)</f>
        <v>0</v>
      </c>
      <c r="V113" s="575"/>
      <c r="W113" s="570">
        <f>ROUND(SUM(W114:W121),10)</f>
        <v>0</v>
      </c>
      <c r="X113" s="575"/>
      <c r="Y113" s="570">
        <f>ROUND(SUM(Y114:Y121),10)</f>
        <v>0</v>
      </c>
      <c r="Z113" s="575"/>
      <c r="AA113" s="570">
        <f>ROUND(SUM(AA114:AA121),10)</f>
        <v>0</v>
      </c>
      <c r="AB113" s="575"/>
      <c r="AC113" s="570">
        <f>ROUND(SUM(AC114:AC121),10)</f>
        <v>0</v>
      </c>
      <c r="AE113" s="769">
        <f t="shared" si="61"/>
        <v>0</v>
      </c>
    </row>
    <row r="114" spans="1:31" ht="15" hidden="1" customHeight="1" x14ac:dyDescent="0.2">
      <c r="A114" s="627" t="s">
        <v>752</v>
      </c>
      <c r="B114" s="610" t="s">
        <v>621</v>
      </c>
      <c r="C114" s="627" t="s">
        <v>155</v>
      </c>
      <c r="D114" s="576">
        <f>+I114+K114+M114+O114+Q114+S114</f>
        <v>0</v>
      </c>
      <c r="E114" s="577">
        <f t="shared" si="63"/>
        <v>15879.57</v>
      </c>
      <c r="F114" s="577">
        <f>ROUND(D114*E114,10)</f>
        <v>0</v>
      </c>
      <c r="G114" s="578"/>
      <c r="I114" s="594"/>
      <c r="J114" s="580">
        <f>+ROUND(E114*I114,10)</f>
        <v>0</v>
      </c>
      <c r="K114" s="537"/>
      <c r="L114" s="445">
        <f>+ROUND(E114*K114,10)</f>
        <v>0</v>
      </c>
      <c r="M114" s="542"/>
      <c r="N114" s="445">
        <f>+ROUND(E114*M114,10)</f>
        <v>0</v>
      </c>
      <c r="O114" s="542"/>
      <c r="P114" s="445">
        <f>+ROUND(E114*O114,10)</f>
        <v>0</v>
      </c>
      <c r="Q114" s="542"/>
      <c r="R114" s="445">
        <f>+ROUND(E114*Q114,10)</f>
        <v>0</v>
      </c>
      <c r="S114" s="542"/>
      <c r="T114" s="445">
        <f>+ROUND(E114*S114,10)</f>
        <v>0</v>
      </c>
      <c r="V114" s="581">
        <f>+'3,5,1 Exc Man '!I19</f>
        <v>0</v>
      </c>
      <c r="W114" s="582">
        <f>ROUND(V114*$D114,10)</f>
        <v>0</v>
      </c>
      <c r="X114" s="581">
        <f>+'3,5,1 Exc Man '!I50</f>
        <v>14024.57</v>
      </c>
      <c r="Y114" s="582">
        <f>ROUND(X114*$D114,10)</f>
        <v>0</v>
      </c>
      <c r="Z114" s="581">
        <f>+'3,5,1 Exc Man '!I30</f>
        <v>1855</v>
      </c>
      <c r="AA114" s="582">
        <f>ROUND(Z114*$D114,10)</f>
        <v>0</v>
      </c>
      <c r="AB114" s="581">
        <f>+'3,5,1 Exc Man '!I41</f>
        <v>0</v>
      </c>
      <c r="AC114" s="582">
        <f>ROUND(AB114*$D114,10)</f>
        <v>0</v>
      </c>
      <c r="AE114" s="769">
        <f t="shared" si="61"/>
        <v>0</v>
      </c>
    </row>
    <row r="115" spans="1:31" ht="15" hidden="1" customHeight="1" x14ac:dyDescent="0.2">
      <c r="A115" s="627" t="s">
        <v>753</v>
      </c>
      <c r="B115" s="610" t="s">
        <v>754</v>
      </c>
      <c r="C115" s="627" t="s">
        <v>155</v>
      </c>
      <c r="D115" s="576">
        <f>+I115+K115+M115+O115+Q115+S115</f>
        <v>0</v>
      </c>
      <c r="E115" s="577">
        <f t="shared" si="63"/>
        <v>12139.68</v>
      </c>
      <c r="F115" s="577">
        <f>ROUND(D115*E115,10)</f>
        <v>0</v>
      </c>
      <c r="G115" s="578"/>
      <c r="I115" s="584"/>
      <c r="J115" s="585">
        <f>+ROUND(E115*I115,10)</f>
        <v>0</v>
      </c>
      <c r="K115" s="537"/>
      <c r="L115" s="445">
        <f>+ROUND(E115*K115,10)</f>
        <v>0</v>
      </c>
      <c r="M115" s="542"/>
      <c r="N115" s="445">
        <f>+ROUND(E115*M115,10)</f>
        <v>0</v>
      </c>
      <c r="O115" s="542"/>
      <c r="P115" s="445">
        <f>+ROUND(E115*O115,10)</f>
        <v>0</v>
      </c>
      <c r="Q115" s="542"/>
      <c r="R115" s="445">
        <f>+ROUND(E115*Q115,10)</f>
        <v>0</v>
      </c>
      <c r="S115" s="542"/>
      <c r="T115" s="445">
        <f>+ROUND(E115*S115,10)</f>
        <v>0</v>
      </c>
      <c r="V115" s="581">
        <f>+'3,5,2 Exc en recebo comp.'!I19</f>
        <v>0</v>
      </c>
      <c r="W115" s="582">
        <f>ROUND(V115*$D115,10)</f>
        <v>0</v>
      </c>
      <c r="X115" s="581">
        <f>+'3,5,2 Exc en recebo comp.'!I50</f>
        <v>10284.68</v>
      </c>
      <c r="Y115" s="582">
        <f>ROUND(X115*$D115,10)</f>
        <v>0</v>
      </c>
      <c r="Z115" s="581">
        <f>+'3,5,2 Exc en recebo comp.'!I30</f>
        <v>1855</v>
      </c>
      <c r="AA115" s="582">
        <f>ROUND(Z115*$D115,10)</f>
        <v>0</v>
      </c>
      <c r="AB115" s="581">
        <f>+'3,5,2 Exc en recebo comp.'!I41</f>
        <v>0</v>
      </c>
      <c r="AC115" s="582">
        <f>ROUND(AB115*$D115,10)</f>
        <v>0</v>
      </c>
      <c r="AE115" s="769">
        <f t="shared" si="61"/>
        <v>0</v>
      </c>
    </row>
    <row r="116" spans="1:31" ht="15" hidden="1" customHeight="1" x14ac:dyDescent="0.2">
      <c r="A116" s="627" t="s">
        <v>755</v>
      </c>
      <c r="B116" s="610" t="s">
        <v>756</v>
      </c>
      <c r="C116" s="627" t="s">
        <v>155</v>
      </c>
      <c r="D116" s="576">
        <f>+I116+K116+M116+O116+Q116+S116</f>
        <v>0</v>
      </c>
      <c r="E116" s="577">
        <f t="shared" si="63"/>
        <v>25251.439999999999</v>
      </c>
      <c r="F116" s="577">
        <f>ROUND(D116*E116,10)</f>
        <v>0</v>
      </c>
      <c r="G116" s="578"/>
      <c r="I116" s="584"/>
      <c r="J116" s="624">
        <f>+ROUND(E116*I116,10)</f>
        <v>0</v>
      </c>
      <c r="K116" s="537"/>
      <c r="L116" s="445">
        <f>+ROUND(E116*K116,10)</f>
        <v>0</v>
      </c>
      <c r="M116" s="542"/>
      <c r="N116" s="445">
        <f>+ROUND(E116*M116,10)</f>
        <v>0</v>
      </c>
      <c r="O116" s="542"/>
      <c r="P116" s="445">
        <f>+ROUND(E116*O116,10)</f>
        <v>0</v>
      </c>
      <c r="Q116" s="542"/>
      <c r="R116" s="445">
        <f>+ROUND(E116*Q116,10)</f>
        <v>0</v>
      </c>
      <c r="S116" s="542"/>
      <c r="T116" s="445">
        <f>+ROUND(E116*S116,10)</f>
        <v>0</v>
      </c>
      <c r="V116" s="581">
        <f>+'3,5,3  Relleno M seleccionado'!I19</f>
        <v>0</v>
      </c>
      <c r="W116" s="582">
        <f>ROUND(V116*$D116,10)</f>
        <v>0</v>
      </c>
      <c r="X116" s="581">
        <f>+'3,5,3  Relleno M seleccionado'!I50</f>
        <v>18149.439999999999</v>
      </c>
      <c r="Y116" s="582">
        <f>ROUND(X116*$D116,10)</f>
        <v>0</v>
      </c>
      <c r="Z116" s="581">
        <f>+'3,5,3  Relleno M seleccionado'!I30</f>
        <v>7102</v>
      </c>
      <c r="AA116" s="582">
        <f>ROUND(Z116*$D116,10)</f>
        <v>0</v>
      </c>
      <c r="AB116" s="581">
        <f>+'3,5,3  Relleno M seleccionado'!I41</f>
        <v>0</v>
      </c>
      <c r="AC116" s="582">
        <f>ROUND(AB116*$D116,10)</f>
        <v>0</v>
      </c>
      <c r="AE116" s="769">
        <f t="shared" si="61"/>
        <v>0</v>
      </c>
    </row>
    <row r="117" spans="1:31" ht="15" hidden="1" customHeight="1" x14ac:dyDescent="0.2">
      <c r="A117" s="627" t="s">
        <v>757</v>
      </c>
      <c r="B117" s="610" t="s">
        <v>758</v>
      </c>
      <c r="C117" s="627" t="s">
        <v>155</v>
      </c>
      <c r="D117" s="576">
        <f>+I117+K117+M117+O117+Q117+S117</f>
        <v>0</v>
      </c>
      <c r="E117" s="577">
        <f t="shared" si="63"/>
        <v>22529.02</v>
      </c>
      <c r="F117" s="577">
        <f>ROUND(D117*E117,10)</f>
        <v>0</v>
      </c>
      <c r="G117" s="578"/>
      <c r="I117" s="584"/>
      <c r="J117" s="624">
        <f>+ROUND(E117*I117,10)</f>
        <v>0</v>
      </c>
      <c r="K117" s="537"/>
      <c r="L117" s="445">
        <f>+ROUND(E117*K117,10)</f>
        <v>0</v>
      </c>
      <c r="M117" s="542"/>
      <c r="N117" s="445">
        <f>+ROUND(E117*M117,10)</f>
        <v>0</v>
      </c>
      <c r="O117" s="542"/>
      <c r="P117" s="445">
        <f>+ROUND(E117*O117,10)</f>
        <v>0</v>
      </c>
      <c r="Q117" s="542"/>
      <c r="R117" s="445">
        <f>+ROUND(E117*Q117,10)</f>
        <v>0</v>
      </c>
      <c r="S117" s="542"/>
      <c r="T117" s="445">
        <f>+ROUND(E117*S117,10)</f>
        <v>0</v>
      </c>
      <c r="V117" s="581">
        <f>+'3,5,4 Relleno M Común '!I19</f>
        <v>0</v>
      </c>
      <c r="W117" s="582">
        <f>ROUND(V117*$D117,10)</f>
        <v>0</v>
      </c>
      <c r="X117" s="581">
        <f>+'3,5,4 Relleno M Común '!I50</f>
        <v>15427.02</v>
      </c>
      <c r="Y117" s="582">
        <f>ROUND(X117*$D117,10)</f>
        <v>0</v>
      </c>
      <c r="Z117" s="581">
        <f>+'3,5,4 Relleno M Común '!I30</f>
        <v>7102</v>
      </c>
      <c r="AA117" s="582">
        <f>ROUND(Z117*$D117,10)</f>
        <v>0</v>
      </c>
      <c r="AB117" s="581">
        <f>+'3,5,4 Relleno M Común '!I41</f>
        <v>0</v>
      </c>
      <c r="AC117" s="582">
        <f>ROUND(AB117*$D117,10)</f>
        <v>0</v>
      </c>
      <c r="AE117" s="769">
        <f t="shared" si="61"/>
        <v>0</v>
      </c>
    </row>
    <row r="118" spans="1:31" ht="15" hidden="1" customHeight="1" x14ac:dyDescent="0.2">
      <c r="A118" s="627" t="s">
        <v>759</v>
      </c>
      <c r="B118" s="610" t="s">
        <v>760</v>
      </c>
      <c r="C118" s="627" t="s">
        <v>155</v>
      </c>
      <c r="D118" s="576">
        <f>+I118+K118+M118+O118+Q118+S118</f>
        <v>0</v>
      </c>
      <c r="E118" s="577">
        <f t="shared" si="63"/>
        <v>9568.51</v>
      </c>
      <c r="F118" s="577">
        <f>ROUND(D118*E118,10)</f>
        <v>0</v>
      </c>
      <c r="G118" s="578"/>
      <c r="I118" s="597"/>
      <c r="J118" s="625">
        <f>+ROUND(E118*I118,10)</f>
        <v>0</v>
      </c>
      <c r="K118" s="537"/>
      <c r="L118" s="445">
        <f>+ROUND(E118*K118,10)</f>
        <v>0</v>
      </c>
      <c r="M118" s="542"/>
      <c r="N118" s="445">
        <f>+ROUND(E118*M118,10)</f>
        <v>0</v>
      </c>
      <c r="O118" s="542"/>
      <c r="P118" s="445">
        <f>+ROUND(E118*O118,10)</f>
        <v>0</v>
      </c>
      <c r="Q118" s="542"/>
      <c r="R118" s="445">
        <f>+ROUND(E118*Q118,10)</f>
        <v>0</v>
      </c>
      <c r="S118" s="542"/>
      <c r="T118" s="445">
        <f>+ROUND(E118*S118,10)</f>
        <v>0</v>
      </c>
      <c r="V118" s="581">
        <f>+'3,5,5 Retiro sobrantes'!I19</f>
        <v>0</v>
      </c>
      <c r="W118" s="582">
        <f>ROUND(V118*$D118,10)</f>
        <v>0</v>
      </c>
      <c r="X118" s="581">
        <f>+'3,5,5 Retiro sobrantes'!I50</f>
        <v>7713.51</v>
      </c>
      <c r="Y118" s="582">
        <f>ROUND(X118*$D118,10)</f>
        <v>0</v>
      </c>
      <c r="Z118" s="581">
        <f>+'3,5,5 Retiro sobrantes'!I30</f>
        <v>1855</v>
      </c>
      <c r="AA118" s="582">
        <f>ROUND(Z118*$D118,10)</f>
        <v>0</v>
      </c>
      <c r="AB118" s="581">
        <f>+'3,5,5 Retiro sobrantes'!I41</f>
        <v>0</v>
      </c>
      <c r="AC118" s="582">
        <f>ROUND(AB118*$D118,10)</f>
        <v>0</v>
      </c>
      <c r="AE118" s="769">
        <f t="shared" si="61"/>
        <v>0</v>
      </c>
    </row>
    <row r="119" spans="1:31" ht="15" hidden="1" customHeight="1" x14ac:dyDescent="0.2">
      <c r="A119" s="622">
        <v>3.6</v>
      </c>
      <c r="B119" s="623" t="s">
        <v>598</v>
      </c>
      <c r="C119" s="627"/>
      <c r="D119" s="576"/>
      <c r="E119" s="577"/>
      <c r="F119" s="626">
        <f>+ROUND(SUM(F120),10)</f>
        <v>0</v>
      </c>
      <c r="G119" s="578"/>
      <c r="I119" s="613"/>
      <c r="J119" s="440">
        <f>ROUND(SUM(J120),10)</f>
        <v>0</v>
      </c>
      <c r="K119" s="537"/>
      <c r="L119" s="180">
        <f>ROUND(SUM(L120),10)</f>
        <v>0</v>
      </c>
      <c r="M119" s="542"/>
      <c r="N119" s="180">
        <f>ROUND(SUM(N120),10)</f>
        <v>0</v>
      </c>
      <c r="O119" s="542"/>
      <c r="P119" s="180">
        <f>ROUND(SUM(P120),10)</f>
        <v>0</v>
      </c>
      <c r="Q119" s="542"/>
      <c r="R119" s="180">
        <f>ROUND(SUM(R120),10)</f>
        <v>0</v>
      </c>
      <c r="S119" s="542"/>
      <c r="T119" s="180">
        <f>ROUND(SUM(T120),10)</f>
        <v>0</v>
      </c>
      <c r="V119" s="581"/>
      <c r="W119" s="570">
        <f>ROUND(SUM(W120),10)</f>
        <v>0</v>
      </c>
      <c r="X119" s="581"/>
      <c r="Y119" s="570">
        <f>ROUND(SUM(Y120),10)</f>
        <v>0</v>
      </c>
      <c r="Z119" s="581"/>
      <c r="AA119" s="570">
        <f>ROUND(SUM(AA120),10)</f>
        <v>0</v>
      </c>
      <c r="AB119" s="581"/>
      <c r="AC119" s="570">
        <f>ROUND(SUM(AC120),10)</f>
        <v>0</v>
      </c>
      <c r="AE119" s="769">
        <f t="shared" si="61"/>
        <v>0</v>
      </c>
    </row>
    <row r="120" spans="1:31" ht="15" hidden="1" customHeight="1" thickBot="1" x14ac:dyDescent="0.25">
      <c r="A120" s="627" t="s">
        <v>761</v>
      </c>
      <c r="B120" s="610" t="s">
        <v>762</v>
      </c>
      <c r="C120" s="627" t="s">
        <v>111</v>
      </c>
      <c r="D120" s="576">
        <f>+I120+K120+M120+O120+Q120+S120</f>
        <v>0</v>
      </c>
      <c r="E120" s="577">
        <f t="shared" si="63"/>
        <v>0</v>
      </c>
      <c r="F120" s="577">
        <f>ROUND(D120*E120,10)</f>
        <v>0</v>
      </c>
      <c r="G120" s="578"/>
      <c r="I120" s="628"/>
      <c r="J120" s="629">
        <f>+ROUND(E120*I120,10)</f>
        <v>0</v>
      </c>
      <c r="K120" s="537"/>
      <c r="L120" s="445">
        <f>+ROUND(E120*K120,10)</f>
        <v>0</v>
      </c>
      <c r="M120" s="542"/>
      <c r="N120" s="445">
        <f>+ROUND(E120*M120,10)</f>
        <v>0</v>
      </c>
      <c r="O120" s="542"/>
      <c r="P120" s="445">
        <f>+ROUND(E120*O120,10)</f>
        <v>0</v>
      </c>
      <c r="Q120" s="542"/>
      <c r="R120" s="445">
        <f>+ROUND(E120*Q120,10)</f>
        <v>0</v>
      </c>
      <c r="S120" s="542"/>
      <c r="T120" s="445">
        <f>+ROUND(E120*S120,10)</f>
        <v>0</v>
      </c>
      <c r="V120" s="581"/>
      <c r="W120" s="582">
        <f>ROUND(V120*$D120,10)</f>
        <v>0</v>
      </c>
      <c r="X120" s="581"/>
      <c r="Y120" s="582">
        <f>ROUND(X120*$D120,10)</f>
        <v>0</v>
      </c>
      <c r="Z120" s="581"/>
      <c r="AA120" s="582">
        <f>ROUND(Z120*$D120,10)</f>
        <v>0</v>
      </c>
      <c r="AB120" s="581"/>
      <c r="AC120" s="582">
        <f>ROUND(AB120*$D120,10)</f>
        <v>0</v>
      </c>
      <c r="AE120" s="769">
        <f t="shared" si="61"/>
        <v>0</v>
      </c>
    </row>
    <row r="121" spans="1:31" ht="15" hidden="1" customHeight="1" thickTop="1" x14ac:dyDescent="0.2">
      <c r="A121" s="611"/>
      <c r="B121" s="601"/>
      <c r="C121" s="611"/>
      <c r="D121" s="576"/>
      <c r="E121" s="577"/>
      <c r="F121" s="577"/>
      <c r="G121" s="578"/>
      <c r="I121" s="604"/>
      <c r="J121" s="630"/>
      <c r="K121" s="537"/>
      <c r="L121" s="445"/>
      <c r="M121" s="542"/>
      <c r="N121" s="445"/>
      <c r="O121" s="542"/>
      <c r="P121" s="445"/>
      <c r="Q121" s="542"/>
      <c r="R121" s="445"/>
      <c r="S121" s="542"/>
      <c r="T121" s="445"/>
      <c r="V121" s="581"/>
      <c r="W121" s="582"/>
      <c r="X121" s="581"/>
      <c r="Y121" s="582"/>
      <c r="Z121" s="581"/>
      <c r="AA121" s="582"/>
      <c r="AB121" s="581"/>
      <c r="AC121" s="582"/>
      <c r="AE121" s="769">
        <f t="shared" si="61"/>
        <v>0</v>
      </c>
    </row>
    <row r="122" spans="1:31" ht="6" customHeight="1" thickBot="1" x14ac:dyDescent="0.25">
      <c r="A122" s="910"/>
      <c r="B122" s="911"/>
      <c r="C122" s="910"/>
      <c r="G122" s="174"/>
      <c r="I122" s="604"/>
      <c r="J122" s="604"/>
      <c r="K122" s="605"/>
      <c r="L122" s="604"/>
      <c r="M122" s="606"/>
      <c r="N122" s="604"/>
      <c r="O122" s="606"/>
      <c r="P122" s="604"/>
      <c r="Q122" s="606"/>
      <c r="R122" s="604"/>
      <c r="S122" s="606"/>
      <c r="T122" s="604"/>
      <c r="V122" s="615"/>
      <c r="W122" s="615"/>
      <c r="X122" s="615"/>
      <c r="Y122" s="615"/>
      <c r="Z122" s="615"/>
      <c r="AA122" s="615"/>
      <c r="AB122" s="615"/>
      <c r="AC122" s="615"/>
      <c r="AE122" s="769"/>
    </row>
    <row r="123" spans="1:31" s="571" customFormat="1" ht="30" customHeight="1" thickTop="1" thickBot="1" x14ac:dyDescent="0.25">
      <c r="A123" s="564">
        <v>4</v>
      </c>
      <c r="B123" s="1068" t="s">
        <v>763</v>
      </c>
      <c r="C123" s="1069"/>
      <c r="D123" s="1069"/>
      <c r="E123" s="1069"/>
      <c r="F123" s="1070"/>
      <c r="G123" s="180" t="e">
        <f>+ROUND(F124+F128+F132+F142+F147+F151+F166,10)</f>
        <v>#REF!</v>
      </c>
      <c r="H123" s="568"/>
      <c r="I123" s="616"/>
      <c r="J123" s="439" t="e">
        <f>+ROUND(J124+J128+J132+J142+J147+J151+J166,10)</f>
        <v>#REF!</v>
      </c>
      <c r="K123" s="617"/>
      <c r="L123" s="180" t="e">
        <f>+ROUND(L124+L128+L132+L142+L147+L151+L166,10)</f>
        <v>#REF!</v>
      </c>
      <c r="M123" s="180"/>
      <c r="N123" s="180" t="e">
        <f>+ROUND(N124+N128+N132+N142+N147+N151+N166,10)</f>
        <v>#REF!</v>
      </c>
      <c r="O123" s="180"/>
      <c r="P123" s="180" t="e">
        <f>+ROUND(P124+P128+P132+P142+P147+P151+P166,10)</f>
        <v>#REF!</v>
      </c>
      <c r="Q123" s="180"/>
      <c r="R123" s="180" t="e">
        <f>+ROUND(R124+R128+R132+R142+R147+R151+R166,10)</f>
        <v>#REF!</v>
      </c>
      <c r="S123" s="180"/>
      <c r="T123" s="180" t="e">
        <f>+ROUND(T124+T128+T132+T142+T147+T151+T166,10)</f>
        <v>#REF!</v>
      </c>
      <c r="U123" s="568"/>
      <c r="V123" s="569" t="e">
        <f>W123/$G$123</f>
        <v>#REF!</v>
      </c>
      <c r="W123" s="570" t="e">
        <f>ROUND(W124+W128+W132+W142+W147+W151+W166,10)</f>
        <v>#REF!</v>
      </c>
      <c r="X123" s="569" t="e">
        <f>Y123/$G$123</f>
        <v>#REF!</v>
      </c>
      <c r="Y123" s="570" t="e">
        <f>ROUND(Y124+Y128+Y132+Y142+Y147+Y151+Y166,10)</f>
        <v>#REF!</v>
      </c>
      <c r="Z123" s="569" t="e">
        <f>AA123/$G$123</f>
        <v>#REF!</v>
      </c>
      <c r="AA123" s="570" t="e">
        <f>ROUND(AA124+AA128+AA132+AA142+AA147+AA151+AA166,10)</f>
        <v>#REF!</v>
      </c>
      <c r="AB123" s="569" t="e">
        <f>AC123/$G$123</f>
        <v>#REF!</v>
      </c>
      <c r="AC123" s="570" t="e">
        <f>ROUND(AC124+AC128+AC132+AC142+AC147+AC151+AC166,10)</f>
        <v>#REF!</v>
      </c>
      <c r="AE123" s="769" t="e">
        <f t="shared" si="61"/>
        <v>#REF!</v>
      </c>
    </row>
    <row r="124" spans="1:31" s="571" customFormat="1" ht="18" customHeight="1" thickTop="1" x14ac:dyDescent="0.2">
      <c r="A124" s="572" t="s">
        <v>764</v>
      </c>
      <c r="B124" s="573" t="s">
        <v>765</v>
      </c>
      <c r="C124" s="846"/>
      <c r="D124" s="576"/>
      <c r="E124" s="180"/>
      <c r="F124" s="180" t="e">
        <f>+ROUND(SUM(F125:F127),10)</f>
        <v>#REF!</v>
      </c>
      <c r="G124" s="473"/>
      <c r="H124" s="568"/>
      <c r="I124" s="618"/>
      <c r="J124" s="439" t="e">
        <f>ROUND(SUM(J125:J127),10)</f>
        <v>#REF!</v>
      </c>
      <c r="K124" s="619"/>
      <c r="L124" s="180" t="e">
        <f>ROUND(SUM(L125:L127),10)</f>
        <v>#REF!</v>
      </c>
      <c r="M124" s="620"/>
      <c r="N124" s="180" t="e">
        <f>ROUND(SUM(N125:N127),10)</f>
        <v>#REF!</v>
      </c>
      <c r="O124" s="620"/>
      <c r="P124" s="180" t="e">
        <f>ROUND(SUM(P125:P127),10)</f>
        <v>#REF!</v>
      </c>
      <c r="Q124" s="620"/>
      <c r="R124" s="180" t="e">
        <f>ROUND(SUM(R125:R127),10)</f>
        <v>#REF!</v>
      </c>
      <c r="S124" s="620"/>
      <c r="T124" s="180" t="e">
        <f>ROUND(SUM(T125:T127),10)</f>
        <v>#REF!</v>
      </c>
      <c r="U124" s="568"/>
      <c r="V124" s="575"/>
      <c r="W124" s="570" t="e">
        <f>ROUND(SUM(W125:W127),10)</f>
        <v>#REF!</v>
      </c>
      <c r="X124" s="575"/>
      <c r="Y124" s="570" t="e">
        <f>ROUND(SUM(Y125:Y127),10)</f>
        <v>#REF!</v>
      </c>
      <c r="Z124" s="575"/>
      <c r="AA124" s="570" t="e">
        <f>ROUND(SUM(AA125:AA127),10)</f>
        <v>#REF!</v>
      </c>
      <c r="AB124" s="575"/>
      <c r="AC124" s="570" t="e">
        <f>ROUND(SUM(AC125:AC127),10)</f>
        <v>#REF!</v>
      </c>
      <c r="AE124" s="769" t="e">
        <f t="shared" si="61"/>
        <v>#REF!</v>
      </c>
    </row>
    <row r="125" spans="1:31" ht="15" customHeight="1" x14ac:dyDescent="0.2">
      <c r="A125" s="611" t="s">
        <v>766</v>
      </c>
      <c r="B125" s="601" t="s">
        <v>767</v>
      </c>
      <c r="C125" s="611" t="s">
        <v>155</v>
      </c>
      <c r="D125" s="576">
        <f>+I125+K125+M125+O125+Q125+S125</f>
        <v>29.819999999999997</v>
      </c>
      <c r="E125" s="577" t="e">
        <f t="shared" ref="E125:E169" si="111">V125+X125+Z125+AB125</f>
        <v>#REF!</v>
      </c>
      <c r="F125" s="577" t="e">
        <f>ROUND(D125*E125,10)</f>
        <v>#REF!</v>
      </c>
      <c r="G125" s="578"/>
      <c r="I125" s="594"/>
      <c r="J125" s="580" t="e">
        <f>+ROUND(E125*I125,10)</f>
        <v>#REF!</v>
      </c>
      <c r="K125" s="537">
        <f>21.96+0.25</f>
        <v>22.21</v>
      </c>
      <c r="L125" s="445" t="e">
        <f>+ROUND(E125*K125,10)</f>
        <v>#REF!</v>
      </c>
      <c r="M125" s="542">
        <v>2.76</v>
      </c>
      <c r="N125" s="445" t="e">
        <f>+ROUND(E125*M125,10)</f>
        <v>#REF!</v>
      </c>
      <c r="O125" s="537">
        <v>4.47</v>
      </c>
      <c r="P125" s="445" t="e">
        <f>+ROUND(E125*O125,10)</f>
        <v>#REF!</v>
      </c>
      <c r="Q125" s="537"/>
      <c r="R125" s="445" t="e">
        <f>+ROUND(E125*Q125,10)</f>
        <v>#REF!</v>
      </c>
      <c r="S125" s="537">
        <v>0.38</v>
      </c>
      <c r="T125" s="445" t="e">
        <f>+ROUND(E125*S125,10)</f>
        <v>#REF!</v>
      </c>
      <c r="V125" s="581" t="e">
        <f>+#REF!</f>
        <v>#REF!</v>
      </c>
      <c r="W125" s="582" t="e">
        <f>ROUND(V125*$D125,10)</f>
        <v>#REF!</v>
      </c>
      <c r="X125" s="581" t="e">
        <f>+#REF!</f>
        <v>#REF!</v>
      </c>
      <c r="Y125" s="582" t="e">
        <f>ROUND(X125*$D125,10)</f>
        <v>#REF!</v>
      </c>
      <c r="Z125" s="581" t="e">
        <f>+#REF!</f>
        <v>#REF!</v>
      </c>
      <c r="AA125" s="582" t="e">
        <f>ROUND(Z125*$D125,10)</f>
        <v>#REF!</v>
      </c>
      <c r="AB125" s="581" t="e">
        <f>+#REF!</f>
        <v>#REF!</v>
      </c>
      <c r="AC125" s="582" t="e">
        <f>ROUND(AB125*$D125,10)</f>
        <v>#REF!</v>
      </c>
      <c r="AE125" s="769" t="e">
        <f t="shared" si="61"/>
        <v>#REF!</v>
      </c>
    </row>
    <row r="126" spans="1:31" ht="15" hidden="1" customHeight="1" x14ac:dyDescent="0.2">
      <c r="A126" s="611" t="s">
        <v>768</v>
      </c>
      <c r="B126" s="649" t="s">
        <v>769</v>
      </c>
      <c r="C126" s="611" t="s">
        <v>155</v>
      </c>
      <c r="D126" s="576">
        <f>+I126+K126+M126+O126+Q126+S126</f>
        <v>0</v>
      </c>
      <c r="E126" s="577" t="e">
        <f t="shared" si="111"/>
        <v>#REF!</v>
      </c>
      <c r="F126" s="577" t="e">
        <f>ROUND(D126*E126,10)</f>
        <v>#REF!</v>
      </c>
      <c r="G126" s="578"/>
      <c r="I126" s="584"/>
      <c r="J126" s="585" t="e">
        <f>+ROUND(E126*I126,10)</f>
        <v>#REF!</v>
      </c>
      <c r="K126" s="537"/>
      <c r="L126" s="445" t="e">
        <f>+ROUND(E126*K126,10)</f>
        <v>#REF!</v>
      </c>
      <c r="M126" s="542"/>
      <c r="N126" s="445" t="e">
        <f>+ROUND(E126*M126,10)</f>
        <v>#REF!</v>
      </c>
      <c r="O126" s="542"/>
      <c r="P126" s="445" t="e">
        <f>+ROUND(E126*O126,10)</f>
        <v>#REF!</v>
      </c>
      <c r="Q126" s="542"/>
      <c r="R126" s="445" t="e">
        <f>+ROUND(E126*Q126,10)</f>
        <v>#REF!</v>
      </c>
      <c r="S126" s="542"/>
      <c r="T126" s="445" t="e">
        <f>+ROUND(E126*S126,10)</f>
        <v>#REF!</v>
      </c>
      <c r="V126" s="581" t="e">
        <f>+'4,1,2 Pantalla en concreto'!I19</f>
        <v>#REF!</v>
      </c>
      <c r="W126" s="582" t="e">
        <f>ROUND(V126*$D126,10)</f>
        <v>#REF!</v>
      </c>
      <c r="X126" s="581">
        <f>+'4,1,2 Pantalla en concreto'!I50</f>
        <v>258740.02</v>
      </c>
      <c r="Y126" s="582">
        <f>ROUND(X126*$D126,10)</f>
        <v>0</v>
      </c>
      <c r="Z126" s="581">
        <f>+'4,1,2 Pantalla en concreto'!I30</f>
        <v>29828.400000000001</v>
      </c>
      <c r="AA126" s="582">
        <f>ROUND(Z126*$D126,10)</f>
        <v>0</v>
      </c>
      <c r="AB126" s="581">
        <f>+'4,1,2 Pantalla en concreto'!I41</f>
        <v>0</v>
      </c>
      <c r="AC126" s="582">
        <f>ROUND(AB126*$D126,10)</f>
        <v>0</v>
      </c>
      <c r="AE126" s="769" t="e">
        <f t="shared" si="61"/>
        <v>#REF!</v>
      </c>
    </row>
    <row r="127" spans="1:31" ht="15.75" hidden="1" customHeight="1" x14ac:dyDescent="0.2">
      <c r="A127" s="611" t="s">
        <v>770</v>
      </c>
      <c r="B127" s="649" t="s">
        <v>771</v>
      </c>
      <c r="C127" s="611" t="s">
        <v>155</v>
      </c>
      <c r="D127" s="576">
        <f>+I127+K127+M127+O127+Q127+S127</f>
        <v>0</v>
      </c>
      <c r="E127" s="577" t="e">
        <f t="shared" si="111"/>
        <v>#REF!</v>
      </c>
      <c r="F127" s="577" t="e">
        <f>ROUND(D127*E127,10)</f>
        <v>#REF!</v>
      </c>
      <c r="G127" s="578"/>
      <c r="I127" s="597"/>
      <c r="J127" s="598" t="e">
        <f>+ROUND(E127*I127,10)</f>
        <v>#REF!</v>
      </c>
      <c r="K127" s="537"/>
      <c r="L127" s="445" t="e">
        <f>+ROUND(E127*K127,10)</f>
        <v>#REF!</v>
      </c>
      <c r="M127" s="542"/>
      <c r="N127" s="445" t="e">
        <f>+ROUND(E127*M127,10)</f>
        <v>#REF!</v>
      </c>
      <c r="O127" s="542"/>
      <c r="P127" s="445" t="e">
        <f>+ROUND(E127*O127,10)</f>
        <v>#REF!</v>
      </c>
      <c r="Q127" s="542"/>
      <c r="R127" s="445" t="e">
        <f>+ROUND(E127*Q127,10)</f>
        <v>#REF!</v>
      </c>
      <c r="S127" s="542"/>
      <c r="T127" s="445" t="e">
        <f>+ROUND(E127*S127,10)</f>
        <v>#REF!</v>
      </c>
      <c r="V127" s="581" t="e">
        <f>+'4,1,3 Muros'!I19</f>
        <v>#REF!</v>
      </c>
      <c r="W127" s="582" t="e">
        <f>ROUND(V127*$D127,10)</f>
        <v>#REF!</v>
      </c>
      <c r="X127" s="581">
        <f>+'4,1,3 Muros'!I50</f>
        <v>246911.91</v>
      </c>
      <c r="Y127" s="582">
        <f>ROUND(X127*$D127,10)</f>
        <v>0</v>
      </c>
      <c r="Z127" s="581">
        <f>+'4,1,3 Muros'!I30</f>
        <v>12614</v>
      </c>
      <c r="AA127" s="582">
        <f>ROUND(Z127*$D127,10)</f>
        <v>0</v>
      </c>
      <c r="AB127" s="581">
        <f>+'4,1,3 Muros'!I41</f>
        <v>0</v>
      </c>
      <c r="AC127" s="582">
        <f>ROUND(AB127*$D127,10)</f>
        <v>0</v>
      </c>
      <c r="AE127" s="769" t="e">
        <f t="shared" si="61"/>
        <v>#REF!</v>
      </c>
    </row>
    <row r="128" spans="1:31" s="568" customFormat="1" ht="18" customHeight="1" x14ac:dyDescent="0.2">
      <c r="A128" s="572" t="s">
        <v>772</v>
      </c>
      <c r="B128" s="573" t="s">
        <v>773</v>
      </c>
      <c r="C128" s="846"/>
      <c r="D128" s="576"/>
      <c r="E128" s="577"/>
      <c r="F128" s="180" t="e">
        <f>+ROUND(SUM(F129:F131),10)</f>
        <v>#REF!</v>
      </c>
      <c r="G128" s="473"/>
      <c r="I128" s="613"/>
      <c r="J128" s="440" t="e">
        <f>ROUND(SUM(J129:J131),10)</f>
        <v>#REF!</v>
      </c>
      <c r="K128" s="537"/>
      <c r="L128" s="180" t="e">
        <f>ROUND(SUM(L129:L131),10)</f>
        <v>#REF!</v>
      </c>
      <c r="M128" s="542"/>
      <c r="N128" s="180" t="e">
        <f>ROUND(SUM(N129:N131),10)</f>
        <v>#REF!</v>
      </c>
      <c r="O128" s="542"/>
      <c r="P128" s="180" t="e">
        <f>ROUND(SUM(P129:P131),10)</f>
        <v>#REF!</v>
      </c>
      <c r="Q128" s="542"/>
      <c r="R128" s="180" t="e">
        <f>ROUND(SUM(R129:R131),10)</f>
        <v>#REF!</v>
      </c>
      <c r="S128" s="542"/>
      <c r="T128" s="180" t="e">
        <f>ROUND(SUM(T129:T131),10)</f>
        <v>#REF!</v>
      </c>
      <c r="V128" s="575"/>
      <c r="W128" s="570" t="e">
        <f>ROUND(SUM(W129:W131),10)</f>
        <v>#REF!</v>
      </c>
      <c r="X128" s="575"/>
      <c r="Y128" s="570" t="e">
        <f>ROUND(SUM(Y129:Y131),10)</f>
        <v>#REF!</v>
      </c>
      <c r="Z128" s="575"/>
      <c r="AA128" s="570" t="e">
        <f>ROUND(SUM(AA129:AA131),10)</f>
        <v>#REF!</v>
      </c>
      <c r="AB128" s="575"/>
      <c r="AC128" s="570" t="e">
        <f>ROUND(SUM(AC129:AC131),10)</f>
        <v>#REF!</v>
      </c>
      <c r="AE128" s="769" t="e">
        <f t="shared" si="61"/>
        <v>#REF!</v>
      </c>
    </row>
    <row r="129" spans="1:31" ht="15" customHeight="1" x14ac:dyDescent="0.2">
      <c r="A129" s="611" t="s">
        <v>774</v>
      </c>
      <c r="B129" s="601" t="s">
        <v>775</v>
      </c>
      <c r="C129" s="611" t="s">
        <v>155</v>
      </c>
      <c r="D129" s="576">
        <f>+I129+K129+M129+O129+Q129+S129</f>
        <v>19.019999999999996</v>
      </c>
      <c r="E129" s="577" t="e">
        <f t="shared" si="111"/>
        <v>#REF!</v>
      </c>
      <c r="F129" s="577" t="e">
        <f>ROUND(D129*E129,10)</f>
        <v>#REF!</v>
      </c>
      <c r="G129" s="578"/>
      <c r="I129" s="594"/>
      <c r="J129" s="580" t="e">
        <f>+ROUND(E129*I129,10)</f>
        <v>#REF!</v>
      </c>
      <c r="K129" s="537">
        <v>13.62</v>
      </c>
      <c r="L129" s="445" t="e">
        <f>+ROUND(E129*K129,10)</f>
        <v>#REF!</v>
      </c>
      <c r="M129" s="542">
        <v>1.45</v>
      </c>
      <c r="N129" s="445" t="e">
        <f>+ROUND(E129*M129,10)</f>
        <v>#REF!</v>
      </c>
      <c r="O129" s="542"/>
      <c r="P129" s="445" t="e">
        <f>+ROUND(E129*O129,10)</f>
        <v>#REF!</v>
      </c>
      <c r="Q129" s="537">
        <v>2.64</v>
      </c>
      <c r="R129" s="445" t="e">
        <f>+ROUND(E129*Q129,10)</f>
        <v>#REF!</v>
      </c>
      <c r="S129" s="537">
        <v>1.31</v>
      </c>
      <c r="T129" s="445" t="e">
        <f>+ROUND(E129*S129,10)</f>
        <v>#REF!</v>
      </c>
      <c r="V129" s="581" t="e">
        <f>+#REF!</f>
        <v>#REF!</v>
      </c>
      <c r="W129" s="582" t="e">
        <f>ROUND(V129*$D129,10)</f>
        <v>#REF!</v>
      </c>
      <c r="X129" s="581" t="e">
        <f>+#REF!</f>
        <v>#REF!</v>
      </c>
      <c r="Y129" s="582" t="e">
        <f>ROUND(X129*$D129,10)</f>
        <v>#REF!</v>
      </c>
      <c r="Z129" s="581" t="e">
        <f>+#REF!</f>
        <v>#REF!</v>
      </c>
      <c r="AA129" s="582" t="e">
        <f>ROUND(Z129*$D129,10)</f>
        <v>#REF!</v>
      </c>
      <c r="AB129" s="581" t="e">
        <f>+#REF!</f>
        <v>#REF!</v>
      </c>
      <c r="AC129" s="582" t="e">
        <f>ROUND(AB129*$D129,10)</f>
        <v>#REF!</v>
      </c>
      <c r="AE129" s="769" t="e">
        <f t="shared" si="61"/>
        <v>#REF!</v>
      </c>
    </row>
    <row r="130" spans="1:31" ht="15" customHeight="1" x14ac:dyDescent="0.2">
      <c r="A130" s="611" t="s">
        <v>776</v>
      </c>
      <c r="B130" s="649" t="s">
        <v>777</v>
      </c>
      <c r="C130" s="611" t="s">
        <v>155</v>
      </c>
      <c r="D130" s="576">
        <f>+I130+K130+M130+O130+Q130+S130</f>
        <v>13.33</v>
      </c>
      <c r="E130" s="577" t="e">
        <f t="shared" si="111"/>
        <v>#REF!</v>
      </c>
      <c r="F130" s="577" t="e">
        <f>ROUND(D130*E130,10)</f>
        <v>#REF!</v>
      </c>
      <c r="G130" s="578"/>
      <c r="I130" s="584"/>
      <c r="J130" s="585" t="e">
        <f>+ROUND(E130*I130,10)</f>
        <v>#REF!</v>
      </c>
      <c r="K130" s="537">
        <v>11.33</v>
      </c>
      <c r="L130" s="445" t="e">
        <f>+ROUND(E130*K130,10)</f>
        <v>#REF!</v>
      </c>
      <c r="M130" s="542">
        <v>2</v>
      </c>
      <c r="N130" s="445" t="e">
        <f>+ROUND(E130*M130,10)</f>
        <v>#REF!</v>
      </c>
      <c r="O130" s="542"/>
      <c r="P130" s="445" t="e">
        <f>+ROUND(E130*O130,10)</f>
        <v>#REF!</v>
      </c>
      <c r="Q130" s="542"/>
      <c r="R130" s="445" t="e">
        <f>+ROUND(E130*Q130,10)</f>
        <v>#REF!</v>
      </c>
      <c r="S130" s="542"/>
      <c r="T130" s="445" t="e">
        <f>+ROUND(E130*S130,10)</f>
        <v>#REF!</v>
      </c>
      <c r="V130" s="581" t="e">
        <f>#REF!</f>
        <v>#REF!</v>
      </c>
      <c r="W130" s="582" t="e">
        <f>ROUND(V130*$D130,10)</f>
        <v>#REF!</v>
      </c>
      <c r="X130" s="581" t="e">
        <f>#REF!</f>
        <v>#REF!</v>
      </c>
      <c r="Y130" s="582" t="e">
        <f>ROUND(X130*$D130,10)</f>
        <v>#REF!</v>
      </c>
      <c r="Z130" s="581" t="e">
        <f>#REF!</f>
        <v>#REF!</v>
      </c>
      <c r="AA130" s="582" t="e">
        <f>ROUND(Z130*$D130,10)</f>
        <v>#REF!</v>
      </c>
      <c r="AB130" s="581" t="e">
        <f>#REF!</f>
        <v>#REF!</v>
      </c>
      <c r="AC130" s="582" t="e">
        <f>ROUND(AB130*$D130,10)</f>
        <v>#REF!</v>
      </c>
      <c r="AE130" s="769" t="e">
        <f t="shared" si="61"/>
        <v>#REF!</v>
      </c>
    </row>
    <row r="131" spans="1:31" ht="15.75" hidden="1" customHeight="1" x14ac:dyDescent="0.2">
      <c r="A131" s="611" t="s">
        <v>778</v>
      </c>
      <c r="B131" s="601" t="s">
        <v>779</v>
      </c>
      <c r="C131" s="611" t="s">
        <v>155</v>
      </c>
      <c r="D131" s="576">
        <f>+I131+K131+M131+O131+Q131+S131</f>
        <v>0</v>
      </c>
      <c r="E131" s="577" t="e">
        <f t="shared" si="111"/>
        <v>#REF!</v>
      </c>
      <c r="F131" s="577" t="e">
        <f>ROUND(D131*E131,10)</f>
        <v>#REF!</v>
      </c>
      <c r="G131" s="578"/>
      <c r="I131" s="631"/>
      <c r="J131" s="598" t="e">
        <f>+ROUND(E131*I131,10)</f>
        <v>#REF!</v>
      </c>
      <c r="K131" s="539"/>
      <c r="L131" s="445" t="e">
        <f>+ROUND(E131*K131,10)</f>
        <v>#REF!</v>
      </c>
      <c r="M131" s="544"/>
      <c r="N131" s="445" t="e">
        <f>+ROUND(E131*M131,10)</f>
        <v>#REF!</v>
      </c>
      <c r="O131" s="544"/>
      <c r="P131" s="445" t="e">
        <f>+ROUND(E131*O131,10)</f>
        <v>#REF!</v>
      </c>
      <c r="Q131" s="544"/>
      <c r="R131" s="445" t="e">
        <f>+ROUND(E131*Q131,10)</f>
        <v>#REF!</v>
      </c>
      <c r="S131" s="544"/>
      <c r="T131" s="445" t="e">
        <f>+ROUND(E131*S131,10)</f>
        <v>#REF!</v>
      </c>
      <c r="V131" s="581" t="e">
        <f>+'4,2,3  Vigas Prefabricadas'!I18</f>
        <v>#REF!</v>
      </c>
      <c r="W131" s="582" t="e">
        <f>ROUND(V131*$D131,10)</f>
        <v>#REF!</v>
      </c>
      <c r="X131" s="581">
        <f>+'4,2,3  Vigas Prefabricadas'!I49</f>
        <v>216047.92</v>
      </c>
      <c r="Y131" s="582">
        <f>ROUND(X131*$D131,10)</f>
        <v>0</v>
      </c>
      <c r="Z131" s="581">
        <f>+'4,2,3  Vigas Prefabricadas'!I29</f>
        <v>9222</v>
      </c>
      <c r="AA131" s="582">
        <f>ROUND(Z131*$D131,10)</f>
        <v>0</v>
      </c>
      <c r="AB131" s="581">
        <f>+'4,2,3  Vigas Prefabricadas'!I40</f>
        <v>0</v>
      </c>
      <c r="AC131" s="582">
        <f>ROUND(AB131*$D131,10)</f>
        <v>0</v>
      </c>
      <c r="AE131" s="769" t="e">
        <f t="shared" si="61"/>
        <v>#REF!</v>
      </c>
    </row>
    <row r="132" spans="1:31" s="568" customFormat="1" ht="18" customHeight="1" x14ac:dyDescent="0.2">
      <c r="A132" s="572" t="s">
        <v>780</v>
      </c>
      <c r="B132" s="573" t="s">
        <v>781</v>
      </c>
      <c r="C132" s="846"/>
      <c r="D132" s="576"/>
      <c r="E132" s="577"/>
      <c r="F132" s="180" t="e">
        <f>+ROUND(SUM(F133:F141),10)</f>
        <v>#REF!</v>
      </c>
      <c r="G132" s="473"/>
      <c r="I132" s="613"/>
      <c r="J132" s="440" t="e">
        <f>ROUND(SUM(J133:J140),10)</f>
        <v>#REF!</v>
      </c>
      <c r="K132" s="537"/>
      <c r="L132" s="180" t="e">
        <f>ROUND(SUM(L133:L141),10)</f>
        <v>#REF!</v>
      </c>
      <c r="M132" s="542"/>
      <c r="N132" s="180" t="e">
        <f>ROUND(SUM(N133:N140),10)</f>
        <v>#REF!</v>
      </c>
      <c r="O132" s="542"/>
      <c r="P132" s="180" t="e">
        <f>ROUND(SUM(P133:P141),10)</f>
        <v>#REF!</v>
      </c>
      <c r="Q132" s="542"/>
      <c r="R132" s="180" t="e">
        <f>ROUND(SUM(R133:R141),10)</f>
        <v>#REF!</v>
      </c>
      <c r="S132" s="542"/>
      <c r="T132" s="180" t="e">
        <f>ROUND(SUM(T133:T141),10)</f>
        <v>#REF!</v>
      </c>
      <c r="V132" s="575"/>
      <c r="W132" s="570" t="e">
        <f>ROUND(SUM(W133:W141),10)</f>
        <v>#REF!</v>
      </c>
      <c r="X132" s="575"/>
      <c r="Y132" s="570" t="e">
        <f>ROUND(SUM(Y133:Y141),10)</f>
        <v>#REF!</v>
      </c>
      <c r="Z132" s="575"/>
      <c r="AA132" s="570" t="e">
        <f>ROUND(SUM(AA133:AA141),10)</f>
        <v>#REF!</v>
      </c>
      <c r="AB132" s="575"/>
      <c r="AC132" s="570" t="e">
        <f>ROUND(SUM(AC133:AC141),10)</f>
        <v>#REF!</v>
      </c>
      <c r="AE132" s="769" t="e">
        <f t="shared" si="61"/>
        <v>#REF!</v>
      </c>
    </row>
    <row r="133" spans="1:31" ht="15" customHeight="1" x14ac:dyDescent="0.2">
      <c r="A133" s="611" t="s">
        <v>782</v>
      </c>
      <c r="B133" s="601" t="s">
        <v>783</v>
      </c>
      <c r="C133" s="611" t="s">
        <v>130</v>
      </c>
      <c r="D133" s="576">
        <f t="shared" ref="D133:D140" si="112">+I133+K133+M133+O133+Q133+S133</f>
        <v>540.83999999999992</v>
      </c>
      <c r="E133" s="577" t="e">
        <f t="shared" si="111"/>
        <v>#REF!</v>
      </c>
      <c r="F133" s="577" t="e">
        <f t="shared" ref="F133:F141" si="113">ROUND(D133*E133,10)</f>
        <v>#REF!</v>
      </c>
      <c r="G133" s="578"/>
      <c r="I133" s="594"/>
      <c r="J133" s="580" t="e">
        <f t="shared" ref="J133:J141" si="114">+ROUND(E133*I133,10)</f>
        <v>#REF!</v>
      </c>
      <c r="K133" s="537">
        <v>283.61</v>
      </c>
      <c r="L133" s="445" t="e">
        <f t="shared" ref="L133:L141" si="115">+ROUND(E133*K133,10)</f>
        <v>#REF!</v>
      </c>
      <c r="M133" s="542">
        <v>87.45</v>
      </c>
      <c r="N133" s="445" t="e">
        <f t="shared" ref="N133:N141" si="116">+ROUND(E133*M133,10)</f>
        <v>#REF!</v>
      </c>
      <c r="O133" s="542">
        <v>73.959999999999994</v>
      </c>
      <c r="P133" s="445" t="e">
        <f t="shared" ref="P133:P141" si="117">+ROUND(E133*O133,10)</f>
        <v>#REF!</v>
      </c>
      <c r="Q133" s="542">
        <v>95.82</v>
      </c>
      <c r="R133" s="445" t="e">
        <f t="shared" ref="R133:R141" si="118">+ROUND(E133*Q133,10)</f>
        <v>#REF!</v>
      </c>
      <c r="S133" s="542"/>
      <c r="T133" s="445" t="e">
        <f t="shared" ref="T133:T141" si="119">+ROUND(E133*S133,10)</f>
        <v>#REF!</v>
      </c>
      <c r="V133" s="581" t="e">
        <f>+#REF!</f>
        <v>#REF!</v>
      </c>
      <c r="W133" s="582" t="e">
        <f t="shared" ref="W133:W141" si="120">ROUND(V133*$D133,10)</f>
        <v>#REF!</v>
      </c>
      <c r="X133" s="581" t="e">
        <f>+#REF!</f>
        <v>#REF!</v>
      </c>
      <c r="Y133" s="582" t="e">
        <f t="shared" ref="Y133:Y141" si="121">ROUND(X133*$D133,10)</f>
        <v>#REF!</v>
      </c>
      <c r="Z133" s="581" t="e">
        <f>+#REF!</f>
        <v>#REF!</v>
      </c>
      <c r="AA133" s="582" t="e">
        <f t="shared" ref="AA133:AA141" si="122">ROUND(Z133*$D133,10)</f>
        <v>#REF!</v>
      </c>
      <c r="AB133" s="581" t="e">
        <f>+#REF!</f>
        <v>#REF!</v>
      </c>
      <c r="AC133" s="582" t="e">
        <f t="shared" ref="AC133:AC141" si="123">ROUND(AB133*$D133,10)</f>
        <v>#REF!</v>
      </c>
      <c r="AE133" s="769" t="e">
        <f t="shared" si="61"/>
        <v>#REF!</v>
      </c>
    </row>
    <row r="134" spans="1:31" ht="15" customHeight="1" x14ac:dyDescent="0.2">
      <c r="A134" s="611" t="s">
        <v>784</v>
      </c>
      <c r="B134" s="601" t="s">
        <v>785</v>
      </c>
      <c r="C134" s="611" t="s">
        <v>130</v>
      </c>
      <c r="D134" s="576">
        <f t="shared" si="112"/>
        <v>30.96</v>
      </c>
      <c r="E134" s="577" t="e">
        <f t="shared" si="111"/>
        <v>#REF!</v>
      </c>
      <c r="F134" s="577" t="e">
        <f t="shared" si="113"/>
        <v>#REF!</v>
      </c>
      <c r="G134" s="578"/>
      <c r="I134" s="584"/>
      <c r="J134" s="585" t="e">
        <f t="shared" si="114"/>
        <v>#REF!</v>
      </c>
      <c r="K134" s="537"/>
      <c r="L134" s="445" t="e">
        <f t="shared" si="115"/>
        <v>#REF!</v>
      </c>
      <c r="M134" s="542"/>
      <c r="N134" s="445" t="e">
        <f t="shared" si="116"/>
        <v>#REF!</v>
      </c>
      <c r="O134" s="542">
        <v>30.96</v>
      </c>
      <c r="P134" s="445" t="e">
        <f t="shared" si="117"/>
        <v>#REF!</v>
      </c>
      <c r="Q134" s="537"/>
      <c r="R134" s="445" t="e">
        <f t="shared" si="118"/>
        <v>#REF!</v>
      </c>
      <c r="S134" s="542"/>
      <c r="T134" s="445" t="e">
        <f t="shared" si="119"/>
        <v>#REF!</v>
      </c>
      <c r="V134" s="581" t="e">
        <f>+'5,1,6 camara 5,20&lt;=h&lt;6,20'!I19</f>
        <v>#REF!</v>
      </c>
      <c r="W134" s="582" t="e">
        <f t="shared" si="120"/>
        <v>#REF!</v>
      </c>
      <c r="X134" s="581">
        <f>+'5,1,6 camara 5,20&lt;=h&lt;6,20'!I48</f>
        <v>2880638.93</v>
      </c>
      <c r="Y134" s="582">
        <f t="shared" si="121"/>
        <v>89184581.272799999</v>
      </c>
      <c r="Z134" s="581">
        <f>+'5,1,6 camara 5,20&lt;=h&lt;6,20'!I28</f>
        <v>40308.619999999995</v>
      </c>
      <c r="AA134" s="582">
        <f t="shared" si="122"/>
        <v>1247954.8751999999</v>
      </c>
      <c r="AB134" s="581">
        <f>+'5,1,6 camara 5,20&lt;=h&lt;6,20'!I39</f>
        <v>0</v>
      </c>
      <c r="AC134" s="582">
        <f t="shared" si="123"/>
        <v>0</v>
      </c>
      <c r="AE134" s="769" t="e">
        <f t="shared" si="61"/>
        <v>#REF!</v>
      </c>
    </row>
    <row r="135" spans="1:31" ht="15" hidden="1" customHeight="1" x14ac:dyDescent="0.2">
      <c r="A135" s="611" t="s">
        <v>786</v>
      </c>
      <c r="B135" s="601" t="s">
        <v>787</v>
      </c>
      <c r="C135" s="611" t="s">
        <v>130</v>
      </c>
      <c r="D135" s="576">
        <f t="shared" si="112"/>
        <v>0</v>
      </c>
      <c r="E135" s="577" t="e">
        <f t="shared" si="111"/>
        <v>#REF!</v>
      </c>
      <c r="F135" s="577" t="e">
        <f t="shared" si="113"/>
        <v>#REF!</v>
      </c>
      <c r="G135" s="578"/>
      <c r="I135" s="584"/>
      <c r="J135" s="585" t="e">
        <f t="shared" si="114"/>
        <v>#REF!</v>
      </c>
      <c r="K135" s="537"/>
      <c r="L135" s="445" t="e">
        <f t="shared" si="115"/>
        <v>#REF!</v>
      </c>
      <c r="M135" s="542"/>
      <c r="N135" s="445" t="e">
        <f t="shared" si="116"/>
        <v>#REF!</v>
      </c>
      <c r="O135" s="542"/>
      <c r="P135" s="445" t="e">
        <f t="shared" si="117"/>
        <v>#REF!</v>
      </c>
      <c r="Q135" s="542"/>
      <c r="R135" s="445" t="e">
        <f t="shared" si="118"/>
        <v>#REF!</v>
      </c>
      <c r="S135" s="542"/>
      <c r="T135" s="445" t="e">
        <f t="shared" si="119"/>
        <v>#REF!</v>
      </c>
      <c r="V135" s="581" t="e">
        <f>+'4,3,3 Caseton 45 cm'!I18</f>
        <v>#REF!</v>
      </c>
      <c r="W135" s="582" t="e">
        <f t="shared" si="120"/>
        <v>#REF!</v>
      </c>
      <c r="X135" s="581">
        <f>+'4,3,3 Caseton 45 cm'!I48</f>
        <v>36618.29</v>
      </c>
      <c r="Y135" s="582">
        <f t="shared" si="121"/>
        <v>0</v>
      </c>
      <c r="Z135" s="581">
        <f>+'4,3,3 Caseton 45 cm'!I28</f>
        <v>16713.54</v>
      </c>
      <c r="AA135" s="582">
        <f t="shared" si="122"/>
        <v>0</v>
      </c>
      <c r="AB135" s="581">
        <f>+'4,3,3 Caseton 45 cm'!I39</f>
        <v>0</v>
      </c>
      <c r="AC135" s="582">
        <f t="shared" si="123"/>
        <v>0</v>
      </c>
      <c r="AE135" s="769" t="e">
        <f t="shared" si="61"/>
        <v>#REF!</v>
      </c>
    </row>
    <row r="136" spans="1:31" ht="15" customHeight="1" x14ac:dyDescent="0.2">
      <c r="A136" s="611" t="s">
        <v>788</v>
      </c>
      <c r="B136" s="601" t="s">
        <v>789</v>
      </c>
      <c r="C136" s="611" t="s">
        <v>130</v>
      </c>
      <c r="D136" s="576">
        <f t="shared" si="112"/>
        <v>22.56</v>
      </c>
      <c r="E136" s="577" t="e">
        <f t="shared" si="111"/>
        <v>#REF!</v>
      </c>
      <c r="F136" s="577" t="e">
        <f t="shared" si="113"/>
        <v>#REF!</v>
      </c>
      <c r="G136" s="578"/>
      <c r="I136" s="584"/>
      <c r="J136" s="585" t="e">
        <f t="shared" si="114"/>
        <v>#REF!</v>
      </c>
      <c r="K136" s="537"/>
      <c r="L136" s="445" t="e">
        <f t="shared" si="115"/>
        <v>#REF!</v>
      </c>
      <c r="M136" s="542"/>
      <c r="N136" s="445" t="e">
        <f t="shared" si="116"/>
        <v>#REF!</v>
      </c>
      <c r="O136" s="542"/>
      <c r="P136" s="445" t="e">
        <f t="shared" si="117"/>
        <v>#REF!</v>
      </c>
      <c r="Q136" s="542">
        <v>22.56</v>
      </c>
      <c r="R136" s="445" t="e">
        <f t="shared" si="118"/>
        <v>#REF!</v>
      </c>
      <c r="S136" s="542"/>
      <c r="T136" s="445" t="e">
        <f t="shared" si="119"/>
        <v>#REF!</v>
      </c>
      <c r="V136" s="581" t="e">
        <f>+'5,1,7 camara 6,20&lt;=h&lt;7,20'!I19</f>
        <v>#REF!</v>
      </c>
      <c r="W136" s="582" t="e">
        <f t="shared" si="120"/>
        <v>#REF!</v>
      </c>
      <c r="X136" s="581">
        <f>+'5,1,7 camara 6,20&lt;=h&lt;7,20'!I47</f>
        <v>3323814.15</v>
      </c>
      <c r="Y136" s="582">
        <f t="shared" si="121"/>
        <v>74985247.224000007</v>
      </c>
      <c r="Z136" s="581">
        <f>+'5,1,7 camara 6,20&lt;=h&lt;7,20'!I27</f>
        <v>40308.619999999995</v>
      </c>
      <c r="AA136" s="582">
        <f t="shared" si="122"/>
        <v>909362.46719999996</v>
      </c>
      <c r="AB136" s="581">
        <f>+'5,1,7 camara 6,20&lt;=h&lt;7,20'!I38</f>
        <v>0</v>
      </c>
      <c r="AC136" s="582">
        <f t="shared" si="123"/>
        <v>0</v>
      </c>
      <c r="AE136" s="769" t="e">
        <f t="shared" si="61"/>
        <v>#REF!</v>
      </c>
    </row>
    <row r="137" spans="1:31" ht="15" hidden="1" customHeight="1" x14ac:dyDescent="0.2">
      <c r="A137" s="627" t="s">
        <v>790</v>
      </c>
      <c r="B137" s="610" t="s">
        <v>791</v>
      </c>
      <c r="C137" s="627" t="s">
        <v>130</v>
      </c>
      <c r="D137" s="576">
        <f t="shared" si="112"/>
        <v>0</v>
      </c>
      <c r="E137" s="577">
        <f t="shared" si="111"/>
        <v>0</v>
      </c>
      <c r="F137" s="577">
        <f t="shared" si="113"/>
        <v>0</v>
      </c>
      <c r="G137" s="578"/>
      <c r="I137" s="584"/>
      <c r="J137" s="585">
        <f t="shared" si="114"/>
        <v>0</v>
      </c>
      <c r="K137" s="537"/>
      <c r="L137" s="445">
        <f t="shared" si="115"/>
        <v>0</v>
      </c>
      <c r="M137" s="542"/>
      <c r="N137" s="445">
        <f t="shared" si="116"/>
        <v>0</v>
      </c>
      <c r="O137" s="542"/>
      <c r="P137" s="445">
        <f t="shared" si="117"/>
        <v>0</v>
      </c>
      <c r="Q137" s="542"/>
      <c r="R137" s="445">
        <f t="shared" si="118"/>
        <v>0</v>
      </c>
      <c r="S137" s="542"/>
      <c r="T137" s="445">
        <f t="shared" si="119"/>
        <v>0</v>
      </c>
      <c r="V137" s="581"/>
      <c r="W137" s="582">
        <f t="shared" si="120"/>
        <v>0</v>
      </c>
      <c r="X137" s="581"/>
      <c r="Y137" s="582">
        <f t="shared" si="121"/>
        <v>0</v>
      </c>
      <c r="Z137" s="581"/>
      <c r="AA137" s="582">
        <f t="shared" si="122"/>
        <v>0</v>
      </c>
      <c r="AB137" s="581"/>
      <c r="AC137" s="582">
        <f t="shared" si="123"/>
        <v>0</v>
      </c>
      <c r="AE137" s="769">
        <f t="shared" si="61"/>
        <v>0</v>
      </c>
    </row>
    <row r="138" spans="1:31" ht="15" hidden="1" customHeight="1" x14ac:dyDescent="0.2">
      <c r="A138" s="611" t="s">
        <v>792</v>
      </c>
      <c r="B138" s="601" t="s">
        <v>793</v>
      </c>
      <c r="C138" s="611" t="s">
        <v>130</v>
      </c>
      <c r="D138" s="576">
        <f t="shared" si="112"/>
        <v>0</v>
      </c>
      <c r="E138" s="577" t="e">
        <f t="shared" si="111"/>
        <v>#REF!</v>
      </c>
      <c r="F138" s="577" t="e">
        <f t="shared" si="113"/>
        <v>#REF!</v>
      </c>
      <c r="G138" s="578"/>
      <c r="I138" s="632"/>
      <c r="J138" s="585" t="e">
        <f t="shared" si="114"/>
        <v>#REF!</v>
      </c>
      <c r="K138" s="539"/>
      <c r="L138" s="445" t="e">
        <f t="shared" si="115"/>
        <v>#REF!</v>
      </c>
      <c r="M138" s="544"/>
      <c r="N138" s="445" t="e">
        <f t="shared" si="116"/>
        <v>#REF!</v>
      </c>
      <c r="O138" s="544"/>
      <c r="P138" s="445" t="e">
        <f t="shared" si="117"/>
        <v>#REF!</v>
      </c>
      <c r="Q138" s="544"/>
      <c r="R138" s="445" t="e">
        <f t="shared" si="118"/>
        <v>#REF!</v>
      </c>
      <c r="S138" s="544"/>
      <c r="T138" s="445" t="e">
        <f t="shared" si="119"/>
        <v>#REF!</v>
      </c>
      <c r="V138" s="581" t="e">
        <f>+'4,3,6 Placa maciza 0,20'!I19</f>
        <v>#REF!</v>
      </c>
      <c r="W138" s="582" t="e">
        <f t="shared" si="120"/>
        <v>#REF!</v>
      </c>
      <c r="X138" s="581">
        <f>+'4,3,6 Placa maciza 0,20'!I50</f>
        <v>36007.99</v>
      </c>
      <c r="Y138" s="582">
        <f t="shared" si="121"/>
        <v>0</v>
      </c>
      <c r="Z138" s="581">
        <f>+'4,3,6 Placa maciza 0,20'!I30</f>
        <v>75618.77</v>
      </c>
      <c r="AA138" s="582">
        <f t="shared" si="122"/>
        <v>0</v>
      </c>
      <c r="AB138" s="581">
        <f>+'4,3,6 Placa maciza 0,20'!I41</f>
        <v>0</v>
      </c>
      <c r="AC138" s="582">
        <f t="shared" si="123"/>
        <v>0</v>
      </c>
      <c r="AE138" s="769" t="e">
        <f t="shared" si="61"/>
        <v>#REF!</v>
      </c>
    </row>
    <row r="139" spans="1:31" ht="15" hidden="1" customHeight="1" x14ac:dyDescent="0.2">
      <c r="A139" s="611" t="s">
        <v>794</v>
      </c>
      <c r="B139" s="601" t="s">
        <v>795</v>
      </c>
      <c r="C139" s="611" t="s">
        <v>130</v>
      </c>
      <c r="D139" s="576">
        <f t="shared" si="112"/>
        <v>0</v>
      </c>
      <c r="E139" s="577" t="e">
        <f t="shared" si="111"/>
        <v>#REF!</v>
      </c>
      <c r="F139" s="577" t="e">
        <f t="shared" si="113"/>
        <v>#REF!</v>
      </c>
      <c r="G139" s="578"/>
      <c r="I139" s="632"/>
      <c r="J139" s="585" t="e">
        <f t="shared" si="114"/>
        <v>#REF!</v>
      </c>
      <c r="K139" s="537"/>
      <c r="L139" s="445" t="e">
        <f t="shared" si="115"/>
        <v>#REF!</v>
      </c>
      <c r="M139" s="542"/>
      <c r="N139" s="445" t="e">
        <f t="shared" si="116"/>
        <v>#REF!</v>
      </c>
      <c r="O139" s="542"/>
      <c r="P139" s="445" t="e">
        <f t="shared" si="117"/>
        <v>#REF!</v>
      </c>
      <c r="Q139" s="544"/>
      <c r="R139" s="445" t="e">
        <f t="shared" si="118"/>
        <v>#REF!</v>
      </c>
      <c r="S139" s="544"/>
      <c r="T139" s="445" t="e">
        <f t="shared" si="119"/>
        <v>#REF!</v>
      </c>
      <c r="V139" s="581" t="e">
        <f>+'4,3,7 Placa maciza 0,125'!I19</f>
        <v>#REF!</v>
      </c>
      <c r="W139" s="582" t="e">
        <f t="shared" si="120"/>
        <v>#REF!</v>
      </c>
      <c r="X139" s="581">
        <f>+'4,3,7 Placa maciza 0,125'!I50</f>
        <v>37573.550000000003</v>
      </c>
      <c r="Y139" s="582">
        <f t="shared" si="121"/>
        <v>0</v>
      </c>
      <c r="Z139" s="581">
        <f>+'4,3,7 Placa maciza 0,125'!I30</f>
        <v>75710.5</v>
      </c>
      <c r="AA139" s="582">
        <f t="shared" si="122"/>
        <v>0</v>
      </c>
      <c r="AB139" s="581">
        <f>+'4,3,7 Placa maciza 0,125'!I41</f>
        <v>0</v>
      </c>
      <c r="AC139" s="582">
        <f t="shared" si="123"/>
        <v>0</v>
      </c>
      <c r="AE139" s="769" t="e">
        <f t="shared" si="61"/>
        <v>#REF!</v>
      </c>
    </row>
    <row r="140" spans="1:31" ht="15" customHeight="1" x14ac:dyDescent="0.2">
      <c r="A140" s="611" t="s">
        <v>796</v>
      </c>
      <c r="B140" s="601" t="s">
        <v>797</v>
      </c>
      <c r="C140" s="611" t="s">
        <v>130</v>
      </c>
      <c r="D140" s="576">
        <f t="shared" si="112"/>
        <v>24.79</v>
      </c>
      <c r="E140" s="577" t="e">
        <f t="shared" si="111"/>
        <v>#REF!</v>
      </c>
      <c r="F140" s="577" t="e">
        <f t="shared" si="113"/>
        <v>#REF!</v>
      </c>
      <c r="G140" s="578"/>
      <c r="I140" s="584"/>
      <c r="J140" s="585" t="e">
        <f t="shared" si="114"/>
        <v>#REF!</v>
      </c>
      <c r="K140" s="537">
        <v>8.48</v>
      </c>
      <c r="L140" s="445" t="e">
        <f t="shared" si="115"/>
        <v>#REF!</v>
      </c>
      <c r="M140" s="542">
        <v>13.59</v>
      </c>
      <c r="N140" s="445" t="e">
        <f t="shared" si="116"/>
        <v>#REF!</v>
      </c>
      <c r="O140" s="542">
        <v>2.72</v>
      </c>
      <c r="P140" s="445" t="e">
        <f t="shared" si="117"/>
        <v>#REF!</v>
      </c>
      <c r="Q140" s="542"/>
      <c r="R140" s="445" t="e">
        <f t="shared" si="118"/>
        <v>#REF!</v>
      </c>
      <c r="S140" s="542"/>
      <c r="T140" s="445" t="e">
        <f t="shared" si="119"/>
        <v>#REF!</v>
      </c>
      <c r="V140" s="581" t="e">
        <f>+'5,1,8 camara 7,20&lt;=h&lt;8,20'!I19</f>
        <v>#REF!</v>
      </c>
      <c r="W140" s="582" t="e">
        <f t="shared" si="120"/>
        <v>#REF!</v>
      </c>
      <c r="X140" s="581">
        <f>+'5,1,8 camara 7,20&lt;=h&lt;8,20'!I50</f>
        <v>3600798.67</v>
      </c>
      <c r="Y140" s="582">
        <f t="shared" si="121"/>
        <v>89263799.029300004</v>
      </c>
      <c r="Z140" s="581">
        <f>+'5,1,8 camara 7,20&lt;=h&lt;8,20'!I30</f>
        <v>40308.619999999995</v>
      </c>
      <c r="AA140" s="582">
        <f t="shared" si="122"/>
        <v>999250.68980000005</v>
      </c>
      <c r="AB140" s="581">
        <f>+'5,1,8 camara 7,20&lt;=h&lt;8,20'!I41</f>
        <v>0</v>
      </c>
      <c r="AC140" s="582">
        <f t="shared" si="123"/>
        <v>0</v>
      </c>
      <c r="AE140" s="769" t="e">
        <f t="shared" ref="AE140:AE203" si="124">SUM(AC140,AA140,Y140,W140)-SUM(T140,R140,P140,N140,L140)</f>
        <v>#REF!</v>
      </c>
    </row>
    <row r="141" spans="1:31" ht="15" hidden="1" customHeight="1" x14ac:dyDescent="0.2">
      <c r="A141" s="611" t="s">
        <v>798</v>
      </c>
      <c r="B141" s="601" t="s">
        <v>799</v>
      </c>
      <c r="C141" s="611" t="s">
        <v>130</v>
      </c>
      <c r="D141" s="576">
        <f>+I141+K141+M141+O141+Q141+S141</f>
        <v>0</v>
      </c>
      <c r="E141" s="577" t="e">
        <f>V141+X141+Z141+AB141</f>
        <v>#REF!</v>
      </c>
      <c r="F141" s="577" t="e">
        <f t="shared" si="113"/>
        <v>#REF!</v>
      </c>
      <c r="G141" s="578"/>
      <c r="I141" s="633"/>
      <c r="J141" s="585" t="e">
        <f t="shared" si="114"/>
        <v>#REF!</v>
      </c>
      <c r="K141" s="537"/>
      <c r="L141" s="445" t="e">
        <f t="shared" si="115"/>
        <v>#REF!</v>
      </c>
      <c r="M141" s="542"/>
      <c r="N141" s="445" t="e">
        <f t="shared" si="116"/>
        <v>#REF!</v>
      </c>
      <c r="O141" s="542"/>
      <c r="P141" s="445" t="e">
        <f t="shared" si="117"/>
        <v>#REF!</v>
      </c>
      <c r="Q141" s="542"/>
      <c r="R141" s="445" t="e">
        <f t="shared" si="118"/>
        <v>#REF!</v>
      </c>
      <c r="S141" s="542"/>
      <c r="T141" s="445" t="e">
        <f t="shared" si="119"/>
        <v>#REF!</v>
      </c>
      <c r="V141" s="581" t="e">
        <f>+'4,3,9 Placa maciza 0,15'!I19</f>
        <v>#REF!</v>
      </c>
      <c r="W141" s="582" t="e">
        <f t="shared" si="120"/>
        <v>#REF!</v>
      </c>
      <c r="X141" s="581">
        <f>+'4,3,9 Placa maciza 0,15'!I50</f>
        <v>36007.99</v>
      </c>
      <c r="Y141" s="582">
        <f t="shared" si="121"/>
        <v>0</v>
      </c>
      <c r="Z141" s="581">
        <f>+'4,3,9 Placa maciza 0,15'!I30</f>
        <v>75710.5</v>
      </c>
      <c r="AA141" s="582">
        <f t="shared" si="122"/>
        <v>0</v>
      </c>
      <c r="AB141" s="581">
        <f>+'4,3,9 Placa maciza 0,15'!I41</f>
        <v>0</v>
      </c>
      <c r="AC141" s="582">
        <f t="shared" si="123"/>
        <v>0</v>
      </c>
      <c r="AE141" s="769" t="e">
        <f t="shared" si="124"/>
        <v>#REF!</v>
      </c>
    </row>
    <row r="142" spans="1:31" s="568" customFormat="1" ht="15.75" x14ac:dyDescent="0.2">
      <c r="A142" s="572" t="s">
        <v>800</v>
      </c>
      <c r="B142" s="573" t="s">
        <v>801</v>
      </c>
      <c r="C142" s="846"/>
      <c r="D142" s="576"/>
      <c r="E142" s="180"/>
      <c r="F142" s="180" t="e">
        <f>+ROUND(SUM(F143:F146),10)</f>
        <v>#REF!</v>
      </c>
      <c r="G142" s="473"/>
      <c r="I142" s="613"/>
      <c r="J142" s="440" t="e">
        <f>ROUND(SUM(J143:J146),10)</f>
        <v>#REF!</v>
      </c>
      <c r="K142" s="537"/>
      <c r="L142" s="180" t="e">
        <f>ROUND(SUM(L143:L146),10)</f>
        <v>#REF!</v>
      </c>
      <c r="M142" s="542"/>
      <c r="N142" s="180" t="e">
        <f>ROUND(SUM(N143:N146),10)</f>
        <v>#REF!</v>
      </c>
      <c r="O142" s="542"/>
      <c r="P142" s="180" t="e">
        <f>ROUND(SUM(P143:P146),10)</f>
        <v>#REF!</v>
      </c>
      <c r="Q142" s="542"/>
      <c r="R142" s="180" t="e">
        <f>ROUND(SUM(R143:R146),10)</f>
        <v>#REF!</v>
      </c>
      <c r="S142" s="542"/>
      <c r="T142" s="180" t="e">
        <f>ROUND(SUM(T143:T146),10)</f>
        <v>#REF!</v>
      </c>
      <c r="V142" s="575"/>
      <c r="W142" s="570" t="e">
        <f>ROUND(SUM(W143:W146),10)</f>
        <v>#REF!</v>
      </c>
      <c r="X142" s="575"/>
      <c r="Y142" s="570" t="e">
        <f>ROUND(SUM(Y143:Y146),10)</f>
        <v>#REF!</v>
      </c>
      <c r="Z142" s="575"/>
      <c r="AA142" s="570" t="e">
        <f>ROUND(SUM(AA143:AA146),10)</f>
        <v>#REF!</v>
      </c>
      <c r="AB142" s="575"/>
      <c r="AC142" s="570" t="e">
        <f>ROUND(SUM(AC143:AC146),10)</f>
        <v>#REF!</v>
      </c>
      <c r="AE142" s="769" t="e">
        <f t="shared" si="124"/>
        <v>#REF!</v>
      </c>
    </row>
    <row r="143" spans="1:31" ht="15" customHeight="1" x14ac:dyDescent="0.2">
      <c r="A143" s="611" t="s">
        <v>802</v>
      </c>
      <c r="B143" s="601" t="s">
        <v>803</v>
      </c>
      <c r="C143" s="611" t="s">
        <v>155</v>
      </c>
      <c r="D143" s="576">
        <f>+I143+K143+M143+O143+Q143+S143</f>
        <v>9.1199999999999992</v>
      </c>
      <c r="E143" s="577" t="e">
        <f t="shared" si="111"/>
        <v>#REF!</v>
      </c>
      <c r="F143" s="577" t="e">
        <f>ROUND(D143*E143,10)</f>
        <v>#REF!</v>
      </c>
      <c r="G143" s="578"/>
      <c r="I143" s="594"/>
      <c r="J143" s="580" t="e">
        <f>+ROUND(E143*I143,10)</f>
        <v>#REF!</v>
      </c>
      <c r="K143" s="537"/>
      <c r="L143" s="445" t="e">
        <f>+ROUND(E143*K143,10)</f>
        <v>#REF!</v>
      </c>
      <c r="M143" s="542"/>
      <c r="N143" s="445" t="e">
        <f>+ROUND(E143*M143,10)</f>
        <v>#REF!</v>
      </c>
      <c r="O143" s="542"/>
      <c r="P143" s="445" t="e">
        <f>+ROUND(E143*O143,10)</f>
        <v>#REF!</v>
      </c>
      <c r="Q143" s="542"/>
      <c r="R143" s="445" t="e">
        <f>+ROUND(E143*Q143,10)</f>
        <v>#REF!</v>
      </c>
      <c r="S143" s="542">
        <v>9.1199999999999992</v>
      </c>
      <c r="T143" s="445" t="e">
        <f>+ROUND(E143*S143,10)</f>
        <v>#REF!</v>
      </c>
      <c r="V143" s="581" t="e">
        <f>+#REF!</f>
        <v>#REF!</v>
      </c>
      <c r="W143" s="582" t="e">
        <f>ROUND(V143*$D143,10)</f>
        <v>#REF!</v>
      </c>
      <c r="X143" s="581" t="e">
        <f>+#REF!</f>
        <v>#REF!</v>
      </c>
      <c r="Y143" s="582" t="e">
        <f>ROUND(X143*$D143,10)</f>
        <v>#REF!</v>
      </c>
      <c r="Z143" s="581" t="e">
        <f>+#REF!</f>
        <v>#REF!</v>
      </c>
      <c r="AA143" s="582" t="e">
        <f>ROUND(Z143*$D143,10)</f>
        <v>#REF!</v>
      </c>
      <c r="AB143" s="581" t="e">
        <f>+#REF!</f>
        <v>#REF!</v>
      </c>
      <c r="AC143" s="582" t="e">
        <f>ROUND(AB143*$D143,10)</f>
        <v>#REF!</v>
      </c>
      <c r="AE143" s="769" t="e">
        <f t="shared" si="124"/>
        <v>#REF!</v>
      </c>
    </row>
    <row r="144" spans="1:31" ht="15" hidden="1" customHeight="1" x14ac:dyDescent="0.2">
      <c r="A144" s="611" t="s">
        <v>804</v>
      </c>
      <c r="B144" s="601" t="s">
        <v>805</v>
      </c>
      <c r="C144" s="611" t="s">
        <v>155</v>
      </c>
      <c r="D144" s="576">
        <f>+I144+K144+M144+O144+Q144+S144</f>
        <v>0</v>
      </c>
      <c r="E144" s="577" t="e">
        <f t="shared" si="111"/>
        <v>#REF!</v>
      </c>
      <c r="F144" s="577" t="e">
        <f>ROUND(D144*E144,10)</f>
        <v>#REF!</v>
      </c>
      <c r="G144" s="578"/>
      <c r="I144" s="584"/>
      <c r="J144" s="585" t="e">
        <f>+ROUND(E144*I144,10)</f>
        <v>#REF!</v>
      </c>
      <c r="K144" s="537"/>
      <c r="L144" s="445" t="e">
        <f>+ROUND(E144*K144,10)</f>
        <v>#REF!</v>
      </c>
      <c r="M144" s="542"/>
      <c r="N144" s="445" t="e">
        <f>+ROUND(E144*M144,10)</f>
        <v>#REF!</v>
      </c>
      <c r="O144" s="542"/>
      <c r="P144" s="445" t="e">
        <f>+ROUND(E144*O144,10)</f>
        <v>#REF!</v>
      </c>
      <c r="Q144" s="542"/>
      <c r="R144" s="445" t="e">
        <f>+ROUND(E144*Q144,10)</f>
        <v>#REF!</v>
      </c>
      <c r="S144" s="542"/>
      <c r="T144" s="445" t="e">
        <f>+ROUND(E144*S144,10)</f>
        <v>#REF!</v>
      </c>
      <c r="V144" s="581" t="e">
        <f>+'4,4,2 Rampas'!I19</f>
        <v>#REF!</v>
      </c>
      <c r="W144" s="582" t="e">
        <f>ROUND(V144*$D144,10)</f>
        <v>#REF!</v>
      </c>
      <c r="X144" s="581">
        <f>+'4,4,2 Rampas'!I50</f>
        <v>193764.95</v>
      </c>
      <c r="Y144" s="582">
        <f>ROUND(X144*$D144,10)</f>
        <v>0</v>
      </c>
      <c r="Z144" s="581">
        <f>+'4,4,2 Rampas'!I30</f>
        <v>49820</v>
      </c>
      <c r="AA144" s="582">
        <f>ROUND(Z144*$D144,10)</f>
        <v>0</v>
      </c>
      <c r="AB144" s="581">
        <f>+'4,4,2 Rampas'!I41</f>
        <v>0</v>
      </c>
      <c r="AC144" s="582">
        <f>ROUND(AB144*$D144,10)</f>
        <v>0</v>
      </c>
      <c r="AE144" s="769" t="e">
        <f t="shared" si="124"/>
        <v>#REF!</v>
      </c>
    </row>
    <row r="145" spans="1:31" ht="15" hidden="1" customHeight="1" x14ac:dyDescent="0.2">
      <c r="A145" s="627" t="s">
        <v>806</v>
      </c>
      <c r="B145" s="610" t="s">
        <v>807</v>
      </c>
      <c r="C145" s="627" t="s">
        <v>111</v>
      </c>
      <c r="D145" s="576">
        <f>+I145+K145+M145+O145+Q145+S145</f>
        <v>0</v>
      </c>
      <c r="E145" s="577" t="e">
        <f>V145+X145+Z145+AB145</f>
        <v>#REF!</v>
      </c>
      <c r="F145" s="577" t="e">
        <f>ROUND(D145*E145,10)</f>
        <v>#REF!</v>
      </c>
      <c r="G145" s="578"/>
      <c r="I145" s="584"/>
      <c r="J145" s="585"/>
      <c r="K145" s="537"/>
      <c r="L145" s="445" t="e">
        <f>+ROUND(E145*K145,10)</f>
        <v>#REF!</v>
      </c>
      <c r="M145" s="542"/>
      <c r="N145" s="445"/>
      <c r="O145" s="542"/>
      <c r="P145" s="445" t="e">
        <f>+ROUND(E145*O145,10)</f>
        <v>#REF!</v>
      </c>
      <c r="Q145" s="542"/>
      <c r="R145" s="445" t="e">
        <f>+ROUND(E145*Q145,10)</f>
        <v>#REF!</v>
      </c>
      <c r="S145" s="542"/>
      <c r="T145" s="445" t="e">
        <f>+ROUND(E145*S145,10)</f>
        <v>#REF!</v>
      </c>
      <c r="V145" s="581" t="e">
        <f>+'4,4,3 POZO CONCRETO 20 M3'!I19</f>
        <v>#REF!</v>
      </c>
      <c r="W145" s="582" t="e">
        <f>ROUND(V145*$D145,10)</f>
        <v>#REF!</v>
      </c>
      <c r="X145" s="581">
        <f>+'4,4,3 POZO CONCRETO 20 M3'!I50</f>
        <v>4863906.05</v>
      </c>
      <c r="Y145" s="582">
        <f>ROUND(X145*$D145,10)</f>
        <v>0</v>
      </c>
      <c r="Z145" s="581">
        <f>+'4,4,3 POZO CONCRETO 20 M3'!I30</f>
        <v>734071.2</v>
      </c>
      <c r="AA145" s="582">
        <f>ROUND(Z145*$D145,10)</f>
        <v>0</v>
      </c>
      <c r="AB145" s="581">
        <f>+'4,4,3 POZO CONCRETO 20 M3'!I41</f>
        <v>0</v>
      </c>
      <c r="AC145" s="582">
        <f>ROUND(AB145*$D145,10)</f>
        <v>0</v>
      </c>
      <c r="AE145" s="769" t="e">
        <f t="shared" si="124"/>
        <v>#REF!</v>
      </c>
    </row>
    <row r="146" spans="1:31" ht="15" hidden="1" customHeight="1" x14ac:dyDescent="0.2">
      <c r="A146" s="611" t="s">
        <v>808</v>
      </c>
      <c r="B146" s="649" t="s">
        <v>809</v>
      </c>
      <c r="C146" s="611" t="s">
        <v>111</v>
      </c>
      <c r="D146" s="576">
        <f>+I146+K146+M146+O146+Q146+S146</f>
        <v>0</v>
      </c>
      <c r="E146" s="577" t="e">
        <f>V146+X146+Z146+AB146</f>
        <v>#REF!</v>
      </c>
      <c r="F146" s="577" t="e">
        <f>ROUND(D146*E146,10)</f>
        <v>#REF!</v>
      </c>
      <c r="G146" s="578"/>
      <c r="I146" s="584"/>
      <c r="J146" s="585" t="e">
        <f>+ROUND(E146*I146,10)</f>
        <v>#REF!</v>
      </c>
      <c r="K146" s="537"/>
      <c r="L146" s="445" t="e">
        <f>+ROUND(E146*K146,10)</f>
        <v>#REF!</v>
      </c>
      <c r="M146" s="542"/>
      <c r="N146" s="445" t="e">
        <f>+ROUND(E146*M146,10)</f>
        <v>#REF!</v>
      </c>
      <c r="O146" s="542"/>
      <c r="P146" s="445" t="e">
        <f>+ROUND(E146*O146,10)</f>
        <v>#REF!</v>
      </c>
      <c r="Q146" s="544"/>
      <c r="R146" s="445" t="e">
        <f>+ROUND(E146*Q146,10)</f>
        <v>#REF!</v>
      </c>
      <c r="S146" s="544"/>
      <c r="T146" s="445" t="e">
        <f>+ROUND(E146*S146,10)</f>
        <v>#REF!</v>
      </c>
      <c r="V146" s="581" t="e">
        <f>'4,4,4 POZO CONCRETO'!I19</f>
        <v>#REF!</v>
      </c>
      <c r="W146" s="582" t="e">
        <f>ROUND(V146*$D146,10)</f>
        <v>#REF!</v>
      </c>
      <c r="X146" s="581">
        <f>'4,4,4 POZO CONCRETO'!I50</f>
        <v>4863906.05</v>
      </c>
      <c r="Y146" s="582">
        <f>ROUND(X146*$D146,10)</f>
        <v>0</v>
      </c>
      <c r="Z146" s="581">
        <f>'4,4,4 POZO CONCRETO'!I30</f>
        <v>734071.2</v>
      </c>
      <c r="AA146" s="582">
        <f>ROUND(Z146*$D146,10)</f>
        <v>0</v>
      </c>
      <c r="AB146" s="581">
        <f>'4,4,4 POZO CONCRETO'!I41</f>
        <v>0</v>
      </c>
      <c r="AC146" s="582">
        <f>ROUND(AB146*$D146,10)</f>
        <v>0</v>
      </c>
      <c r="AE146" s="769" t="e">
        <f t="shared" si="124"/>
        <v>#REF!</v>
      </c>
    </row>
    <row r="147" spans="1:31" s="568" customFormat="1" ht="18" customHeight="1" x14ac:dyDescent="0.2">
      <c r="A147" s="572" t="s">
        <v>810</v>
      </c>
      <c r="B147" s="573" t="s">
        <v>811</v>
      </c>
      <c r="C147" s="846"/>
      <c r="D147" s="576"/>
      <c r="E147" s="577"/>
      <c r="F147" s="180" t="e">
        <f>+ROUND(SUM(F148:F150),10)</f>
        <v>#REF!</v>
      </c>
      <c r="G147" s="473"/>
      <c r="I147" s="613"/>
      <c r="J147" s="440" t="e">
        <f>ROUND(SUM(J148:J150),10)</f>
        <v>#REF!</v>
      </c>
      <c r="K147" s="537"/>
      <c r="L147" s="180" t="e">
        <f>ROUND(SUM(L148:L150),10)</f>
        <v>#REF!</v>
      </c>
      <c r="M147" s="544"/>
      <c r="N147" s="180" t="e">
        <f>ROUND(SUM(N148:N150),10)</f>
        <v>#REF!</v>
      </c>
      <c r="O147" s="544"/>
      <c r="P147" s="180" t="e">
        <f>ROUND(SUM(P148:P150),10)</f>
        <v>#REF!</v>
      </c>
      <c r="Q147" s="544"/>
      <c r="R147" s="180" t="e">
        <f>ROUND(SUM(R148:R150),10)</f>
        <v>#REF!</v>
      </c>
      <c r="S147" s="544"/>
      <c r="T147" s="180" t="e">
        <f>ROUND(SUM(T148:T150),10)</f>
        <v>#REF!</v>
      </c>
      <c r="V147" s="575"/>
      <c r="W147" s="570" t="e">
        <f>ROUND(SUM(W148:W150),10)</f>
        <v>#REF!</v>
      </c>
      <c r="X147" s="575"/>
      <c r="Y147" s="570">
        <f>ROUND(SUM(Y148:Y150),10)</f>
        <v>5426307228.0180998</v>
      </c>
      <c r="Z147" s="575"/>
      <c r="AA147" s="570">
        <f>ROUND(SUM(AA148:AA150),10)</f>
        <v>65285234.550899997</v>
      </c>
      <c r="AB147" s="575"/>
      <c r="AC147" s="570">
        <f>ROUND(SUM(AC148:AC150),10)</f>
        <v>0</v>
      </c>
      <c r="AE147" s="769" t="e">
        <f t="shared" si="124"/>
        <v>#REF!</v>
      </c>
    </row>
    <row r="148" spans="1:31" ht="15" customHeight="1" x14ac:dyDescent="0.2">
      <c r="A148" s="611" t="s">
        <v>812</v>
      </c>
      <c r="B148" s="601" t="s">
        <v>674</v>
      </c>
      <c r="C148" s="611" t="s">
        <v>119</v>
      </c>
      <c r="D148" s="576">
        <f>+I148+K148+M148+O148+Q148+S148</f>
        <v>6944.2900000000009</v>
      </c>
      <c r="E148" s="577" t="e">
        <f t="shared" si="111"/>
        <v>#REF!</v>
      </c>
      <c r="F148" s="577" t="e">
        <f>ROUND(D148*E148,10)</f>
        <v>#REF!</v>
      </c>
      <c r="G148" s="578"/>
      <c r="I148" s="594"/>
      <c r="J148" s="580" t="e">
        <f>+ROUND(E148*I148,10)</f>
        <v>#REF!</v>
      </c>
      <c r="K148" s="537">
        <f>6944.29*TA</f>
        <v>3063.748528078429</v>
      </c>
      <c r="L148" s="445" t="e">
        <f>+ROUND(E148*K148,10)</f>
        <v>#REF!</v>
      </c>
      <c r="M148" s="537">
        <f>6944.29*TL</f>
        <v>409.99342182128203</v>
      </c>
      <c r="N148" s="445" t="e">
        <f>+ROUND(E148*M148,10)</f>
        <v>#REF!</v>
      </c>
      <c r="O148" s="537">
        <f>6944.29*TB</f>
        <v>557.85220211887304</v>
      </c>
      <c r="P148" s="445" t="e">
        <f>+ROUND(E148*O148,10)</f>
        <v>#REF!</v>
      </c>
      <c r="Q148" s="537">
        <f>6944.29*TC</f>
        <v>1578.2092977612569</v>
      </c>
      <c r="R148" s="445" t="e">
        <f>+ROUND(E148*Q148,10)</f>
        <v>#REF!</v>
      </c>
      <c r="S148" s="537">
        <f>6944.29*TE</f>
        <v>1334.486550220159</v>
      </c>
      <c r="T148" s="445" t="e">
        <f>+ROUND(E148*S148,10)</f>
        <v>#REF!</v>
      </c>
      <c r="V148" s="581" t="e">
        <f>+'4,5,1 Acero 37000  '!I19</f>
        <v>#REF!</v>
      </c>
      <c r="W148" s="582" t="e">
        <f>ROUND(V148*$D148,10)</f>
        <v>#REF!</v>
      </c>
      <c r="X148" s="581">
        <f>+'4,5,1 Acero 37000  '!I50</f>
        <v>360.08</v>
      </c>
      <c r="Y148" s="582">
        <f>ROUND(X148*$D148,10)</f>
        <v>2500499.9432000001</v>
      </c>
      <c r="Z148" s="581">
        <f>+'4,5,1 Acero 37000  '!I30</f>
        <v>20.61</v>
      </c>
      <c r="AA148" s="582">
        <f>ROUND(Z148*$D148,10)</f>
        <v>143121.81690000001</v>
      </c>
      <c r="AB148" s="581">
        <f>+'4,5,1 Acero 37000  '!I41</f>
        <v>0</v>
      </c>
      <c r="AC148" s="582">
        <f>ROUND(AB148*$D148,10)</f>
        <v>0</v>
      </c>
      <c r="AE148" s="769" t="e">
        <f t="shared" si="124"/>
        <v>#REF!</v>
      </c>
    </row>
    <row r="149" spans="1:31" ht="15" customHeight="1" x14ac:dyDescent="0.2">
      <c r="A149" s="611" t="s">
        <v>813</v>
      </c>
      <c r="B149" s="601" t="s">
        <v>814</v>
      </c>
      <c r="C149" s="611" t="s">
        <v>119</v>
      </c>
      <c r="D149" s="576">
        <f>+I149+K149+M149+O149+Q149+S149</f>
        <v>12345.89</v>
      </c>
      <c r="E149" s="577" t="e">
        <f t="shared" si="111"/>
        <v>#REF!</v>
      </c>
      <c r="F149" s="577" t="e">
        <f>ROUND(D149*E149,10)</f>
        <v>#REF!</v>
      </c>
      <c r="G149" s="578"/>
      <c r="I149" s="584"/>
      <c r="J149" s="585" t="e">
        <f>+ROUND(E149*I149,10)</f>
        <v>#REF!</v>
      </c>
      <c r="K149" s="537">
        <f>12345.89*TA</f>
        <v>5446.8782719785886</v>
      </c>
      <c r="L149" s="445" t="e">
        <f>+ROUND(E149*K149,10)</f>
        <v>#REF!</v>
      </c>
      <c r="M149" s="537">
        <f>12345.89*TL</f>
        <v>728.90586172656197</v>
      </c>
      <c r="N149" s="445" t="e">
        <f>+ROUND(E149*M149,10)</f>
        <v>#REF!</v>
      </c>
      <c r="O149" s="537">
        <f>12345.89*TB</f>
        <v>991.776254104793</v>
      </c>
      <c r="P149" s="445" t="e">
        <f>+ROUND(E149*O149,10)</f>
        <v>#REF!</v>
      </c>
      <c r="Q149" s="537">
        <f>12345.89*TC</f>
        <v>2805.8157690905368</v>
      </c>
      <c r="R149" s="445" t="e">
        <f>+ROUND(E149*Q149,10)</f>
        <v>#REF!</v>
      </c>
      <c r="S149" s="537">
        <f>12345.89*TE</f>
        <v>2372.5138430995189</v>
      </c>
      <c r="T149" s="445" t="e">
        <f>+ROUND(E149*S149,10)</f>
        <v>#REF!</v>
      </c>
      <c r="V149" s="581" t="e">
        <f>+'4,5,2 Acero 60000 est'!I19</f>
        <v>#REF!</v>
      </c>
      <c r="W149" s="582" t="e">
        <f>ROUND(V149*$D149,10)</f>
        <v>#REF!</v>
      </c>
      <c r="X149" s="581">
        <f>+'4,5,2 Acero 60000 est'!I50</f>
        <v>392.81</v>
      </c>
      <c r="Y149" s="582">
        <f>ROUND(X149*$D149,10)</f>
        <v>4849589.0509000001</v>
      </c>
      <c r="Z149" s="581">
        <f>+'4,5,2 Acero 60000 est'!I30</f>
        <v>20.61</v>
      </c>
      <c r="AA149" s="582">
        <f>ROUND(Z149*$D149,10)</f>
        <v>254448.7929</v>
      </c>
      <c r="AB149" s="581">
        <f>+'4,5,2 Acero 60000 est'!I41</f>
        <v>0</v>
      </c>
      <c r="AC149" s="582">
        <f>ROUND(AB149*$D149,10)</f>
        <v>0</v>
      </c>
      <c r="AE149" s="769" t="e">
        <f t="shared" si="124"/>
        <v>#REF!</v>
      </c>
    </row>
    <row r="150" spans="1:31" ht="15.75" customHeight="1" x14ac:dyDescent="0.2">
      <c r="A150" s="611" t="s">
        <v>815</v>
      </c>
      <c r="B150" s="601" t="s">
        <v>678</v>
      </c>
      <c r="C150" s="611" t="s">
        <v>119</v>
      </c>
      <c r="D150" s="576">
        <f>+I150+K150+M150+O150+Q150+S150</f>
        <v>1254.1099999999999</v>
      </c>
      <c r="E150" s="577" t="e">
        <f t="shared" si="111"/>
        <v>#REF!</v>
      </c>
      <c r="F150" s="577" t="e">
        <f>ROUND(D150*E150,10)</f>
        <v>#REF!</v>
      </c>
      <c r="G150" s="578"/>
      <c r="I150" s="597"/>
      <c r="J150" s="598" t="e">
        <f>+ROUND(E150*I150,10)</f>
        <v>#REF!</v>
      </c>
      <c r="K150" s="537">
        <f>283.61+314.81</f>
        <v>598.42000000000007</v>
      </c>
      <c r="L150" s="445" t="e">
        <f>+ROUND(E150*K150,10)</f>
        <v>#REF!</v>
      </c>
      <c r="M150" s="542">
        <f>34.37+30.96+97.07+87.45</f>
        <v>249.84999999999997</v>
      </c>
      <c r="N150" s="445" t="e">
        <f>+ROUND(E150*M150,10)</f>
        <v>#REF!</v>
      </c>
      <c r="O150" s="537">
        <f>73.96+82.1</f>
        <v>156.06</v>
      </c>
      <c r="P150" s="445" t="e">
        <f>+ROUND(E150*O150,10)</f>
        <v>#REF!</v>
      </c>
      <c r="Q150" s="537">
        <f>118.38+131.4</f>
        <v>249.78</v>
      </c>
      <c r="R150" s="445" t="e">
        <f>+ROUND(E150*Q150,10)</f>
        <v>#REF!</v>
      </c>
      <c r="S150" s="537"/>
      <c r="T150" s="445" t="e">
        <f>+ROUND(E150*S150,10)</f>
        <v>#REF!</v>
      </c>
      <c r="V150" s="581" t="e">
        <f>+'5,1,10 camara 8,20&lt;=h&lt;9,20'!I18</f>
        <v>#REF!</v>
      </c>
      <c r="W150" s="582" t="e">
        <f>ROUND(V150*$D150,10)</f>
        <v>#REF!</v>
      </c>
      <c r="X150" s="581">
        <f>+'5,1,10 camara 8,20&lt;=h&lt;9,20'!I49</f>
        <v>4320958.4000000004</v>
      </c>
      <c r="Y150" s="582">
        <f>ROUND(X150*$D150,10)</f>
        <v>5418957139.0240002</v>
      </c>
      <c r="Z150" s="581">
        <f>+'5,1,10 camara 8,20&lt;=h&lt;9,20'!I29</f>
        <v>51740.01</v>
      </c>
      <c r="AA150" s="582">
        <f>ROUND(Z150*$D150,10)</f>
        <v>64887663.941100001</v>
      </c>
      <c r="AB150" s="581">
        <f>+'5,1,10 camara 8,20&lt;=h&lt;9,20'!I40</f>
        <v>0</v>
      </c>
      <c r="AC150" s="582">
        <f>ROUND(AB150*$D150,10)</f>
        <v>0</v>
      </c>
      <c r="AE150" s="769" t="e">
        <f t="shared" si="124"/>
        <v>#REF!</v>
      </c>
    </row>
    <row r="151" spans="1:31" s="568" customFormat="1" ht="18" customHeight="1" x14ac:dyDescent="0.2">
      <c r="A151" s="572" t="s">
        <v>816</v>
      </c>
      <c r="B151" s="573" t="s">
        <v>817</v>
      </c>
      <c r="C151" s="846"/>
      <c r="D151" s="576"/>
      <c r="E151" s="577"/>
      <c r="F151" s="180" t="e">
        <f>+ROUND(SUM(F152:F165),10)</f>
        <v>#REF!</v>
      </c>
      <c r="G151" s="473"/>
      <c r="I151" s="613"/>
      <c r="J151" s="440" t="e">
        <f>ROUND(SUM(J152:J165),10)</f>
        <v>#REF!</v>
      </c>
      <c r="K151" s="537"/>
      <c r="L151" s="180" t="e">
        <f>ROUND(SUM(L152:L165),10)</f>
        <v>#REF!</v>
      </c>
      <c r="M151" s="537"/>
      <c r="N151" s="180" t="e">
        <f>ROUND(SUM(N152:N165),10)</f>
        <v>#REF!</v>
      </c>
      <c r="O151" s="537"/>
      <c r="P151" s="180" t="e">
        <f>ROUND(SUM(P152:P165),10)</f>
        <v>#REF!</v>
      </c>
      <c r="Q151" s="537"/>
      <c r="R151" s="180" t="e">
        <f>ROUND(SUM(R152:R165),10)</f>
        <v>#REF!</v>
      </c>
      <c r="S151" s="537"/>
      <c r="T151" s="180" t="e">
        <f>ROUND(SUM(T152:T165),10)</f>
        <v>#REF!</v>
      </c>
      <c r="U151" s="634"/>
      <c r="V151" s="575"/>
      <c r="W151" s="570" t="e">
        <f>ROUND(SUM(W152:W165),10)</f>
        <v>#REF!</v>
      </c>
      <c r="X151" s="575"/>
      <c r="Y151" s="570" t="e">
        <f>ROUND(SUM(Y152:Y165),10)</f>
        <v>#REF!</v>
      </c>
      <c r="Z151" s="575"/>
      <c r="AA151" s="570" t="e">
        <f>ROUND(SUM(AA152:AA165),10)</f>
        <v>#REF!</v>
      </c>
      <c r="AB151" s="575"/>
      <c r="AC151" s="570" t="e">
        <f>ROUND(SUM(AC152:AC165),10)</f>
        <v>#REF!</v>
      </c>
      <c r="AE151" s="769" t="e">
        <f t="shared" si="124"/>
        <v>#REF!</v>
      </c>
    </row>
    <row r="152" spans="1:31" ht="15" hidden="1" customHeight="1" x14ac:dyDescent="0.2">
      <c r="A152" s="572" t="s">
        <v>818</v>
      </c>
      <c r="B152" s="573" t="s">
        <v>819</v>
      </c>
      <c r="C152" s="611"/>
      <c r="D152" s="576"/>
      <c r="E152" s="577"/>
      <c r="F152" s="577"/>
      <c r="G152" s="578"/>
      <c r="I152" s="594"/>
      <c r="J152" s="580">
        <f t="shared" ref="J152:J165" si="125">+ROUND(E152*I152,10)</f>
        <v>0</v>
      </c>
      <c r="K152" s="537"/>
      <c r="L152" s="445">
        <f t="shared" ref="L152:L165" si="126">+ROUND(E152*K152,10)</f>
        <v>0</v>
      </c>
      <c r="M152" s="544"/>
      <c r="N152" s="445">
        <f t="shared" ref="N152:N165" si="127">+ROUND(E152*M152,10)</f>
        <v>0</v>
      </c>
      <c r="O152" s="544"/>
      <c r="P152" s="445">
        <f t="shared" ref="P152:P165" si="128">+ROUND(E152*O152,10)</f>
        <v>0</v>
      </c>
      <c r="Q152" s="544"/>
      <c r="R152" s="445">
        <f t="shared" ref="R152:R165" si="129">+ROUND(E152*Q152,10)</f>
        <v>0</v>
      </c>
      <c r="S152" s="544"/>
      <c r="T152" s="445">
        <f t="shared" ref="T152:T165" si="130">+ROUND(E152*S152,10)</f>
        <v>0</v>
      </c>
      <c r="V152" s="581"/>
      <c r="W152" s="582"/>
      <c r="X152" s="581"/>
      <c r="Y152" s="582"/>
      <c r="Z152" s="581"/>
      <c r="AA152" s="582"/>
      <c r="AB152" s="581"/>
      <c r="AC152" s="582"/>
      <c r="AE152" s="769">
        <f t="shared" si="124"/>
        <v>0</v>
      </c>
    </row>
    <row r="153" spans="1:31" ht="15" hidden="1" customHeight="1" x14ac:dyDescent="0.2">
      <c r="A153" s="611" t="s">
        <v>820</v>
      </c>
      <c r="B153" s="601" t="s">
        <v>821</v>
      </c>
      <c r="C153" s="611" t="s">
        <v>119</v>
      </c>
      <c r="D153" s="576">
        <f t="shared" ref="D153:D158" si="131">+I153+K153+M153+O153+Q153+S153</f>
        <v>0</v>
      </c>
      <c r="E153" s="577">
        <f t="shared" si="111"/>
        <v>0</v>
      </c>
      <c r="F153" s="577">
        <f t="shared" ref="F153:F158" si="132">ROUND(D153*E153,10)</f>
        <v>0</v>
      </c>
      <c r="G153" s="578"/>
      <c r="I153" s="584"/>
      <c r="J153" s="585">
        <f t="shared" si="125"/>
        <v>0</v>
      </c>
      <c r="K153" s="537"/>
      <c r="L153" s="445">
        <f t="shared" si="126"/>
        <v>0</v>
      </c>
      <c r="M153" s="544"/>
      <c r="N153" s="445">
        <f t="shared" si="127"/>
        <v>0</v>
      </c>
      <c r="O153" s="544"/>
      <c r="P153" s="445">
        <f t="shared" si="128"/>
        <v>0</v>
      </c>
      <c r="Q153" s="544"/>
      <c r="R153" s="445">
        <f t="shared" si="129"/>
        <v>0</v>
      </c>
      <c r="S153" s="544"/>
      <c r="T153" s="445">
        <f t="shared" si="130"/>
        <v>0</v>
      </c>
      <c r="V153" s="581"/>
      <c r="W153" s="582">
        <f t="shared" ref="W153:W158" si="133">ROUND(V153*$D153,10)</f>
        <v>0</v>
      </c>
      <c r="X153" s="581"/>
      <c r="Y153" s="582">
        <f t="shared" ref="Y153:Y158" si="134">ROUND(X153*$D153,10)</f>
        <v>0</v>
      </c>
      <c r="Z153" s="581"/>
      <c r="AA153" s="582">
        <f t="shared" ref="AA153:AA158" si="135">ROUND(Z153*$D153,10)</f>
        <v>0</v>
      </c>
      <c r="AB153" s="581"/>
      <c r="AC153" s="582">
        <f t="shared" ref="AC153:AC158" si="136">ROUND(AB153*$D153,10)</f>
        <v>0</v>
      </c>
      <c r="AE153" s="769">
        <f t="shared" si="124"/>
        <v>0</v>
      </c>
    </row>
    <row r="154" spans="1:31" ht="15" hidden="1" customHeight="1" x14ac:dyDescent="0.2">
      <c r="A154" s="611" t="s">
        <v>822</v>
      </c>
      <c r="B154" s="601" t="s">
        <v>823</v>
      </c>
      <c r="C154" s="611" t="s">
        <v>119</v>
      </c>
      <c r="D154" s="576">
        <f t="shared" si="131"/>
        <v>0</v>
      </c>
      <c r="E154" s="577">
        <f t="shared" si="111"/>
        <v>0</v>
      </c>
      <c r="F154" s="577">
        <f t="shared" si="132"/>
        <v>0</v>
      </c>
      <c r="G154" s="578"/>
      <c r="I154" s="584"/>
      <c r="J154" s="585">
        <f t="shared" si="125"/>
        <v>0</v>
      </c>
      <c r="K154" s="537"/>
      <c r="L154" s="445">
        <f t="shared" si="126"/>
        <v>0</v>
      </c>
      <c r="M154" s="544"/>
      <c r="N154" s="445">
        <f t="shared" si="127"/>
        <v>0</v>
      </c>
      <c r="O154" s="544"/>
      <c r="P154" s="445">
        <f t="shared" si="128"/>
        <v>0</v>
      </c>
      <c r="Q154" s="544"/>
      <c r="R154" s="445">
        <f t="shared" si="129"/>
        <v>0</v>
      </c>
      <c r="S154" s="544"/>
      <c r="T154" s="445">
        <f t="shared" si="130"/>
        <v>0</v>
      </c>
      <c r="V154" s="581"/>
      <c r="W154" s="582">
        <f t="shared" si="133"/>
        <v>0</v>
      </c>
      <c r="X154" s="581"/>
      <c r="Y154" s="582">
        <f t="shared" si="134"/>
        <v>0</v>
      </c>
      <c r="Z154" s="581"/>
      <c r="AA154" s="582">
        <f t="shared" si="135"/>
        <v>0</v>
      </c>
      <c r="AB154" s="581"/>
      <c r="AC154" s="582">
        <f t="shared" si="136"/>
        <v>0</v>
      </c>
      <c r="AE154" s="769">
        <f t="shared" si="124"/>
        <v>0</v>
      </c>
    </row>
    <row r="155" spans="1:31" ht="15" hidden="1" customHeight="1" x14ac:dyDescent="0.2">
      <c r="A155" s="611" t="s">
        <v>824</v>
      </c>
      <c r="B155" s="601" t="s">
        <v>825</v>
      </c>
      <c r="C155" s="611" t="s">
        <v>119</v>
      </c>
      <c r="D155" s="576">
        <f t="shared" si="131"/>
        <v>0</v>
      </c>
      <c r="E155" s="577">
        <f t="shared" si="111"/>
        <v>0</v>
      </c>
      <c r="F155" s="577">
        <f t="shared" si="132"/>
        <v>0</v>
      </c>
      <c r="G155" s="578"/>
      <c r="I155" s="584"/>
      <c r="J155" s="585">
        <f t="shared" si="125"/>
        <v>0</v>
      </c>
      <c r="K155" s="537"/>
      <c r="L155" s="445">
        <f t="shared" si="126"/>
        <v>0</v>
      </c>
      <c r="M155" s="544"/>
      <c r="N155" s="445">
        <f t="shared" si="127"/>
        <v>0</v>
      </c>
      <c r="O155" s="544"/>
      <c r="P155" s="445">
        <f t="shared" si="128"/>
        <v>0</v>
      </c>
      <c r="Q155" s="544"/>
      <c r="R155" s="445">
        <f t="shared" si="129"/>
        <v>0</v>
      </c>
      <c r="S155" s="544"/>
      <c r="T155" s="445">
        <f t="shared" si="130"/>
        <v>0</v>
      </c>
      <c r="V155" s="581"/>
      <c r="W155" s="582">
        <f t="shared" si="133"/>
        <v>0</v>
      </c>
      <c r="X155" s="581"/>
      <c r="Y155" s="582">
        <f t="shared" si="134"/>
        <v>0</v>
      </c>
      <c r="Z155" s="581"/>
      <c r="AA155" s="582">
        <f t="shared" si="135"/>
        <v>0</v>
      </c>
      <c r="AB155" s="581"/>
      <c r="AC155" s="582">
        <f t="shared" si="136"/>
        <v>0</v>
      </c>
      <c r="AE155" s="769">
        <f t="shared" si="124"/>
        <v>0</v>
      </c>
    </row>
    <row r="156" spans="1:31" ht="15" hidden="1" customHeight="1" x14ac:dyDescent="0.2">
      <c r="A156" s="611" t="s">
        <v>826</v>
      </c>
      <c r="B156" s="601" t="s">
        <v>827</v>
      </c>
      <c r="C156" s="611" t="s">
        <v>119</v>
      </c>
      <c r="D156" s="576">
        <f t="shared" si="131"/>
        <v>0</v>
      </c>
      <c r="E156" s="577">
        <f t="shared" si="111"/>
        <v>0</v>
      </c>
      <c r="F156" s="577">
        <f t="shared" si="132"/>
        <v>0</v>
      </c>
      <c r="G156" s="578"/>
      <c r="I156" s="584"/>
      <c r="J156" s="585">
        <f t="shared" si="125"/>
        <v>0</v>
      </c>
      <c r="K156" s="537"/>
      <c r="L156" s="445">
        <f t="shared" si="126"/>
        <v>0</v>
      </c>
      <c r="M156" s="544"/>
      <c r="N156" s="445">
        <f t="shared" si="127"/>
        <v>0</v>
      </c>
      <c r="O156" s="544"/>
      <c r="P156" s="445">
        <f t="shared" si="128"/>
        <v>0</v>
      </c>
      <c r="Q156" s="544"/>
      <c r="R156" s="445">
        <f t="shared" si="129"/>
        <v>0</v>
      </c>
      <c r="S156" s="544"/>
      <c r="T156" s="445">
        <f t="shared" si="130"/>
        <v>0</v>
      </c>
      <c r="V156" s="581"/>
      <c r="W156" s="582">
        <f t="shared" si="133"/>
        <v>0</v>
      </c>
      <c r="X156" s="581"/>
      <c r="Y156" s="582">
        <f t="shared" si="134"/>
        <v>0</v>
      </c>
      <c r="Z156" s="581"/>
      <c r="AA156" s="582">
        <f t="shared" si="135"/>
        <v>0</v>
      </c>
      <c r="AB156" s="581"/>
      <c r="AC156" s="582">
        <f t="shared" si="136"/>
        <v>0</v>
      </c>
      <c r="AE156" s="769">
        <f t="shared" si="124"/>
        <v>0</v>
      </c>
    </row>
    <row r="157" spans="1:31" ht="15" hidden="1" customHeight="1" x14ac:dyDescent="0.2">
      <c r="A157" s="611" t="s">
        <v>828</v>
      </c>
      <c r="B157" s="601" t="s">
        <v>829</v>
      </c>
      <c r="C157" s="611" t="s">
        <v>119</v>
      </c>
      <c r="D157" s="576">
        <f t="shared" si="131"/>
        <v>0</v>
      </c>
      <c r="E157" s="577">
        <f t="shared" si="111"/>
        <v>0</v>
      </c>
      <c r="F157" s="577">
        <f t="shared" si="132"/>
        <v>0</v>
      </c>
      <c r="G157" s="578"/>
      <c r="I157" s="584"/>
      <c r="J157" s="585">
        <f t="shared" si="125"/>
        <v>0</v>
      </c>
      <c r="K157" s="537"/>
      <c r="L157" s="445">
        <f t="shared" si="126"/>
        <v>0</v>
      </c>
      <c r="M157" s="544"/>
      <c r="N157" s="445">
        <f t="shared" si="127"/>
        <v>0</v>
      </c>
      <c r="O157" s="544"/>
      <c r="P157" s="445">
        <f t="shared" si="128"/>
        <v>0</v>
      </c>
      <c r="Q157" s="544"/>
      <c r="R157" s="445">
        <f t="shared" si="129"/>
        <v>0</v>
      </c>
      <c r="S157" s="544"/>
      <c r="T157" s="445">
        <f t="shared" si="130"/>
        <v>0</v>
      </c>
      <c r="V157" s="581"/>
      <c r="W157" s="582">
        <f t="shared" si="133"/>
        <v>0</v>
      </c>
      <c r="X157" s="581"/>
      <c r="Y157" s="582">
        <f t="shared" si="134"/>
        <v>0</v>
      </c>
      <c r="Z157" s="581"/>
      <c r="AA157" s="582">
        <f t="shared" si="135"/>
        <v>0</v>
      </c>
      <c r="AB157" s="581"/>
      <c r="AC157" s="582">
        <f t="shared" si="136"/>
        <v>0</v>
      </c>
      <c r="AE157" s="769">
        <f t="shared" si="124"/>
        <v>0</v>
      </c>
    </row>
    <row r="158" spans="1:31" ht="15" hidden="1" customHeight="1" x14ac:dyDescent="0.2">
      <c r="A158" s="611" t="s">
        <v>830</v>
      </c>
      <c r="B158" s="601" t="s">
        <v>831</v>
      </c>
      <c r="C158" s="611" t="s">
        <v>119</v>
      </c>
      <c r="D158" s="576">
        <f t="shared" si="131"/>
        <v>0</v>
      </c>
      <c r="E158" s="577">
        <f t="shared" si="111"/>
        <v>0</v>
      </c>
      <c r="F158" s="577">
        <f t="shared" si="132"/>
        <v>0</v>
      </c>
      <c r="G158" s="578"/>
      <c r="I158" s="584"/>
      <c r="J158" s="585">
        <f t="shared" si="125"/>
        <v>0</v>
      </c>
      <c r="K158" s="537"/>
      <c r="L158" s="445">
        <f t="shared" si="126"/>
        <v>0</v>
      </c>
      <c r="M158" s="544"/>
      <c r="N158" s="445">
        <f t="shared" si="127"/>
        <v>0</v>
      </c>
      <c r="O158" s="544"/>
      <c r="P158" s="445">
        <f t="shared" si="128"/>
        <v>0</v>
      </c>
      <c r="Q158" s="544"/>
      <c r="R158" s="445">
        <f t="shared" si="129"/>
        <v>0</v>
      </c>
      <c r="S158" s="544"/>
      <c r="T158" s="445">
        <f t="shared" si="130"/>
        <v>0</v>
      </c>
      <c r="V158" s="581"/>
      <c r="W158" s="582">
        <f t="shared" si="133"/>
        <v>0</v>
      </c>
      <c r="X158" s="581"/>
      <c r="Y158" s="582">
        <f t="shared" si="134"/>
        <v>0</v>
      </c>
      <c r="Z158" s="581"/>
      <c r="AA158" s="582">
        <f t="shared" si="135"/>
        <v>0</v>
      </c>
      <c r="AB158" s="581"/>
      <c r="AC158" s="582">
        <f t="shared" si="136"/>
        <v>0</v>
      </c>
      <c r="AE158" s="769">
        <f t="shared" si="124"/>
        <v>0</v>
      </c>
    </row>
    <row r="159" spans="1:31" ht="15" customHeight="1" x14ac:dyDescent="0.2">
      <c r="A159" s="572" t="s">
        <v>832</v>
      </c>
      <c r="B159" s="573" t="s">
        <v>833</v>
      </c>
      <c r="C159" s="611"/>
      <c r="D159" s="576"/>
      <c r="E159" s="577"/>
      <c r="F159" s="577"/>
      <c r="G159" s="578"/>
      <c r="I159" s="584"/>
      <c r="J159" s="585">
        <f t="shared" si="125"/>
        <v>0</v>
      </c>
      <c r="K159" s="537"/>
      <c r="L159" s="445">
        <f t="shared" si="126"/>
        <v>0</v>
      </c>
      <c r="M159" s="544"/>
      <c r="N159" s="445">
        <f t="shared" si="127"/>
        <v>0</v>
      </c>
      <c r="O159" s="544"/>
      <c r="P159" s="445">
        <f t="shared" si="128"/>
        <v>0</v>
      </c>
      <c r="Q159" s="544"/>
      <c r="R159" s="445">
        <f t="shared" si="129"/>
        <v>0</v>
      </c>
      <c r="S159" s="544"/>
      <c r="T159" s="445">
        <f t="shared" si="130"/>
        <v>0</v>
      </c>
      <c r="V159" s="581"/>
      <c r="W159" s="582"/>
      <c r="X159" s="581"/>
      <c r="Y159" s="582"/>
      <c r="Z159" s="581"/>
      <c r="AA159" s="582"/>
      <c r="AB159" s="581"/>
      <c r="AC159" s="582"/>
      <c r="AE159" s="769">
        <f t="shared" si="124"/>
        <v>0</v>
      </c>
    </row>
    <row r="160" spans="1:31" ht="15" hidden="1" customHeight="1" x14ac:dyDescent="0.2">
      <c r="A160" s="611" t="s">
        <v>834</v>
      </c>
      <c r="B160" s="601" t="s">
        <v>821</v>
      </c>
      <c r="C160" s="611" t="s">
        <v>119</v>
      </c>
      <c r="D160" s="576">
        <f t="shared" ref="D160:D165" si="137">+I160+K160+M160+O160+Q160+S160</f>
        <v>0</v>
      </c>
      <c r="E160" s="577">
        <f t="shared" si="111"/>
        <v>0</v>
      </c>
      <c r="F160" s="577">
        <f t="shared" ref="F160:F165" si="138">ROUND(D160*E160,10)</f>
        <v>0</v>
      </c>
      <c r="G160" s="578"/>
      <c r="I160" s="584"/>
      <c r="J160" s="585">
        <f t="shared" si="125"/>
        <v>0</v>
      </c>
      <c r="K160" s="537"/>
      <c r="L160" s="445">
        <f t="shared" si="126"/>
        <v>0</v>
      </c>
      <c r="M160" s="544"/>
      <c r="N160" s="445">
        <f t="shared" si="127"/>
        <v>0</v>
      </c>
      <c r="O160" s="544"/>
      <c r="P160" s="445">
        <f t="shared" si="128"/>
        <v>0</v>
      </c>
      <c r="Q160" s="544"/>
      <c r="R160" s="445">
        <f t="shared" si="129"/>
        <v>0</v>
      </c>
      <c r="S160" s="544"/>
      <c r="T160" s="445">
        <f t="shared" si="130"/>
        <v>0</v>
      </c>
      <c r="V160" s="581"/>
      <c r="W160" s="582">
        <f t="shared" ref="W160:W165" si="139">ROUND(V160*$D160,10)</f>
        <v>0</v>
      </c>
      <c r="X160" s="581"/>
      <c r="Y160" s="582">
        <f t="shared" ref="Y160:Y165" si="140">ROUND(X160*$D160,10)</f>
        <v>0</v>
      </c>
      <c r="Z160" s="581"/>
      <c r="AA160" s="582">
        <f t="shared" ref="AA160:AA165" si="141">ROUND(Z160*$D160,10)</f>
        <v>0</v>
      </c>
      <c r="AB160" s="581"/>
      <c r="AC160" s="582">
        <f t="shared" ref="AC160:AC165" si="142">ROUND(AB160*$D160,10)</f>
        <v>0</v>
      </c>
      <c r="AE160" s="769">
        <f t="shared" si="124"/>
        <v>0</v>
      </c>
    </row>
    <row r="161" spans="1:31" ht="15" hidden="1" customHeight="1" x14ac:dyDescent="0.2">
      <c r="A161" s="611" t="s">
        <v>835</v>
      </c>
      <c r="B161" s="601" t="s">
        <v>823</v>
      </c>
      <c r="C161" s="611" t="s">
        <v>119</v>
      </c>
      <c r="D161" s="576">
        <f t="shared" si="137"/>
        <v>0</v>
      </c>
      <c r="E161" s="577">
        <f t="shared" si="111"/>
        <v>0</v>
      </c>
      <c r="F161" s="577">
        <f t="shared" si="138"/>
        <v>0</v>
      </c>
      <c r="G161" s="578"/>
      <c r="I161" s="584"/>
      <c r="J161" s="585">
        <f t="shared" si="125"/>
        <v>0</v>
      </c>
      <c r="K161" s="537"/>
      <c r="L161" s="445">
        <f t="shared" si="126"/>
        <v>0</v>
      </c>
      <c r="M161" s="544"/>
      <c r="N161" s="445">
        <f t="shared" si="127"/>
        <v>0</v>
      </c>
      <c r="O161" s="544"/>
      <c r="P161" s="445">
        <f t="shared" si="128"/>
        <v>0</v>
      </c>
      <c r="Q161" s="544"/>
      <c r="R161" s="445">
        <f t="shared" si="129"/>
        <v>0</v>
      </c>
      <c r="S161" s="544"/>
      <c r="T161" s="445">
        <f t="shared" si="130"/>
        <v>0</v>
      </c>
      <c r="V161" s="581"/>
      <c r="W161" s="582">
        <f t="shared" si="139"/>
        <v>0</v>
      </c>
      <c r="X161" s="581"/>
      <c r="Y161" s="582">
        <f t="shared" si="140"/>
        <v>0</v>
      </c>
      <c r="Z161" s="581"/>
      <c r="AA161" s="582">
        <f t="shared" si="141"/>
        <v>0</v>
      </c>
      <c r="AB161" s="581"/>
      <c r="AC161" s="582">
        <f t="shared" si="142"/>
        <v>0</v>
      </c>
      <c r="AE161" s="769">
        <f t="shared" si="124"/>
        <v>0</v>
      </c>
    </row>
    <row r="162" spans="1:31" ht="15" hidden="1" customHeight="1" x14ac:dyDescent="0.2">
      <c r="A162" s="611" t="s">
        <v>836</v>
      </c>
      <c r="B162" s="601" t="s">
        <v>837</v>
      </c>
      <c r="C162" s="611" t="s">
        <v>119</v>
      </c>
      <c r="D162" s="576">
        <f t="shared" si="137"/>
        <v>0</v>
      </c>
      <c r="E162" s="577" t="e">
        <f t="shared" si="111"/>
        <v>#REF!</v>
      </c>
      <c r="F162" s="577" t="e">
        <f t="shared" si="138"/>
        <v>#REF!</v>
      </c>
      <c r="G162" s="578"/>
      <c r="I162" s="584"/>
      <c r="J162" s="585" t="e">
        <f t="shared" si="125"/>
        <v>#REF!</v>
      </c>
      <c r="K162" s="537"/>
      <c r="L162" s="445" t="e">
        <f t="shared" si="126"/>
        <v>#REF!</v>
      </c>
      <c r="M162" s="544"/>
      <c r="N162" s="445" t="e">
        <f t="shared" si="127"/>
        <v>#REF!</v>
      </c>
      <c r="O162" s="544"/>
      <c r="P162" s="445" t="e">
        <f t="shared" si="128"/>
        <v>#REF!</v>
      </c>
      <c r="Q162" s="544"/>
      <c r="R162" s="445" t="e">
        <f t="shared" si="129"/>
        <v>#REF!</v>
      </c>
      <c r="S162" s="544"/>
      <c r="T162" s="445" t="e">
        <f t="shared" si="130"/>
        <v>#REF!</v>
      </c>
      <c r="V162" s="581" t="e">
        <f>'4,6,2,3 Cerrchas  Metàlica'!I18</f>
        <v>#REF!</v>
      </c>
      <c r="W162" s="582" t="e">
        <f t="shared" si="139"/>
        <v>#REF!</v>
      </c>
      <c r="X162" s="581">
        <f>'4,6,2,3 Cerrchas  Metàlica'!I49</f>
        <v>8641.92</v>
      </c>
      <c r="Y162" s="582">
        <f t="shared" si="140"/>
        <v>0</v>
      </c>
      <c r="Z162" s="581">
        <f>'4,6,2,3 Cerrchas  Metàlica'!I29</f>
        <v>435.71000000000004</v>
      </c>
      <c r="AA162" s="582">
        <f t="shared" si="141"/>
        <v>0</v>
      </c>
      <c r="AB162" s="581">
        <f>'4,6,2,3 Cerrchas  Metàlica'!I40</f>
        <v>0</v>
      </c>
      <c r="AC162" s="582">
        <f t="shared" si="142"/>
        <v>0</v>
      </c>
      <c r="AE162" s="769" t="e">
        <f t="shared" si="124"/>
        <v>#REF!</v>
      </c>
    </row>
    <row r="163" spans="1:31" ht="45.75" customHeight="1" x14ac:dyDescent="0.2">
      <c r="A163" s="611" t="s">
        <v>838</v>
      </c>
      <c r="B163" s="601" t="s">
        <v>839</v>
      </c>
      <c r="C163" s="611" t="s">
        <v>119</v>
      </c>
      <c r="D163" s="576">
        <f t="shared" si="137"/>
        <v>3326.63</v>
      </c>
      <c r="E163" s="577" t="e">
        <f t="shared" si="111"/>
        <v>#REF!</v>
      </c>
      <c r="F163" s="577" t="e">
        <f t="shared" si="138"/>
        <v>#REF!</v>
      </c>
      <c r="G163" s="578"/>
      <c r="I163" s="584"/>
      <c r="J163" s="585" t="e">
        <f t="shared" si="125"/>
        <v>#REF!</v>
      </c>
      <c r="K163" s="537">
        <v>1825.58</v>
      </c>
      <c r="L163" s="445" t="e">
        <f t="shared" si="126"/>
        <v>#REF!</v>
      </c>
      <c r="M163" s="542">
        <v>269.01</v>
      </c>
      <c r="N163" s="445" t="e">
        <f t="shared" si="127"/>
        <v>#REF!</v>
      </c>
      <c r="O163" s="537">
        <v>457.08</v>
      </c>
      <c r="P163" s="445" t="e">
        <f t="shared" si="128"/>
        <v>#REF!</v>
      </c>
      <c r="Q163" s="537">
        <v>774.96</v>
      </c>
      <c r="R163" s="445" t="e">
        <f t="shared" si="129"/>
        <v>#REF!</v>
      </c>
      <c r="S163" s="537"/>
      <c r="T163" s="445" t="e">
        <f t="shared" si="130"/>
        <v>#REF!</v>
      </c>
      <c r="V163" s="581" t="e">
        <f>+#REF!</f>
        <v>#REF!</v>
      </c>
      <c r="W163" s="582" t="e">
        <f t="shared" si="139"/>
        <v>#REF!</v>
      </c>
      <c r="X163" s="581" t="e">
        <f>+#REF!</f>
        <v>#REF!</v>
      </c>
      <c r="Y163" s="582" t="e">
        <f t="shared" si="140"/>
        <v>#REF!</v>
      </c>
      <c r="Z163" s="581" t="e">
        <f>#REF!</f>
        <v>#REF!</v>
      </c>
      <c r="AA163" s="582" t="e">
        <f t="shared" si="141"/>
        <v>#REF!</v>
      </c>
      <c r="AB163" s="581" t="e">
        <f>#REF!</f>
        <v>#REF!</v>
      </c>
      <c r="AC163" s="582" t="e">
        <f t="shared" si="142"/>
        <v>#REF!</v>
      </c>
      <c r="AE163" s="769" t="e">
        <f t="shared" si="124"/>
        <v>#REF!</v>
      </c>
    </row>
    <row r="164" spans="1:31" ht="15" customHeight="1" x14ac:dyDescent="0.2">
      <c r="A164" s="611" t="s">
        <v>840</v>
      </c>
      <c r="B164" s="610" t="s">
        <v>841</v>
      </c>
      <c r="C164" s="611" t="s">
        <v>119</v>
      </c>
      <c r="D164" s="576">
        <f t="shared" si="137"/>
        <v>63.779999999999994</v>
      </c>
      <c r="E164" s="577" t="e">
        <f t="shared" si="111"/>
        <v>#REF!</v>
      </c>
      <c r="F164" s="577" t="e">
        <f t="shared" si="138"/>
        <v>#REF!</v>
      </c>
      <c r="G164" s="578"/>
      <c r="I164" s="584"/>
      <c r="J164" s="585" t="e">
        <f t="shared" si="125"/>
        <v>#REF!</v>
      </c>
      <c r="K164" s="537">
        <v>39.65</v>
      </c>
      <c r="L164" s="445" t="e">
        <f t="shared" si="126"/>
        <v>#REF!</v>
      </c>
      <c r="M164" s="542">
        <v>4.97</v>
      </c>
      <c r="N164" s="445" t="e">
        <f t="shared" si="127"/>
        <v>#REF!</v>
      </c>
      <c r="O164" s="537">
        <v>9.9499999999999993</v>
      </c>
      <c r="P164" s="445" t="e">
        <f t="shared" si="128"/>
        <v>#REF!</v>
      </c>
      <c r="Q164" s="537">
        <v>9.2100000000000009</v>
      </c>
      <c r="R164" s="445" t="e">
        <f t="shared" si="129"/>
        <v>#REF!</v>
      </c>
      <c r="S164" s="537"/>
      <c r="T164" s="445" t="e">
        <f t="shared" si="130"/>
        <v>#REF!</v>
      </c>
      <c r="V164" s="581" t="e">
        <f>+#REF!</f>
        <v>#REF!</v>
      </c>
      <c r="W164" s="582" t="e">
        <f t="shared" si="139"/>
        <v>#REF!</v>
      </c>
      <c r="X164" s="581" t="e">
        <f>+#REF!</f>
        <v>#REF!</v>
      </c>
      <c r="Y164" s="582" t="e">
        <f t="shared" si="140"/>
        <v>#REF!</v>
      </c>
      <c r="Z164" s="581" t="e">
        <f>+#REF!</f>
        <v>#REF!</v>
      </c>
      <c r="AA164" s="582" t="e">
        <f t="shared" si="141"/>
        <v>#REF!</v>
      </c>
      <c r="AB164" s="581" t="e">
        <f>+#REF!</f>
        <v>#REF!</v>
      </c>
      <c r="AC164" s="582" t="e">
        <f t="shared" si="142"/>
        <v>#REF!</v>
      </c>
      <c r="AE164" s="769" t="e">
        <f t="shared" si="124"/>
        <v>#REF!</v>
      </c>
    </row>
    <row r="165" spans="1:31" ht="15" hidden="1" customHeight="1" x14ac:dyDescent="0.2">
      <c r="A165" s="611" t="s">
        <v>842</v>
      </c>
      <c r="B165" s="601" t="s">
        <v>831</v>
      </c>
      <c r="C165" s="611" t="s">
        <v>119</v>
      </c>
      <c r="D165" s="576">
        <f t="shared" si="137"/>
        <v>0</v>
      </c>
      <c r="E165" s="577">
        <f t="shared" si="111"/>
        <v>0</v>
      </c>
      <c r="F165" s="577">
        <f t="shared" si="138"/>
        <v>0</v>
      </c>
      <c r="G165" s="578"/>
      <c r="I165" s="597"/>
      <c r="J165" s="598">
        <f t="shared" si="125"/>
        <v>0</v>
      </c>
      <c r="K165" s="537"/>
      <c r="L165" s="445">
        <f t="shared" si="126"/>
        <v>0</v>
      </c>
      <c r="M165" s="544"/>
      <c r="N165" s="445">
        <f t="shared" si="127"/>
        <v>0</v>
      </c>
      <c r="O165" s="544"/>
      <c r="P165" s="445">
        <f t="shared" si="128"/>
        <v>0</v>
      </c>
      <c r="Q165" s="544"/>
      <c r="R165" s="445">
        <f t="shared" si="129"/>
        <v>0</v>
      </c>
      <c r="S165" s="544"/>
      <c r="T165" s="445">
        <f t="shared" si="130"/>
        <v>0</v>
      </c>
      <c r="V165" s="581"/>
      <c r="W165" s="582">
        <f t="shared" si="139"/>
        <v>0</v>
      </c>
      <c r="X165" s="581"/>
      <c r="Y165" s="582">
        <f t="shared" si="140"/>
        <v>0</v>
      </c>
      <c r="Z165" s="581"/>
      <c r="AA165" s="582">
        <f t="shared" si="141"/>
        <v>0</v>
      </c>
      <c r="AB165" s="581"/>
      <c r="AC165" s="582">
        <f t="shared" si="142"/>
        <v>0</v>
      </c>
      <c r="AE165" s="769">
        <f t="shared" si="124"/>
        <v>0</v>
      </c>
    </row>
    <row r="166" spans="1:31" ht="15" hidden="1" customHeight="1" x14ac:dyDescent="0.2">
      <c r="A166" s="572">
        <v>4.7</v>
      </c>
      <c r="B166" s="573" t="s">
        <v>843</v>
      </c>
      <c r="C166" s="611"/>
      <c r="D166" s="576"/>
      <c r="E166" s="577"/>
      <c r="F166" s="626">
        <f>+ROUND(SUM(F168:F169),10)</f>
        <v>0</v>
      </c>
      <c r="G166" s="578"/>
      <c r="I166" s="613"/>
      <c r="J166" s="440">
        <f>ROUND(SUM(J167:J169),10)</f>
        <v>0</v>
      </c>
      <c r="K166" s="537"/>
      <c r="L166" s="180">
        <f>ROUND(SUM(L167:L169),10)</f>
        <v>0</v>
      </c>
      <c r="M166" s="544"/>
      <c r="N166" s="180">
        <f>ROUND(SUM(N167:N169),10)</f>
        <v>0</v>
      </c>
      <c r="O166" s="544"/>
      <c r="P166" s="180">
        <f>ROUND(SUM(P167:P169),10)</f>
        <v>0</v>
      </c>
      <c r="Q166" s="544"/>
      <c r="R166" s="180">
        <f>ROUND(SUM(R167:R169),10)</f>
        <v>0</v>
      </c>
      <c r="S166" s="544"/>
      <c r="T166" s="180">
        <f>ROUND(SUM(T167:T169),10)</f>
        <v>0</v>
      </c>
      <c r="V166" s="581"/>
      <c r="W166" s="570">
        <f>ROUND(SUM(W168:W169),10)</f>
        <v>0</v>
      </c>
      <c r="X166" s="581"/>
      <c r="Y166" s="570">
        <f>ROUND(SUM(Y168:Y169),10)</f>
        <v>0</v>
      </c>
      <c r="Z166" s="581"/>
      <c r="AA166" s="570">
        <f>ROUND(SUM(AA168:AA169),10)</f>
        <v>0</v>
      </c>
      <c r="AB166" s="581"/>
      <c r="AC166" s="570">
        <f>ROUND(SUM(AC168:AC169),10)</f>
        <v>0</v>
      </c>
      <c r="AE166" s="769">
        <f t="shared" si="124"/>
        <v>0</v>
      </c>
    </row>
    <row r="167" spans="1:31" ht="15" hidden="1" customHeight="1" x14ac:dyDescent="0.2">
      <c r="A167" s="611" t="s">
        <v>844</v>
      </c>
      <c r="B167" s="601" t="s">
        <v>845</v>
      </c>
      <c r="C167" s="611"/>
      <c r="D167" s="576"/>
      <c r="E167" s="577"/>
      <c r="F167" s="577"/>
      <c r="G167" s="578"/>
      <c r="I167" s="594"/>
      <c r="J167" s="580"/>
      <c r="K167" s="537"/>
      <c r="L167" s="445"/>
      <c r="M167" s="544"/>
      <c r="N167" s="445"/>
      <c r="O167" s="544"/>
      <c r="P167" s="445"/>
      <c r="Q167" s="544"/>
      <c r="R167" s="445"/>
      <c r="S167" s="544"/>
      <c r="T167" s="445"/>
      <c r="V167" s="581"/>
      <c r="W167" s="582"/>
      <c r="X167" s="581"/>
      <c r="Y167" s="582"/>
      <c r="Z167" s="581"/>
      <c r="AA167" s="582"/>
      <c r="AB167" s="581"/>
      <c r="AC167" s="582"/>
      <c r="AE167" s="769">
        <f t="shared" si="124"/>
        <v>0</v>
      </c>
    </row>
    <row r="168" spans="1:31" ht="15" hidden="1" customHeight="1" x14ac:dyDescent="0.2">
      <c r="A168" s="611" t="s">
        <v>846</v>
      </c>
      <c r="B168" s="601" t="s">
        <v>847</v>
      </c>
      <c r="C168" s="611" t="s">
        <v>114</v>
      </c>
      <c r="D168" s="576">
        <f>+I168+K168+M168+O168+Q168+S168</f>
        <v>0</v>
      </c>
      <c r="E168" s="577">
        <f t="shared" si="111"/>
        <v>0</v>
      </c>
      <c r="F168" s="577">
        <f>ROUND(D168*E168,10)</f>
        <v>0</v>
      </c>
      <c r="G168" s="578"/>
      <c r="I168" s="584"/>
      <c r="J168" s="585">
        <f>+ROUND(E168*I168,10)</f>
        <v>0</v>
      </c>
      <c r="K168" s="537"/>
      <c r="L168" s="445">
        <f>+ROUND(E168*K168,10)</f>
        <v>0</v>
      </c>
      <c r="M168" s="544"/>
      <c r="N168" s="445">
        <f>+ROUND(E168*M168,10)</f>
        <v>0</v>
      </c>
      <c r="O168" s="544"/>
      <c r="P168" s="445">
        <f>+ROUND(E168*O168,10)</f>
        <v>0</v>
      </c>
      <c r="Q168" s="544"/>
      <c r="R168" s="445">
        <f>+ROUND(E168*Q168,10)</f>
        <v>0</v>
      </c>
      <c r="S168" s="544"/>
      <c r="T168" s="445">
        <f>+ROUND(E168*S168,10)</f>
        <v>0</v>
      </c>
      <c r="V168" s="581"/>
      <c r="W168" s="582">
        <f>ROUND(V168*$D168,10)</f>
        <v>0</v>
      </c>
      <c r="X168" s="581"/>
      <c r="Y168" s="582">
        <f>ROUND(X168*$D168,10)</f>
        <v>0</v>
      </c>
      <c r="Z168" s="581"/>
      <c r="AA168" s="582">
        <f>ROUND(Z168*$D168,10)</f>
        <v>0</v>
      </c>
      <c r="AB168" s="581"/>
      <c r="AC168" s="582">
        <f>ROUND(AB168*$D168,10)</f>
        <v>0</v>
      </c>
      <c r="AE168" s="769">
        <f t="shared" si="124"/>
        <v>0</v>
      </c>
    </row>
    <row r="169" spans="1:31" ht="15" hidden="1" customHeight="1" thickBot="1" x14ac:dyDescent="0.25">
      <c r="A169" s="611" t="s">
        <v>848</v>
      </c>
      <c r="B169" s="601" t="s">
        <v>849</v>
      </c>
      <c r="C169" s="611" t="s">
        <v>114</v>
      </c>
      <c r="D169" s="576">
        <f>+I169+K169+M169+O169+Q169+S169</f>
        <v>0</v>
      </c>
      <c r="E169" s="577">
        <f t="shared" si="111"/>
        <v>0</v>
      </c>
      <c r="F169" s="577">
        <f>ROUND(D169*E169,10)</f>
        <v>0</v>
      </c>
      <c r="G169" s="578"/>
      <c r="I169" s="602"/>
      <c r="J169" s="603">
        <f>+ROUND(E169*I169,10)</f>
        <v>0</v>
      </c>
      <c r="K169" s="537"/>
      <c r="L169" s="445">
        <f>+ROUND(E169*K169,10)</f>
        <v>0</v>
      </c>
      <c r="M169" s="544"/>
      <c r="N169" s="445">
        <f>+ROUND(E169*M169,10)</f>
        <v>0</v>
      </c>
      <c r="O169" s="544"/>
      <c r="P169" s="445">
        <f>+ROUND(E169*O169,10)</f>
        <v>0</v>
      </c>
      <c r="Q169" s="544"/>
      <c r="R169" s="445">
        <f>+ROUND(E169*Q169,10)</f>
        <v>0</v>
      </c>
      <c r="S169" s="544"/>
      <c r="T169" s="445">
        <f>+ROUND(E169*S169,10)</f>
        <v>0</v>
      </c>
      <c r="V169" s="581"/>
      <c r="W169" s="582">
        <f>ROUND(V169*$D169,10)</f>
        <v>0</v>
      </c>
      <c r="X169" s="581"/>
      <c r="Y169" s="582">
        <f>ROUND(X169*$D169,10)</f>
        <v>0</v>
      </c>
      <c r="Z169" s="581"/>
      <c r="AA169" s="582">
        <f>ROUND(Z169*$D169,10)</f>
        <v>0</v>
      </c>
      <c r="AB169" s="581"/>
      <c r="AC169" s="582">
        <f>ROUND(AB169*$D169,10)</f>
        <v>0</v>
      </c>
      <c r="AE169" s="769">
        <f t="shared" si="124"/>
        <v>0</v>
      </c>
    </row>
    <row r="170" spans="1:31" ht="13.5" hidden="1" customHeight="1" thickTop="1" x14ac:dyDescent="0.2">
      <c r="A170" s="611"/>
      <c r="B170" s="601"/>
      <c r="C170" s="611"/>
      <c r="D170" s="576"/>
      <c r="E170" s="577"/>
      <c r="F170" s="577"/>
      <c r="G170" s="578"/>
      <c r="I170" s="604"/>
      <c r="J170" s="635"/>
      <c r="K170" s="537"/>
      <c r="L170" s="445"/>
      <c r="M170" s="544"/>
      <c r="N170" s="445"/>
      <c r="O170" s="544"/>
      <c r="P170" s="445"/>
      <c r="Q170" s="544"/>
      <c r="R170" s="445"/>
      <c r="S170" s="544"/>
      <c r="T170" s="445"/>
      <c r="V170" s="581"/>
      <c r="W170" s="582"/>
      <c r="X170" s="581"/>
      <c r="Y170" s="582"/>
      <c r="Z170" s="581"/>
      <c r="AA170" s="582"/>
      <c r="AB170" s="581"/>
      <c r="AC170" s="582"/>
      <c r="AE170" s="769">
        <f t="shared" si="124"/>
        <v>0</v>
      </c>
    </row>
    <row r="171" spans="1:31" ht="6" customHeight="1" thickBot="1" x14ac:dyDescent="0.25">
      <c r="A171" s="910"/>
      <c r="B171" s="911"/>
      <c r="C171" s="910"/>
      <c r="G171" s="174"/>
      <c r="I171" s="604"/>
      <c r="J171" s="604"/>
      <c r="K171" s="605"/>
      <c r="L171" s="604"/>
      <c r="M171" s="606"/>
      <c r="N171" s="604"/>
      <c r="O171" s="606"/>
      <c r="P171" s="604"/>
      <c r="Q171" s="606"/>
      <c r="R171" s="604"/>
      <c r="S171" s="606"/>
      <c r="T171" s="604"/>
      <c r="V171" s="615"/>
      <c r="W171" s="615"/>
      <c r="X171" s="615"/>
      <c r="Y171" s="615"/>
      <c r="Z171" s="615"/>
      <c r="AA171" s="615"/>
      <c r="AB171" s="615"/>
      <c r="AC171" s="615"/>
      <c r="AE171" s="769"/>
    </row>
    <row r="172" spans="1:31" s="571" customFormat="1" ht="30" customHeight="1" thickTop="1" thickBot="1" x14ac:dyDescent="0.25">
      <c r="A172" s="564">
        <v>5</v>
      </c>
      <c r="B172" s="1068" t="s">
        <v>850</v>
      </c>
      <c r="C172" s="1069"/>
      <c r="D172" s="1069"/>
      <c r="E172" s="1069"/>
      <c r="F172" s="1070"/>
      <c r="G172" s="180" t="e">
        <f>+ROUND(F173+F181+F188+F194+F197+F202,10)</f>
        <v>#REF!</v>
      </c>
      <c r="H172" s="568"/>
      <c r="I172" s="616"/>
      <c r="J172" s="439" t="e">
        <f>+ROUND(J173+J181+J188+J194+J197+J202,10)</f>
        <v>#REF!</v>
      </c>
      <c r="K172" s="617"/>
      <c r="L172" s="180" t="e">
        <f>+ROUND(L173+L188+L181++L194+L197+L202,10)</f>
        <v>#REF!</v>
      </c>
      <c r="M172" s="180"/>
      <c r="N172" s="180" t="e">
        <f>+ROUND(N173+N188+N181+N188+N194+N197+N202,10)</f>
        <v>#REF!</v>
      </c>
      <c r="O172" s="180"/>
      <c r="P172" s="180" t="e">
        <f>+ROUND(P173+P188+P181+P194+P197+P202,10)</f>
        <v>#REF!</v>
      </c>
      <c r="Q172" s="180"/>
      <c r="R172" s="180" t="e">
        <f>+ROUND(R173+R181+R188+R194+R197+R202,10)</f>
        <v>#REF!</v>
      </c>
      <c r="S172" s="180"/>
      <c r="T172" s="180" t="e">
        <f>+ROUND(T173+T181+T188+T194+T197+T202,10)</f>
        <v>#REF!</v>
      </c>
      <c r="U172" s="568"/>
      <c r="V172" s="569" t="e">
        <f>W172/$G$172</f>
        <v>#REF!</v>
      </c>
      <c r="W172" s="570" t="e">
        <f>ROUND(W173+W181+W188+W194+W197+W202,10)</f>
        <v>#REF!</v>
      </c>
      <c r="X172" s="569" t="e">
        <f>Y172/$G$172</f>
        <v>#REF!</v>
      </c>
      <c r="Y172" s="570" t="e">
        <f>ROUND(Y173+Y181+Y188+Y194+Y197+Y202,10)</f>
        <v>#REF!</v>
      </c>
      <c r="Z172" s="569" t="e">
        <f>AA172/$G$172</f>
        <v>#REF!</v>
      </c>
      <c r="AA172" s="570" t="e">
        <f>ROUND(AA173+AA181+AA188+AA194+AA197+AA202,10)</f>
        <v>#REF!</v>
      </c>
      <c r="AB172" s="569" t="e">
        <f>AC172/$G$172</f>
        <v>#REF!</v>
      </c>
      <c r="AC172" s="570" t="e">
        <f>ROUND(AC173+AC181+AC188+AC194+AC197+AC202,10)</f>
        <v>#REF!</v>
      </c>
      <c r="AE172" s="769" t="e">
        <f t="shared" si="124"/>
        <v>#REF!</v>
      </c>
    </row>
    <row r="173" spans="1:31" s="571" customFormat="1" ht="27" customHeight="1" thickTop="1" x14ac:dyDescent="0.2">
      <c r="A173" s="572" t="s">
        <v>851</v>
      </c>
      <c r="B173" s="573" t="s">
        <v>852</v>
      </c>
      <c r="C173" s="846"/>
      <c r="D173" s="576"/>
      <c r="E173" s="180"/>
      <c r="F173" s="180" t="e">
        <f>+ROUND(SUM(F174:F180),10)</f>
        <v>#REF!</v>
      </c>
      <c r="G173" s="472"/>
      <c r="H173" s="568"/>
      <c r="I173" s="618"/>
      <c r="J173" s="439" t="e">
        <f>ROUND(SUM(J174:J180),10)</f>
        <v>#REF!</v>
      </c>
      <c r="K173" s="619"/>
      <c r="L173" s="180" t="e">
        <f>ROUND(SUM(L174:L180),10)</f>
        <v>#REF!</v>
      </c>
      <c r="M173" s="620"/>
      <c r="N173" s="180" t="e">
        <f>ROUND(SUM(N174:N180),10)</f>
        <v>#REF!</v>
      </c>
      <c r="O173" s="620"/>
      <c r="P173" s="180" t="e">
        <f>ROUND(SUM(P174:P180),10)</f>
        <v>#REF!</v>
      </c>
      <c r="Q173" s="620"/>
      <c r="R173" s="180" t="e">
        <f>ROUND(SUM(R174:R180),10)</f>
        <v>#REF!</v>
      </c>
      <c r="S173" s="620"/>
      <c r="T173" s="180" t="e">
        <f>ROUND(SUM(T174:T180),10)</f>
        <v>#REF!</v>
      </c>
      <c r="U173" s="568"/>
      <c r="V173" s="575"/>
      <c r="W173" s="570" t="e">
        <f>ROUND(SUM(W174:W180),10)</f>
        <v>#REF!</v>
      </c>
      <c r="X173" s="575"/>
      <c r="Y173" s="570">
        <f>ROUND(SUM(Y174:Y180),10)</f>
        <v>15086320.819599999</v>
      </c>
      <c r="Z173" s="575"/>
      <c r="AA173" s="570">
        <f>ROUND(SUM(AA174:AA180),10)</f>
        <v>114364.0693</v>
      </c>
      <c r="AB173" s="575"/>
      <c r="AC173" s="570">
        <f>ROUND(SUM(AC174:AC180),10)</f>
        <v>0</v>
      </c>
      <c r="AE173" s="769" t="e">
        <f t="shared" si="124"/>
        <v>#REF!</v>
      </c>
    </row>
    <row r="174" spans="1:31" ht="15" hidden="1" customHeight="1" x14ac:dyDescent="0.2">
      <c r="A174" s="611" t="s">
        <v>853</v>
      </c>
      <c r="B174" s="601" t="s">
        <v>854</v>
      </c>
      <c r="C174" s="611" t="s">
        <v>130</v>
      </c>
      <c r="D174" s="576">
        <f t="shared" ref="D174:D180" si="143">+I174+K174+M174+O174+Q174+S174</f>
        <v>0</v>
      </c>
      <c r="E174" s="577" t="e">
        <f t="shared" ref="E174:E203" si="144">V174+X174+Z174+AB174</f>
        <v>#REF!</v>
      </c>
      <c r="F174" s="577" t="e">
        <f t="shared" ref="F174:F180" si="145">ROUND(D174*E174,10)</f>
        <v>#REF!</v>
      </c>
      <c r="G174" s="914"/>
      <c r="I174" s="594"/>
      <c r="J174" s="580" t="e">
        <f t="shared" ref="J174:J180" si="146">+ROUND(E174*I174,10)</f>
        <v>#REF!</v>
      </c>
      <c r="K174" s="538"/>
      <c r="L174" s="445" t="e">
        <f t="shared" ref="L174:L180" si="147">+ROUND(E174*K174,10)</f>
        <v>#REF!</v>
      </c>
      <c r="M174" s="542"/>
      <c r="N174" s="445" t="e">
        <f t="shared" ref="N174:N180" si="148">+ROUND(E174*M174,10)</f>
        <v>#REF!</v>
      </c>
      <c r="O174" s="542"/>
      <c r="P174" s="445" t="e">
        <f t="shared" ref="P174:P180" si="149">+ROUND(E174*O174,10)</f>
        <v>#REF!</v>
      </c>
      <c r="Q174" s="542"/>
      <c r="R174" s="445" t="e">
        <f t="shared" ref="R174:R180" si="150">+ROUND(E174*Q174,10)</f>
        <v>#REF!</v>
      </c>
      <c r="S174" s="542"/>
      <c r="T174" s="445" t="e">
        <f t="shared" ref="T174:T180" si="151">+ROUND(E174*S174,10)</f>
        <v>#REF!</v>
      </c>
      <c r="V174" s="581" t="e">
        <f>+'5,1,1 Bloq Conc Estruc 0,12'!I19</f>
        <v>#REF!</v>
      </c>
      <c r="W174" s="582" t="e">
        <f t="shared" ref="W174:W180" si="152">ROUND(V174*$D174,10)</f>
        <v>#REF!</v>
      </c>
      <c r="X174" s="581">
        <f>+'5,1,1 Bloq Conc Estruc 0,12'!I50</f>
        <v>13169.96</v>
      </c>
      <c r="Y174" s="582">
        <f t="shared" ref="Y174:Y180" si="153">ROUND(X174*$D174,10)</f>
        <v>0</v>
      </c>
      <c r="Z174" s="581">
        <f>+'5,1,1 Bloq Conc Estruc 0,12'!I30</f>
        <v>103.88</v>
      </c>
      <c r="AA174" s="582">
        <f t="shared" ref="AA174:AA180" si="154">ROUND(Z174*$D174,10)</f>
        <v>0</v>
      </c>
      <c r="AB174" s="581">
        <f>+'5,1,1 Bloq Conc Estruc 0,12'!I41</f>
        <v>0</v>
      </c>
      <c r="AC174" s="582">
        <f t="shared" ref="AC174:AC180" si="155">ROUND(AB174*$D174,10)</f>
        <v>0</v>
      </c>
      <c r="AE174" s="769" t="e">
        <f t="shared" si="124"/>
        <v>#REF!</v>
      </c>
    </row>
    <row r="175" spans="1:31" ht="15" customHeight="1" x14ac:dyDescent="0.2">
      <c r="A175" s="611" t="s">
        <v>855</v>
      </c>
      <c r="B175" s="601" t="s">
        <v>856</v>
      </c>
      <c r="C175" s="611" t="s">
        <v>130</v>
      </c>
      <c r="D175" s="576">
        <f t="shared" si="143"/>
        <v>1108.01</v>
      </c>
      <c r="E175" s="577" t="e">
        <f t="shared" si="144"/>
        <v>#REF!</v>
      </c>
      <c r="F175" s="577" t="e">
        <f t="shared" si="145"/>
        <v>#REF!</v>
      </c>
      <c r="G175" s="914"/>
      <c r="I175" s="584"/>
      <c r="J175" s="585" t="e">
        <f t="shared" si="146"/>
        <v>#REF!</v>
      </c>
      <c r="K175" s="538">
        <f>1108.01*TA</f>
        <v>488.84248880680104</v>
      </c>
      <c r="L175" s="445" t="e">
        <f t="shared" si="147"/>
        <v>#REF!</v>
      </c>
      <c r="M175" s="538">
        <f>1108.01*TL</f>
        <v>65.417315710058006</v>
      </c>
      <c r="N175" s="445" t="e">
        <f t="shared" si="148"/>
        <v>#REF!</v>
      </c>
      <c r="O175" s="538">
        <f>1108.01*TB</f>
        <v>89.009217424637001</v>
      </c>
      <c r="P175" s="445" t="e">
        <f t="shared" si="149"/>
        <v>#REF!</v>
      </c>
      <c r="Q175" s="538">
        <f>1108.01*TC</f>
        <v>251.81432284833301</v>
      </c>
      <c r="R175" s="445" t="e">
        <f t="shared" si="150"/>
        <v>#REF!</v>
      </c>
      <c r="S175" s="538">
        <f>1108.01*TE</f>
        <v>212.92665521017099</v>
      </c>
      <c r="T175" s="445" t="e">
        <f t="shared" si="151"/>
        <v>#REF!</v>
      </c>
      <c r="U175" s="552">
        <v>31.2</v>
      </c>
      <c r="V175" s="581" t="e">
        <f>+'5,1,2 Bloque concreto divisorio'!I19</f>
        <v>#REF!</v>
      </c>
      <c r="W175" s="582" t="e">
        <f t="shared" si="152"/>
        <v>#REF!</v>
      </c>
      <c r="X175" s="581">
        <f>+'5,1,2 Bloque concreto divisorio'!I50</f>
        <v>13169.96</v>
      </c>
      <c r="Y175" s="582">
        <f t="shared" si="153"/>
        <v>14592447.3796</v>
      </c>
      <c r="Z175" s="581">
        <f>+'5,1,2 Bloque concreto divisorio'!I30</f>
        <v>98.93</v>
      </c>
      <c r="AA175" s="582">
        <f t="shared" si="154"/>
        <v>109615.4293</v>
      </c>
      <c r="AB175" s="581">
        <f>+'5,1,2 Bloque concreto divisorio'!I41</f>
        <v>0</v>
      </c>
      <c r="AC175" s="582">
        <f t="shared" si="155"/>
        <v>0</v>
      </c>
      <c r="AE175" s="769" t="e">
        <f t="shared" si="124"/>
        <v>#REF!</v>
      </c>
    </row>
    <row r="176" spans="1:31" ht="15" hidden="1" customHeight="1" x14ac:dyDescent="0.2">
      <c r="A176" s="611" t="s">
        <v>857</v>
      </c>
      <c r="B176" s="601" t="s">
        <v>858</v>
      </c>
      <c r="C176" s="611" t="s">
        <v>130</v>
      </c>
      <c r="D176" s="576">
        <f t="shared" si="143"/>
        <v>0</v>
      </c>
      <c r="E176" s="577">
        <f t="shared" si="144"/>
        <v>0</v>
      </c>
      <c r="F176" s="577">
        <f t="shared" si="145"/>
        <v>0</v>
      </c>
      <c r="G176" s="914"/>
      <c r="H176" s="636"/>
      <c r="I176" s="637"/>
      <c r="J176" s="585">
        <f t="shared" si="146"/>
        <v>0</v>
      </c>
      <c r="K176" s="537"/>
      <c r="L176" s="445">
        <f t="shared" si="147"/>
        <v>0</v>
      </c>
      <c r="M176" s="542"/>
      <c r="N176" s="445">
        <f t="shared" si="148"/>
        <v>0</v>
      </c>
      <c r="O176" s="542"/>
      <c r="P176" s="445">
        <f t="shared" si="149"/>
        <v>0</v>
      </c>
      <c r="Q176" s="542"/>
      <c r="R176" s="445">
        <f t="shared" si="150"/>
        <v>0</v>
      </c>
      <c r="S176" s="542"/>
      <c r="T176" s="445">
        <f t="shared" si="151"/>
        <v>0</v>
      </c>
      <c r="V176" s="581"/>
      <c r="W176" s="582">
        <f t="shared" si="152"/>
        <v>0</v>
      </c>
      <c r="X176" s="581"/>
      <c r="Y176" s="582">
        <f t="shared" si="153"/>
        <v>0</v>
      </c>
      <c r="Z176" s="581"/>
      <c r="AA176" s="582">
        <f t="shared" si="154"/>
        <v>0</v>
      </c>
      <c r="AB176" s="581"/>
      <c r="AC176" s="582">
        <f t="shared" si="155"/>
        <v>0</v>
      </c>
      <c r="AE176" s="769">
        <f t="shared" si="124"/>
        <v>0</v>
      </c>
    </row>
    <row r="177" spans="1:31" ht="15" hidden="1" customHeight="1" x14ac:dyDescent="0.2">
      <c r="A177" s="611" t="s">
        <v>859</v>
      </c>
      <c r="B177" s="601" t="s">
        <v>860</v>
      </c>
      <c r="C177" s="611" t="s">
        <v>130</v>
      </c>
      <c r="D177" s="576">
        <f t="shared" si="143"/>
        <v>0</v>
      </c>
      <c r="E177" s="577">
        <f t="shared" si="144"/>
        <v>0</v>
      </c>
      <c r="F177" s="577">
        <f t="shared" si="145"/>
        <v>0</v>
      </c>
      <c r="G177" s="914"/>
      <c r="H177" s="636"/>
      <c r="I177" s="637"/>
      <c r="J177" s="585">
        <f t="shared" si="146"/>
        <v>0</v>
      </c>
      <c r="K177" s="537"/>
      <c r="L177" s="445">
        <f t="shared" si="147"/>
        <v>0</v>
      </c>
      <c r="M177" s="542"/>
      <c r="N177" s="445">
        <f t="shared" si="148"/>
        <v>0</v>
      </c>
      <c r="O177" s="542"/>
      <c r="P177" s="445">
        <f t="shared" si="149"/>
        <v>0</v>
      </c>
      <c r="Q177" s="542"/>
      <c r="R177" s="445">
        <f t="shared" si="150"/>
        <v>0</v>
      </c>
      <c r="S177" s="542"/>
      <c r="T177" s="445">
        <f t="shared" si="151"/>
        <v>0</v>
      </c>
      <c r="V177" s="581"/>
      <c r="W177" s="582">
        <f t="shared" si="152"/>
        <v>0</v>
      </c>
      <c r="X177" s="581"/>
      <c r="Y177" s="582">
        <f t="shared" si="153"/>
        <v>0</v>
      </c>
      <c r="Z177" s="581"/>
      <c r="AA177" s="582">
        <f t="shared" si="154"/>
        <v>0</v>
      </c>
      <c r="AB177" s="581"/>
      <c r="AC177" s="582">
        <f t="shared" si="155"/>
        <v>0</v>
      </c>
      <c r="AE177" s="769">
        <f t="shared" si="124"/>
        <v>0</v>
      </c>
    </row>
    <row r="178" spans="1:31" ht="31.5" customHeight="1" x14ac:dyDescent="0.2">
      <c r="A178" s="611" t="s">
        <v>861</v>
      </c>
      <c r="B178" s="601" t="s">
        <v>862</v>
      </c>
      <c r="C178" s="611" t="s">
        <v>111</v>
      </c>
      <c r="D178" s="576">
        <f t="shared" si="143"/>
        <v>48</v>
      </c>
      <c r="E178" s="577" t="e">
        <f t="shared" si="144"/>
        <v>#REF!</v>
      </c>
      <c r="F178" s="577" t="e">
        <f t="shared" si="145"/>
        <v>#REF!</v>
      </c>
      <c r="G178" s="914"/>
      <c r="H178" s="636"/>
      <c r="I178" s="637"/>
      <c r="J178" s="585" t="e">
        <f t="shared" si="146"/>
        <v>#REF!</v>
      </c>
      <c r="K178" s="537">
        <v>32</v>
      </c>
      <c r="L178" s="445" t="e">
        <f t="shared" si="147"/>
        <v>#REF!</v>
      </c>
      <c r="M178" s="542">
        <v>8</v>
      </c>
      <c r="N178" s="445" t="e">
        <f t="shared" si="148"/>
        <v>#REF!</v>
      </c>
      <c r="O178" s="542">
        <v>8</v>
      </c>
      <c r="P178" s="445" t="e">
        <f t="shared" si="149"/>
        <v>#REF!</v>
      </c>
      <c r="Q178" s="542"/>
      <c r="R178" s="445" t="e">
        <f t="shared" si="150"/>
        <v>#REF!</v>
      </c>
      <c r="S178" s="542"/>
      <c r="T178" s="445" t="e">
        <f t="shared" si="151"/>
        <v>#REF!</v>
      </c>
      <c r="V178" s="581" t="e">
        <f>+'5,1,5  Calados en Concreto'!I19</f>
        <v>#REF!</v>
      </c>
      <c r="W178" s="582" t="e">
        <f t="shared" si="152"/>
        <v>#REF!</v>
      </c>
      <c r="X178" s="581">
        <f>+'5,1,5  Calados en Concreto'!I50</f>
        <v>10289.030000000001</v>
      </c>
      <c r="Y178" s="582">
        <f t="shared" si="153"/>
        <v>493873.44</v>
      </c>
      <c r="Z178" s="581">
        <f>+'5,1,5  Calados en Concreto'!I30</f>
        <v>98.93</v>
      </c>
      <c r="AA178" s="582">
        <f t="shared" si="154"/>
        <v>4748.6400000000003</v>
      </c>
      <c r="AB178" s="581">
        <f>+'5,1,5  Calados en Concreto'!I41</f>
        <v>0</v>
      </c>
      <c r="AC178" s="582">
        <f t="shared" si="155"/>
        <v>0</v>
      </c>
      <c r="AE178" s="769" t="e">
        <f t="shared" si="124"/>
        <v>#REF!</v>
      </c>
    </row>
    <row r="179" spans="1:31" ht="33.75" hidden="1" customHeight="1" x14ac:dyDescent="0.2">
      <c r="A179" s="611" t="s">
        <v>863</v>
      </c>
      <c r="B179" s="601" t="s">
        <v>864</v>
      </c>
      <c r="C179" s="611" t="s">
        <v>130</v>
      </c>
      <c r="D179" s="576">
        <f t="shared" si="143"/>
        <v>0</v>
      </c>
      <c r="E179" s="577" t="e">
        <f t="shared" si="144"/>
        <v>#REF!</v>
      </c>
      <c r="F179" s="577" t="e">
        <f t="shared" si="145"/>
        <v>#REF!</v>
      </c>
      <c r="G179" s="914"/>
      <c r="H179" s="636"/>
      <c r="I179" s="637"/>
      <c r="J179" s="585" t="e">
        <f t="shared" si="146"/>
        <v>#REF!</v>
      </c>
      <c r="K179" s="537"/>
      <c r="L179" s="445" t="e">
        <f t="shared" si="147"/>
        <v>#REF!</v>
      </c>
      <c r="M179" s="542"/>
      <c r="N179" s="445" t="e">
        <f t="shared" si="148"/>
        <v>#REF!</v>
      </c>
      <c r="O179" s="542"/>
      <c r="P179" s="445" t="e">
        <f t="shared" si="149"/>
        <v>#REF!</v>
      </c>
      <c r="Q179" s="542"/>
      <c r="R179" s="445" t="e">
        <f t="shared" si="150"/>
        <v>#REF!</v>
      </c>
      <c r="S179" s="542"/>
      <c r="T179" s="445" t="e">
        <f t="shared" si="151"/>
        <v>#REF!</v>
      </c>
      <c r="V179" s="581" t="e">
        <f>+'5,1,6 Bloq Conc Estruc 014'!I19</f>
        <v>#REF!</v>
      </c>
      <c r="W179" s="582" t="e">
        <f t="shared" si="152"/>
        <v>#REF!</v>
      </c>
      <c r="X179" s="581">
        <f>+'5,1,6 Bloq Conc Estruc 014'!I50</f>
        <v>13169.96</v>
      </c>
      <c r="Y179" s="582">
        <f t="shared" si="153"/>
        <v>0</v>
      </c>
      <c r="Z179" s="581">
        <f>+'5,1,6 Bloq Conc Estruc 014'!I30</f>
        <v>103.88</v>
      </c>
      <c r="AA179" s="582">
        <f t="shared" si="154"/>
        <v>0</v>
      </c>
      <c r="AB179" s="581">
        <f>+'5,1,6 Bloq Conc Estruc 014'!I41</f>
        <v>0</v>
      </c>
      <c r="AC179" s="582">
        <f t="shared" si="155"/>
        <v>0</v>
      </c>
      <c r="AE179" s="769" t="e">
        <f t="shared" si="124"/>
        <v>#REF!</v>
      </c>
    </row>
    <row r="180" spans="1:31" ht="30" hidden="1" customHeight="1" x14ac:dyDescent="0.2">
      <c r="A180" s="611" t="s">
        <v>865</v>
      </c>
      <c r="B180" s="601" t="s">
        <v>866</v>
      </c>
      <c r="C180" s="611" t="s">
        <v>130</v>
      </c>
      <c r="D180" s="576">
        <f t="shared" si="143"/>
        <v>0</v>
      </c>
      <c r="E180" s="577" t="e">
        <f t="shared" si="144"/>
        <v>#REF!</v>
      </c>
      <c r="F180" s="577" t="e">
        <f t="shared" si="145"/>
        <v>#REF!</v>
      </c>
      <c r="G180" s="914"/>
      <c r="H180" s="636"/>
      <c r="I180" s="638"/>
      <c r="J180" s="598" t="e">
        <f t="shared" si="146"/>
        <v>#REF!</v>
      </c>
      <c r="K180" s="537"/>
      <c r="L180" s="445" t="e">
        <f t="shared" si="147"/>
        <v>#REF!</v>
      </c>
      <c r="M180" s="542"/>
      <c r="N180" s="445" t="e">
        <f t="shared" si="148"/>
        <v>#REF!</v>
      </c>
      <c r="O180" s="542"/>
      <c r="P180" s="445" t="e">
        <f t="shared" si="149"/>
        <v>#REF!</v>
      </c>
      <c r="Q180" s="542"/>
      <c r="R180" s="445" t="e">
        <f t="shared" si="150"/>
        <v>#REF!</v>
      </c>
      <c r="S180" s="542"/>
      <c r="T180" s="445" t="e">
        <f t="shared" si="151"/>
        <v>#REF!</v>
      </c>
      <c r="V180" s="581" t="e">
        <f>+'5,1,7 Bloq Conc Estruc 019'!I19</f>
        <v>#REF!</v>
      </c>
      <c r="W180" s="582" t="e">
        <f t="shared" si="152"/>
        <v>#REF!</v>
      </c>
      <c r="X180" s="581">
        <f>+'5,1,7 Bloq Conc Estruc 019'!I50</f>
        <v>11758.89</v>
      </c>
      <c r="Y180" s="582">
        <f t="shared" si="153"/>
        <v>0</v>
      </c>
      <c r="Z180" s="581">
        <f>+'5,1,7 Bloq Conc Estruc 019'!I30</f>
        <v>247.33</v>
      </c>
      <c r="AA180" s="582">
        <f t="shared" si="154"/>
        <v>0</v>
      </c>
      <c r="AB180" s="581">
        <f>+'5,1,7 Bloq Conc Estruc 019'!I41</f>
        <v>0</v>
      </c>
      <c r="AC180" s="582">
        <f t="shared" si="155"/>
        <v>0</v>
      </c>
      <c r="AE180" s="769" t="e">
        <f t="shared" si="124"/>
        <v>#REF!</v>
      </c>
    </row>
    <row r="181" spans="1:31" s="568" customFormat="1" ht="18" customHeight="1" x14ac:dyDescent="0.2">
      <c r="A181" s="572" t="s">
        <v>867</v>
      </c>
      <c r="B181" s="573" t="s">
        <v>868</v>
      </c>
      <c r="C181" s="846"/>
      <c r="D181" s="576"/>
      <c r="E181" s="577"/>
      <c r="F181" s="180" t="e">
        <f>+ROUND(SUM(F182:F187),10)</f>
        <v>#REF!</v>
      </c>
      <c r="G181" s="472"/>
      <c r="H181" s="639"/>
      <c r="I181" s="640"/>
      <c r="J181" s="440" t="e">
        <f>ROUND(SUM(J182:J187),10)</f>
        <v>#REF!</v>
      </c>
      <c r="K181" s="537"/>
      <c r="L181" s="180" t="e">
        <f>ROUND(SUM(L182:L187),10)</f>
        <v>#REF!</v>
      </c>
      <c r="M181" s="542"/>
      <c r="N181" s="180" t="e">
        <f>ROUND(SUM(N182:N187),10)</f>
        <v>#REF!</v>
      </c>
      <c r="O181" s="542"/>
      <c r="P181" s="180" t="e">
        <f>ROUND(SUM(P182:P187),10)</f>
        <v>#REF!</v>
      </c>
      <c r="Q181" s="542"/>
      <c r="R181" s="180" t="e">
        <f>ROUND(SUM(R182:R187),10)</f>
        <v>#REF!</v>
      </c>
      <c r="S181" s="542"/>
      <c r="T181" s="180" t="e">
        <f>ROUND(SUM(T182:T187),10)</f>
        <v>#REF!</v>
      </c>
      <c r="V181" s="575"/>
      <c r="W181" s="570" t="e">
        <f>ROUND(SUM(W182:W187),10)</f>
        <v>#REF!</v>
      </c>
      <c r="X181" s="575"/>
      <c r="Y181" s="570" t="e">
        <f>ROUND(SUM(Y182:Y187),10)</f>
        <v>#REF!</v>
      </c>
      <c r="Z181" s="575"/>
      <c r="AA181" s="570" t="e">
        <f>ROUND(SUM(AA182:AA187),10)</f>
        <v>#REF!</v>
      </c>
      <c r="AB181" s="575"/>
      <c r="AC181" s="570" t="e">
        <f>ROUND(SUM(AC182:AC187),10)</f>
        <v>#REF!</v>
      </c>
      <c r="AE181" s="769" t="e">
        <f t="shared" si="124"/>
        <v>#REF!</v>
      </c>
    </row>
    <row r="182" spans="1:31" ht="15" customHeight="1" x14ac:dyDescent="0.2">
      <c r="A182" s="611" t="s">
        <v>869</v>
      </c>
      <c r="B182" s="601" t="s">
        <v>870</v>
      </c>
      <c r="C182" s="611" t="s">
        <v>130</v>
      </c>
      <c r="D182" s="576">
        <f t="shared" ref="D182:D187" si="156">+I182+K182+M182+O182+Q182+S182</f>
        <v>24.19</v>
      </c>
      <c r="E182" s="577" t="e">
        <f t="shared" si="144"/>
        <v>#REF!</v>
      </c>
      <c r="F182" s="577" t="e">
        <f t="shared" ref="F182:F187" si="157">ROUND(D182*E182,10)</f>
        <v>#REF!</v>
      </c>
      <c r="G182" s="914"/>
      <c r="I182" s="594"/>
      <c r="J182" s="580" t="e">
        <f t="shared" ref="J182:J187" si="158">+ROUND(E182*I182,10)</f>
        <v>#REF!</v>
      </c>
      <c r="K182" s="537"/>
      <c r="L182" s="445" t="e">
        <f t="shared" ref="L182:L187" si="159">+ROUND(E182*K182,10)</f>
        <v>#REF!</v>
      </c>
      <c r="M182" s="542"/>
      <c r="N182" s="445" t="e">
        <f t="shared" ref="N182:N187" si="160">+ROUND(E182*M182,10)</f>
        <v>#REF!</v>
      </c>
      <c r="O182" s="542">
        <v>24.19</v>
      </c>
      <c r="P182" s="445" t="e">
        <f t="shared" ref="P182:P187" si="161">+ROUND(E182*O182,10)</f>
        <v>#REF!</v>
      </c>
      <c r="Q182" s="542"/>
      <c r="R182" s="445" t="e">
        <f t="shared" ref="R182:R187" si="162">+ROUND(E182*Q182,10)</f>
        <v>#REF!</v>
      </c>
      <c r="S182" s="542"/>
      <c r="T182" s="445" t="e">
        <f t="shared" ref="T182:T187" si="163">+ROUND(E182*S182,10)</f>
        <v>#REF!</v>
      </c>
      <c r="V182" s="581" t="e">
        <f>+#REF!</f>
        <v>#REF!</v>
      </c>
      <c r="W182" s="582" t="e">
        <f t="shared" ref="W182:W187" si="164">ROUND(V182*$D182,10)</f>
        <v>#REF!</v>
      </c>
      <c r="X182" s="581" t="e">
        <f>+#REF!</f>
        <v>#REF!</v>
      </c>
      <c r="Y182" s="582" t="e">
        <f t="shared" ref="Y182:Y187" si="165">ROUND(X182*$D182,10)</f>
        <v>#REF!</v>
      </c>
      <c r="Z182" s="581" t="e">
        <f>+#REF!</f>
        <v>#REF!</v>
      </c>
      <c r="AA182" s="582" t="e">
        <f t="shared" ref="AA182:AA187" si="166">ROUND(Z182*$D182,10)</f>
        <v>#REF!</v>
      </c>
      <c r="AB182" s="581" t="e">
        <f>+#REF!</f>
        <v>#REF!</v>
      </c>
      <c r="AC182" s="582" t="e">
        <f t="shared" ref="AC182:AC187" si="167">ROUND(AB182*$D182,10)</f>
        <v>#REF!</v>
      </c>
      <c r="AE182" s="769" t="e">
        <f t="shared" si="124"/>
        <v>#REF!</v>
      </c>
    </row>
    <row r="183" spans="1:31" ht="30" hidden="1" customHeight="1" x14ac:dyDescent="0.2">
      <c r="A183" s="611" t="s">
        <v>871</v>
      </c>
      <c r="B183" s="601" t="s">
        <v>872</v>
      </c>
      <c r="C183" s="611" t="s">
        <v>130</v>
      </c>
      <c r="D183" s="576">
        <f t="shared" si="156"/>
        <v>0</v>
      </c>
      <c r="E183" s="577" t="e">
        <f t="shared" si="144"/>
        <v>#REF!</v>
      </c>
      <c r="F183" s="577" t="e">
        <f t="shared" si="157"/>
        <v>#REF!</v>
      </c>
      <c r="G183" s="914"/>
      <c r="I183" s="584"/>
      <c r="J183" s="585" t="e">
        <f t="shared" si="158"/>
        <v>#REF!</v>
      </c>
      <c r="K183" s="537"/>
      <c r="L183" s="445" t="e">
        <f t="shared" si="159"/>
        <v>#REF!</v>
      </c>
      <c r="M183" s="542"/>
      <c r="N183" s="445" t="e">
        <f t="shared" si="160"/>
        <v>#REF!</v>
      </c>
      <c r="O183" s="542"/>
      <c r="P183" s="445" t="e">
        <f t="shared" si="161"/>
        <v>#REF!</v>
      </c>
      <c r="Q183" s="542"/>
      <c r="R183" s="445" t="e">
        <f t="shared" si="162"/>
        <v>#REF!</v>
      </c>
      <c r="S183" s="542"/>
      <c r="T183" s="445" t="e">
        <f t="shared" si="163"/>
        <v>#REF!</v>
      </c>
      <c r="V183" s="581" t="e">
        <f>+#REF!</f>
        <v>#REF!</v>
      </c>
      <c r="W183" s="582" t="e">
        <f t="shared" si="164"/>
        <v>#REF!</v>
      </c>
      <c r="X183" s="581" t="e">
        <f>+#REF!</f>
        <v>#REF!</v>
      </c>
      <c r="Y183" s="582" t="e">
        <f t="shared" si="165"/>
        <v>#REF!</v>
      </c>
      <c r="Z183" s="581" t="e">
        <f>+#REF!</f>
        <v>#REF!</v>
      </c>
      <c r="AA183" s="582" t="e">
        <f t="shared" si="166"/>
        <v>#REF!</v>
      </c>
      <c r="AB183" s="581" t="e">
        <f>+#REF!</f>
        <v>#REF!</v>
      </c>
      <c r="AC183" s="582" t="e">
        <f t="shared" si="167"/>
        <v>#REF!</v>
      </c>
      <c r="AE183" s="769" t="e">
        <f t="shared" si="124"/>
        <v>#REF!</v>
      </c>
    </row>
    <row r="184" spans="1:31" ht="30" customHeight="1" x14ac:dyDescent="0.2">
      <c r="A184" s="611" t="s">
        <v>873</v>
      </c>
      <c r="B184" s="601" t="s">
        <v>874</v>
      </c>
      <c r="C184" s="611" t="s">
        <v>130</v>
      </c>
      <c r="D184" s="576">
        <f t="shared" si="156"/>
        <v>167.2</v>
      </c>
      <c r="E184" s="577" t="e">
        <f t="shared" si="144"/>
        <v>#REF!</v>
      </c>
      <c r="F184" s="577" t="e">
        <f t="shared" si="157"/>
        <v>#REF!</v>
      </c>
      <c r="G184" s="914"/>
      <c r="I184" s="584"/>
      <c r="J184" s="585" t="e">
        <f t="shared" si="158"/>
        <v>#REF!</v>
      </c>
      <c r="K184" s="537">
        <f>66.99*2</f>
        <v>133.97999999999999</v>
      </c>
      <c r="L184" s="445" t="e">
        <f t="shared" si="159"/>
        <v>#REF!</v>
      </c>
      <c r="M184" s="542"/>
      <c r="N184" s="445" t="e">
        <f t="shared" si="160"/>
        <v>#REF!</v>
      </c>
      <c r="O184" s="537">
        <f>16.61*2</f>
        <v>33.22</v>
      </c>
      <c r="P184" s="445" t="e">
        <f t="shared" si="161"/>
        <v>#REF!</v>
      </c>
      <c r="Q184" s="542"/>
      <c r="R184" s="445" t="e">
        <f t="shared" si="162"/>
        <v>#REF!</v>
      </c>
      <c r="S184" s="542"/>
      <c r="T184" s="445" t="e">
        <f t="shared" si="163"/>
        <v>#REF!</v>
      </c>
      <c r="V184" s="581" t="e">
        <f>+#REF!</f>
        <v>#REF!</v>
      </c>
      <c r="W184" s="582" t="e">
        <f t="shared" si="164"/>
        <v>#REF!</v>
      </c>
      <c r="X184" s="581" t="e">
        <f>+#REF!</f>
        <v>#REF!</v>
      </c>
      <c r="Y184" s="582" t="e">
        <f t="shared" si="165"/>
        <v>#REF!</v>
      </c>
      <c r="Z184" s="581" t="e">
        <f>+#REF!</f>
        <v>#REF!</v>
      </c>
      <c r="AA184" s="582" t="e">
        <f t="shared" si="166"/>
        <v>#REF!</v>
      </c>
      <c r="AB184" s="581">
        <v>0</v>
      </c>
      <c r="AC184" s="582">
        <f t="shared" si="167"/>
        <v>0</v>
      </c>
      <c r="AE184" s="769" t="e">
        <f t="shared" si="124"/>
        <v>#REF!</v>
      </c>
    </row>
    <row r="185" spans="1:31" ht="15" hidden="1" customHeight="1" x14ac:dyDescent="0.2">
      <c r="A185" s="627" t="s">
        <v>875</v>
      </c>
      <c r="B185" s="610" t="s">
        <v>876</v>
      </c>
      <c r="C185" s="627" t="s">
        <v>130</v>
      </c>
      <c r="D185" s="576">
        <f t="shared" si="156"/>
        <v>0</v>
      </c>
      <c r="E185" s="577" t="e">
        <f t="shared" si="144"/>
        <v>#REF!</v>
      </c>
      <c r="F185" s="577" t="e">
        <f t="shared" si="157"/>
        <v>#REF!</v>
      </c>
      <c r="G185" s="914"/>
      <c r="I185" s="584"/>
      <c r="J185" s="585" t="e">
        <f t="shared" si="158"/>
        <v>#REF!</v>
      </c>
      <c r="K185" s="537"/>
      <c r="L185" s="445" t="e">
        <f t="shared" si="159"/>
        <v>#REF!</v>
      </c>
      <c r="M185" s="542"/>
      <c r="N185" s="445" t="e">
        <f t="shared" si="160"/>
        <v>#REF!</v>
      </c>
      <c r="O185" s="542"/>
      <c r="P185" s="445" t="e">
        <f t="shared" si="161"/>
        <v>#REF!</v>
      </c>
      <c r="Q185" s="542"/>
      <c r="R185" s="445" t="e">
        <f t="shared" si="162"/>
        <v>#REF!</v>
      </c>
      <c r="S185" s="542"/>
      <c r="T185" s="445" t="e">
        <f t="shared" si="163"/>
        <v>#REF!</v>
      </c>
      <c r="V185" s="581" t="e">
        <f>+#REF!</f>
        <v>#REF!</v>
      </c>
      <c r="W185" s="582" t="e">
        <f t="shared" si="164"/>
        <v>#REF!</v>
      </c>
      <c r="X185" s="581" t="e">
        <f>+#REF!</f>
        <v>#REF!</v>
      </c>
      <c r="Y185" s="582" t="e">
        <f t="shared" si="165"/>
        <v>#REF!</v>
      </c>
      <c r="Z185" s="581" t="e">
        <f>+#REF!</f>
        <v>#REF!</v>
      </c>
      <c r="AA185" s="582" t="e">
        <f t="shared" si="166"/>
        <v>#REF!</v>
      </c>
      <c r="AB185" s="581" t="e">
        <f>+#REF!</f>
        <v>#REF!</v>
      </c>
      <c r="AC185" s="582" t="e">
        <f t="shared" si="167"/>
        <v>#REF!</v>
      </c>
      <c r="AE185" s="769" t="e">
        <f t="shared" si="124"/>
        <v>#REF!</v>
      </c>
    </row>
    <row r="186" spans="1:31" ht="15" hidden="1" customHeight="1" x14ac:dyDescent="0.2">
      <c r="A186" s="915" t="s">
        <v>877</v>
      </c>
      <c r="B186" s="649" t="s">
        <v>878</v>
      </c>
      <c r="C186" s="915" t="s">
        <v>130</v>
      </c>
      <c r="D186" s="576">
        <f t="shared" si="156"/>
        <v>0</v>
      </c>
      <c r="E186" s="577">
        <f t="shared" si="144"/>
        <v>0</v>
      </c>
      <c r="F186" s="577">
        <f t="shared" si="157"/>
        <v>0</v>
      </c>
      <c r="G186" s="914"/>
      <c r="I186" s="584"/>
      <c r="J186" s="585">
        <f t="shared" si="158"/>
        <v>0</v>
      </c>
      <c r="K186" s="537"/>
      <c r="L186" s="445">
        <f t="shared" si="159"/>
        <v>0</v>
      </c>
      <c r="M186" s="542"/>
      <c r="N186" s="445">
        <f t="shared" si="160"/>
        <v>0</v>
      </c>
      <c r="O186" s="542"/>
      <c r="P186" s="445">
        <f t="shared" si="161"/>
        <v>0</v>
      </c>
      <c r="Q186" s="542"/>
      <c r="R186" s="445">
        <f t="shared" si="162"/>
        <v>0</v>
      </c>
      <c r="S186" s="542"/>
      <c r="T186" s="445">
        <f t="shared" si="163"/>
        <v>0</v>
      </c>
      <c r="V186" s="581"/>
      <c r="W186" s="582">
        <f t="shared" si="164"/>
        <v>0</v>
      </c>
      <c r="X186" s="581"/>
      <c r="Y186" s="582">
        <f t="shared" si="165"/>
        <v>0</v>
      </c>
      <c r="Z186" s="581"/>
      <c r="AA186" s="582">
        <f t="shared" si="166"/>
        <v>0</v>
      </c>
      <c r="AB186" s="581"/>
      <c r="AC186" s="582">
        <f t="shared" si="167"/>
        <v>0</v>
      </c>
      <c r="AE186" s="769">
        <f t="shared" si="124"/>
        <v>0</v>
      </c>
    </row>
    <row r="187" spans="1:31" ht="15.75" hidden="1" customHeight="1" x14ac:dyDescent="0.2">
      <c r="A187" s="627" t="s">
        <v>879</v>
      </c>
      <c r="B187" s="610" t="s">
        <v>880</v>
      </c>
      <c r="C187" s="627" t="s">
        <v>130</v>
      </c>
      <c r="D187" s="576">
        <f t="shared" si="156"/>
        <v>0</v>
      </c>
      <c r="E187" s="577" t="e">
        <f t="shared" si="144"/>
        <v>#REF!</v>
      </c>
      <c r="F187" s="577" t="e">
        <f t="shared" si="157"/>
        <v>#REF!</v>
      </c>
      <c r="G187" s="914"/>
      <c r="I187" s="597"/>
      <c r="J187" s="598" t="e">
        <f t="shared" si="158"/>
        <v>#REF!</v>
      </c>
      <c r="K187" s="537"/>
      <c r="L187" s="445" t="e">
        <f t="shared" si="159"/>
        <v>#REF!</v>
      </c>
      <c r="M187" s="542"/>
      <c r="N187" s="445" t="e">
        <f t="shared" si="160"/>
        <v>#REF!</v>
      </c>
      <c r="O187" s="542"/>
      <c r="P187" s="445" t="e">
        <f t="shared" si="161"/>
        <v>#REF!</v>
      </c>
      <c r="Q187" s="542"/>
      <c r="R187" s="445" t="e">
        <f t="shared" si="162"/>
        <v>#REF!</v>
      </c>
      <c r="S187" s="542"/>
      <c r="T187" s="445" t="e">
        <f t="shared" si="163"/>
        <v>#REF!</v>
      </c>
      <c r="V187" s="581" t="e">
        <f>+'5,2,6 Muro en bloque No 4'!I19</f>
        <v>#REF!</v>
      </c>
      <c r="W187" s="582" t="e">
        <f t="shared" si="164"/>
        <v>#REF!</v>
      </c>
      <c r="X187" s="581">
        <f>+'5,2,6 Muro en bloque No 4'!I50</f>
        <v>10974.97</v>
      </c>
      <c r="Y187" s="582">
        <f t="shared" si="165"/>
        <v>0</v>
      </c>
      <c r="Z187" s="581">
        <f>+'5,2,6 Muro en bloque No 4'!I30</f>
        <v>103.88</v>
      </c>
      <c r="AA187" s="582">
        <f t="shared" si="166"/>
        <v>0</v>
      </c>
      <c r="AB187" s="581">
        <f>+'5,2,6 Muro en bloque No 4'!I41</f>
        <v>0</v>
      </c>
      <c r="AC187" s="582">
        <f t="shared" si="167"/>
        <v>0</v>
      </c>
      <c r="AE187" s="769" t="e">
        <f t="shared" si="124"/>
        <v>#REF!</v>
      </c>
    </row>
    <row r="188" spans="1:31" s="642" customFormat="1" ht="18" hidden="1" customHeight="1" x14ac:dyDescent="0.2">
      <c r="A188" s="622" t="s">
        <v>881</v>
      </c>
      <c r="B188" s="623" t="s">
        <v>882</v>
      </c>
      <c r="C188" s="846"/>
      <c r="D188" s="576"/>
      <c r="E188" s="641"/>
      <c r="F188" s="532" t="e">
        <f>+ROUND(SUM(F189:F193),10)</f>
        <v>#REF!</v>
      </c>
      <c r="G188" s="472"/>
      <c r="I188" s="599"/>
      <c r="J188" s="520" t="e">
        <f>ROUND(SUM(J189:J193),10)</f>
        <v>#REF!</v>
      </c>
      <c r="K188" s="538"/>
      <c r="L188" s="473" t="e">
        <f>ROUND(SUM(L189:L193),10)</f>
        <v>#REF!</v>
      </c>
      <c r="M188" s="543"/>
      <c r="N188" s="473" t="e">
        <f>ROUND(SUM(N189:N193),10)</f>
        <v>#REF!</v>
      </c>
      <c r="O188" s="543"/>
      <c r="P188" s="473" t="e">
        <f>ROUND(SUM(P189:P193),10)</f>
        <v>#REF!</v>
      </c>
      <c r="Q188" s="543"/>
      <c r="R188" s="473" t="e">
        <f>ROUND(SUM(R189:R193),10)</f>
        <v>#REF!</v>
      </c>
      <c r="S188" s="543"/>
      <c r="T188" s="473" t="e">
        <f>ROUND(SUM(T189:T193),10)</f>
        <v>#REF!</v>
      </c>
      <c r="V188" s="643"/>
      <c r="W188" s="643" t="e">
        <f>ROUND(SUM(W189:W193),10)</f>
        <v>#REF!</v>
      </c>
      <c r="X188" s="643"/>
      <c r="Y188" s="643">
        <f>ROUND(SUM(Y189:Y193),10)</f>
        <v>0</v>
      </c>
      <c r="Z188" s="643"/>
      <c r="AA188" s="643">
        <f>ROUND(SUM(AA189:AA193),10)</f>
        <v>0</v>
      </c>
      <c r="AB188" s="643"/>
      <c r="AC188" s="643">
        <f>ROUND(SUM(AC189:AC193),10)</f>
        <v>0</v>
      </c>
      <c r="AE188" s="769" t="e">
        <f t="shared" si="124"/>
        <v>#REF!</v>
      </c>
    </row>
    <row r="189" spans="1:31" ht="15" hidden="1" customHeight="1" x14ac:dyDescent="0.2">
      <c r="A189" s="611" t="s">
        <v>883</v>
      </c>
      <c r="B189" s="601" t="s">
        <v>884</v>
      </c>
      <c r="C189" s="611" t="s">
        <v>130</v>
      </c>
      <c r="D189" s="576">
        <f>+I189+K189+M189+O189+Q189+S189</f>
        <v>0</v>
      </c>
      <c r="E189" s="577" t="e">
        <f t="shared" si="144"/>
        <v>#REF!</v>
      </c>
      <c r="F189" s="577" t="e">
        <f>ROUND(D189*E189,10)</f>
        <v>#REF!</v>
      </c>
      <c r="G189" s="914"/>
      <c r="I189" s="594"/>
      <c r="J189" s="580" t="e">
        <f>+ROUND(E189*I189,10)</f>
        <v>#REF!</v>
      </c>
      <c r="K189" s="537"/>
      <c r="L189" s="445" t="e">
        <f>+ROUND(E189*K189,10)</f>
        <v>#REF!</v>
      </c>
      <c r="M189" s="542"/>
      <c r="N189" s="445" t="e">
        <f>+ROUND(E189*M189,10)</f>
        <v>#REF!</v>
      </c>
      <c r="O189" s="542"/>
      <c r="P189" s="445" t="e">
        <f>+ROUND(E189*O189,10)</f>
        <v>#REF!</v>
      </c>
      <c r="Q189" s="542"/>
      <c r="R189" s="445" t="e">
        <f>+ROUND(E189*Q189,10)</f>
        <v>#REF!</v>
      </c>
      <c r="S189" s="542"/>
      <c r="T189" s="445" t="e">
        <f>+ROUND(E189*S189,10)</f>
        <v>#REF!</v>
      </c>
      <c r="V189" s="581" t="e">
        <f>+'5,3,1 Enchape ladrillo arcilla'!I19</f>
        <v>#REF!</v>
      </c>
      <c r="W189" s="582" t="e">
        <f>ROUND(V189*$D189,10)</f>
        <v>#REF!</v>
      </c>
      <c r="X189" s="581">
        <f>+'5,3,1 Enchape ladrillo arcilla'!I50</f>
        <v>27437.42</v>
      </c>
      <c r="Y189" s="582">
        <f>ROUND(X189*$D189,10)</f>
        <v>0</v>
      </c>
      <c r="Z189" s="581">
        <f>+'5,3,1 Enchape ladrillo arcilla'!I30</f>
        <v>242.03</v>
      </c>
      <c r="AA189" s="582">
        <f>ROUND(Z189*$D189,10)</f>
        <v>0</v>
      </c>
      <c r="AB189" s="581">
        <f>+'5,3,1 Enchape ladrillo arcilla'!I41</f>
        <v>0</v>
      </c>
      <c r="AC189" s="582">
        <f>ROUND(AB189*$D189,10)</f>
        <v>0</v>
      </c>
      <c r="AE189" s="769" t="e">
        <f t="shared" si="124"/>
        <v>#REF!</v>
      </c>
    </row>
    <row r="190" spans="1:31" ht="15" hidden="1" customHeight="1" x14ac:dyDescent="0.2">
      <c r="A190" s="611" t="s">
        <v>885</v>
      </c>
      <c r="B190" s="601" t="s">
        <v>886</v>
      </c>
      <c r="C190" s="611" t="s">
        <v>130</v>
      </c>
      <c r="D190" s="576">
        <f>+I190+K190+M190+O190+Q190+S190</f>
        <v>0</v>
      </c>
      <c r="E190" s="641">
        <f t="shared" si="144"/>
        <v>0</v>
      </c>
      <c r="F190" s="577">
        <f>ROUND(D190*E190,10)</f>
        <v>0</v>
      </c>
      <c r="G190" s="914"/>
      <c r="I190" s="584"/>
      <c r="J190" s="585">
        <f>+ROUND(E190*I190,10)</f>
        <v>0</v>
      </c>
      <c r="K190" s="537"/>
      <c r="L190" s="445">
        <f>+ROUND(E190*K190,10)</f>
        <v>0</v>
      </c>
      <c r="M190" s="542"/>
      <c r="N190" s="445">
        <f>+ROUND(E190*M190,10)</f>
        <v>0</v>
      </c>
      <c r="O190" s="542"/>
      <c r="P190" s="445">
        <f>+ROUND(E190*O190,10)</f>
        <v>0</v>
      </c>
      <c r="Q190" s="542"/>
      <c r="R190" s="445">
        <f>+ROUND(E190*Q190,10)</f>
        <v>0</v>
      </c>
      <c r="S190" s="542"/>
      <c r="T190" s="445">
        <f>+ROUND(E190*S190,10)</f>
        <v>0</v>
      </c>
      <c r="V190" s="581"/>
      <c r="W190" s="582">
        <f>ROUND(V190*$D190,10)</f>
        <v>0</v>
      </c>
      <c r="X190" s="581"/>
      <c r="Y190" s="582">
        <f>ROUND(X190*$D190,10)</f>
        <v>0</v>
      </c>
      <c r="Z190" s="581"/>
      <c r="AA190" s="582">
        <f>ROUND(Z190*$D190,10)</f>
        <v>0</v>
      </c>
      <c r="AB190" s="581"/>
      <c r="AC190" s="582">
        <f>ROUND(AB190*$D190,10)</f>
        <v>0</v>
      </c>
      <c r="AE190" s="769">
        <f t="shared" si="124"/>
        <v>0</v>
      </c>
    </row>
    <row r="191" spans="1:31" ht="15" hidden="1" customHeight="1" x14ac:dyDescent="0.2">
      <c r="A191" s="611" t="s">
        <v>887</v>
      </c>
      <c r="B191" s="601" t="s">
        <v>888</v>
      </c>
      <c r="C191" s="611" t="s">
        <v>114</v>
      </c>
      <c r="D191" s="576">
        <f>+I191+K191+M191+O191+Q191+S191</f>
        <v>0</v>
      </c>
      <c r="E191" s="577" t="e">
        <f t="shared" si="144"/>
        <v>#REF!</v>
      </c>
      <c r="F191" s="577" t="e">
        <f>ROUND(D191*E191,10)</f>
        <v>#REF!</v>
      </c>
      <c r="G191" s="914"/>
      <c r="I191" s="584"/>
      <c r="J191" s="585" t="e">
        <f>+ROUND(E191*I191,10)</f>
        <v>#REF!</v>
      </c>
      <c r="K191" s="537"/>
      <c r="L191" s="445" t="e">
        <f>+ROUND(E191*K191,10)</f>
        <v>#REF!</v>
      </c>
      <c r="M191" s="542"/>
      <c r="N191" s="445" t="e">
        <f>+ROUND(E191*M191,10)</f>
        <v>#REF!</v>
      </c>
      <c r="O191" s="542"/>
      <c r="P191" s="445" t="e">
        <f>+ROUND(E191*O191,10)</f>
        <v>#REF!</v>
      </c>
      <c r="Q191" s="542"/>
      <c r="R191" s="445" t="e">
        <f>+ROUND(E191*Q191,10)</f>
        <v>#REF!</v>
      </c>
      <c r="S191" s="542"/>
      <c r="T191" s="445" t="e">
        <f>+ROUND(E191*S191,10)</f>
        <v>#REF!</v>
      </c>
      <c r="V191" s="581" t="e">
        <f>+'5,3,3 Alfagias ladrillo arcilla'!I19</f>
        <v>#REF!</v>
      </c>
      <c r="W191" s="582" t="e">
        <f>ROUND(V191*$D191,10)</f>
        <v>#REF!</v>
      </c>
      <c r="X191" s="581">
        <f>+'5,3,3 Alfagias ladrillo arcilla'!I50</f>
        <v>10974.97</v>
      </c>
      <c r="Y191" s="582">
        <f>ROUND(X191*$D191,10)</f>
        <v>0</v>
      </c>
      <c r="Z191" s="581">
        <f>+'5,3,3 Alfagias ladrillo arcilla'!I30</f>
        <v>120.13000000000001</v>
      </c>
      <c r="AA191" s="582">
        <f>ROUND(Z191*$D191,10)</f>
        <v>0</v>
      </c>
      <c r="AB191" s="581">
        <f>+'5,3,3 Alfagias ladrillo arcilla'!I41</f>
        <v>0</v>
      </c>
      <c r="AC191" s="582">
        <f>ROUND(AB191*$D191,10)</f>
        <v>0</v>
      </c>
      <c r="AE191" s="769" t="e">
        <f t="shared" si="124"/>
        <v>#REF!</v>
      </c>
    </row>
    <row r="192" spans="1:31" ht="15" hidden="1" customHeight="1" x14ac:dyDescent="0.2">
      <c r="A192" s="611" t="s">
        <v>889</v>
      </c>
      <c r="B192" s="601" t="s">
        <v>890</v>
      </c>
      <c r="C192" s="611" t="s">
        <v>114</v>
      </c>
      <c r="D192" s="576">
        <f>+I192+K192+M192+O192+Q192+S192</f>
        <v>0</v>
      </c>
      <c r="E192" s="577" t="e">
        <f t="shared" si="144"/>
        <v>#REF!</v>
      </c>
      <c r="F192" s="577" t="e">
        <f>ROUND(D192*E192,10)</f>
        <v>#REF!</v>
      </c>
      <c r="G192" s="914"/>
      <c r="I192" s="584"/>
      <c r="J192" s="585" t="e">
        <f>+ROUND(E192*I192,10)</f>
        <v>#REF!</v>
      </c>
      <c r="K192" s="537"/>
      <c r="L192" s="445" t="e">
        <f>+ROUND(E192*K192,10)</f>
        <v>#REF!</v>
      </c>
      <c r="M192" s="542"/>
      <c r="N192" s="445" t="e">
        <f>+ROUND(E192*M192,10)</f>
        <v>#REF!</v>
      </c>
      <c r="O192" s="542"/>
      <c r="P192" s="445" t="e">
        <f>+ROUND(E192*O192,10)</f>
        <v>#REF!</v>
      </c>
      <c r="Q192" s="542"/>
      <c r="R192" s="445" t="e">
        <f>+ROUND(E192*Q192,10)</f>
        <v>#REF!</v>
      </c>
      <c r="S192" s="542"/>
      <c r="T192" s="445" t="e">
        <f>+ROUND(E192*S192,10)</f>
        <v>#REF!</v>
      </c>
      <c r="V192" s="581" t="e">
        <f>+'5,3,4 Remate ladrillo arcilla'!I19</f>
        <v>#REF!</v>
      </c>
      <c r="W192" s="582" t="e">
        <f>ROUND(V192*$D192,10)</f>
        <v>#REF!</v>
      </c>
      <c r="X192" s="581">
        <f>+'5,3,4 Remate ladrillo arcilla'!I50</f>
        <v>16462.45</v>
      </c>
      <c r="Y192" s="582">
        <f>ROUND(X192*$D192,10)</f>
        <v>0</v>
      </c>
      <c r="Z192" s="581">
        <f>+'5,3,4 Remate ladrillo arcilla'!I30</f>
        <v>242.03</v>
      </c>
      <c r="AA192" s="582">
        <f>ROUND(Z192*$D192,10)</f>
        <v>0</v>
      </c>
      <c r="AB192" s="581">
        <f>+'5,3,4 Remate ladrillo arcilla'!I41</f>
        <v>0</v>
      </c>
      <c r="AC192" s="582">
        <f>ROUND(AB192*$D192,10)</f>
        <v>0</v>
      </c>
      <c r="AE192" s="769" t="e">
        <f t="shared" si="124"/>
        <v>#REF!</v>
      </c>
    </row>
    <row r="193" spans="1:31" ht="15.75" hidden="1" customHeight="1" x14ac:dyDescent="0.2">
      <c r="A193" s="611" t="s">
        <v>891</v>
      </c>
      <c r="B193" s="601" t="s">
        <v>892</v>
      </c>
      <c r="C193" s="611" t="s">
        <v>114</v>
      </c>
      <c r="D193" s="576">
        <f>+I193+K193+M193+O193+Q193+S193</f>
        <v>0</v>
      </c>
      <c r="E193" s="577">
        <f t="shared" si="144"/>
        <v>0</v>
      </c>
      <c r="F193" s="577">
        <f>ROUND(D193*E193,10)</f>
        <v>0</v>
      </c>
      <c r="G193" s="914"/>
      <c r="I193" s="597"/>
      <c r="J193" s="598">
        <f>+ROUND(E193*I193,10)</f>
        <v>0</v>
      </c>
      <c r="K193" s="537"/>
      <c r="L193" s="445">
        <f>+ROUND(E193*K193,10)</f>
        <v>0</v>
      </c>
      <c r="M193" s="542"/>
      <c r="N193" s="445">
        <f>+ROUND(E193*M193,10)</f>
        <v>0</v>
      </c>
      <c r="O193" s="542"/>
      <c r="P193" s="445">
        <f>+ROUND(E193*O193,10)</f>
        <v>0</v>
      </c>
      <c r="Q193" s="542"/>
      <c r="R193" s="445">
        <f>+ROUND(E193*Q193,10)</f>
        <v>0</v>
      </c>
      <c r="S193" s="542"/>
      <c r="T193" s="445">
        <f>+ROUND(E193*S193,10)</f>
        <v>0</v>
      </c>
      <c r="V193" s="581"/>
      <c r="W193" s="582">
        <f>ROUND(V193*$D193,10)</f>
        <v>0</v>
      </c>
      <c r="X193" s="581"/>
      <c r="Y193" s="582">
        <f>ROUND(X193*$D193,10)</f>
        <v>0</v>
      </c>
      <c r="Z193" s="581"/>
      <c r="AA193" s="582">
        <f>ROUND(Z193*$D193,10)</f>
        <v>0</v>
      </c>
      <c r="AB193" s="581"/>
      <c r="AC193" s="582">
        <f>ROUND(AB193*$D193,10)</f>
        <v>0</v>
      </c>
      <c r="AE193" s="769">
        <f t="shared" si="124"/>
        <v>0</v>
      </c>
    </row>
    <row r="194" spans="1:31" s="568" customFormat="1" ht="30" customHeight="1" x14ac:dyDescent="0.2">
      <c r="A194" s="572" t="s">
        <v>893</v>
      </c>
      <c r="B194" s="573" t="s">
        <v>894</v>
      </c>
      <c r="C194" s="846"/>
      <c r="D194" s="576"/>
      <c r="E194" s="577"/>
      <c r="F194" s="180" t="e">
        <f>+ROUND(SUM(F195:F196),10)</f>
        <v>#REF!</v>
      </c>
      <c r="G194" s="472"/>
      <c r="I194" s="613"/>
      <c r="J194" s="440" t="e">
        <f>ROUND(SUM(J195:J196),10)</f>
        <v>#REF!</v>
      </c>
      <c r="K194" s="537"/>
      <c r="L194" s="180" t="e">
        <f>ROUND(SUM(L195:L196),10)</f>
        <v>#REF!</v>
      </c>
      <c r="M194" s="542"/>
      <c r="N194" s="180" t="e">
        <f>ROUND(SUM(N195:N196),10)</f>
        <v>#REF!</v>
      </c>
      <c r="O194" s="542"/>
      <c r="P194" s="180" t="e">
        <f>ROUND(SUM(P195:P196),10)</f>
        <v>#REF!</v>
      </c>
      <c r="Q194" s="542"/>
      <c r="R194" s="180" t="e">
        <f>ROUND(SUM(R195:R196),10)</f>
        <v>#REF!</v>
      </c>
      <c r="S194" s="542"/>
      <c r="T194" s="180" t="e">
        <f>ROUND(SUM(T195:T196),10)</f>
        <v>#REF!</v>
      </c>
      <c r="V194" s="575"/>
      <c r="W194" s="570" t="e">
        <f>ROUND(SUM(W195:W196),10)</f>
        <v>#REF!</v>
      </c>
      <c r="X194" s="575"/>
      <c r="Y194" s="570">
        <f>ROUND(SUM(Y195:Y196),10)</f>
        <v>542832.85109999997</v>
      </c>
      <c r="Z194" s="575"/>
      <c r="AA194" s="570">
        <f>ROUND(SUM(AA195:AA196),10)</f>
        <v>392225.06900000002</v>
      </c>
      <c r="AB194" s="575"/>
      <c r="AC194" s="570">
        <f>ROUND(SUM(AC195:AC196),10)</f>
        <v>0</v>
      </c>
      <c r="AE194" s="769" t="e">
        <f t="shared" si="124"/>
        <v>#REF!</v>
      </c>
    </row>
    <row r="195" spans="1:31" ht="15" customHeight="1" x14ac:dyDescent="0.2">
      <c r="A195" s="611" t="s">
        <v>895</v>
      </c>
      <c r="B195" s="610" t="s">
        <v>896</v>
      </c>
      <c r="C195" s="611" t="s">
        <v>155</v>
      </c>
      <c r="D195" s="576">
        <f>+I195+K195+M195+O195+Q195+S195</f>
        <v>2.4799999999999995</v>
      </c>
      <c r="E195" s="577" t="e">
        <f t="shared" si="144"/>
        <v>#REF!</v>
      </c>
      <c r="F195" s="577" t="e">
        <f>ROUND(D195*E195,10)</f>
        <v>#REF!</v>
      </c>
      <c r="G195" s="914"/>
      <c r="I195" s="594"/>
      <c r="J195" s="580" t="e">
        <f>+ROUND(E195*I195,10)</f>
        <v>#REF!</v>
      </c>
      <c r="K195" s="537">
        <f>0.74+0.47</f>
        <v>1.21</v>
      </c>
      <c r="L195" s="445" t="e">
        <f>+ROUND(E195*K195,10)</f>
        <v>#REF!</v>
      </c>
      <c r="M195" s="542">
        <v>0.36</v>
      </c>
      <c r="N195" s="445" t="e">
        <f>+ROUND(E195*M195,10)</f>
        <v>#REF!</v>
      </c>
      <c r="O195" s="542">
        <f>0.35+0.31</f>
        <v>0.65999999999999992</v>
      </c>
      <c r="P195" s="445" t="e">
        <f>+ROUND(E195*O195,10)</f>
        <v>#REF!</v>
      </c>
      <c r="Q195" s="537">
        <v>0.08</v>
      </c>
      <c r="R195" s="445" t="e">
        <f>+ROUND(E195*Q195,10)</f>
        <v>#REF!</v>
      </c>
      <c r="S195" s="537">
        <v>0.17</v>
      </c>
      <c r="T195" s="445" t="e">
        <f>+ROUND(E195*S195,10)</f>
        <v>#REF!</v>
      </c>
      <c r="V195" s="581" t="e">
        <f>+'5,4,1 Grouting-Concreto fluido'!I19</f>
        <v>#REF!</v>
      </c>
      <c r="W195" s="582" t="e">
        <f>ROUND(V195*$D195,10)</f>
        <v>#REF!</v>
      </c>
      <c r="X195" s="581">
        <f>+'5,4,1 Grouting-Concreto fluido'!I50</f>
        <v>65849.81</v>
      </c>
      <c r="Y195" s="582">
        <f>ROUND(X195*$D195,10)</f>
        <v>163307.5288</v>
      </c>
      <c r="Z195" s="581">
        <f>+'5,4,1 Grouting-Concreto fluido'!I30</f>
        <v>742</v>
      </c>
      <c r="AA195" s="582">
        <f>ROUND(Z195*$D195,10)</f>
        <v>1840.16</v>
      </c>
      <c r="AB195" s="581">
        <f>+'5,4,1 Grouting-Concreto fluido'!I41</f>
        <v>0</v>
      </c>
      <c r="AC195" s="582">
        <f>ROUND(AB195*$D195,10)</f>
        <v>0</v>
      </c>
      <c r="AE195" s="769" t="e">
        <f t="shared" si="124"/>
        <v>#REF!</v>
      </c>
    </row>
    <row r="196" spans="1:31" ht="15.75" customHeight="1" x14ac:dyDescent="0.2">
      <c r="A196" s="611" t="s">
        <v>897</v>
      </c>
      <c r="B196" s="601" t="s">
        <v>898</v>
      </c>
      <c r="C196" s="611" t="s">
        <v>114</v>
      </c>
      <c r="D196" s="576">
        <f>+I196+K196+M196+O196+Q196+S196</f>
        <v>115.27</v>
      </c>
      <c r="E196" s="577" t="e">
        <f t="shared" si="144"/>
        <v>#REF!</v>
      </c>
      <c r="F196" s="577" t="e">
        <f>ROUND(D196*E196,10)</f>
        <v>#REF!</v>
      </c>
      <c r="G196" s="914"/>
      <c r="I196" s="597"/>
      <c r="J196" s="598" t="e">
        <f>+ROUND(E196*I196,10)</f>
        <v>#REF!</v>
      </c>
      <c r="K196" s="537">
        <v>50.4</v>
      </c>
      <c r="L196" s="445" t="e">
        <f>+ROUND(E196*K196,10)</f>
        <v>#REF!</v>
      </c>
      <c r="M196" s="542">
        <v>3.3</v>
      </c>
      <c r="N196" s="445" t="e">
        <f>+ROUND(E196*M196,10)</f>
        <v>#REF!</v>
      </c>
      <c r="O196" s="542">
        <v>6.6</v>
      </c>
      <c r="P196" s="445" t="e">
        <f>+ROUND(E196*O196,10)</f>
        <v>#REF!</v>
      </c>
      <c r="Q196" s="537">
        <v>54.97</v>
      </c>
      <c r="R196" s="445" t="e">
        <f>+ROUND(E196*Q196,10)</f>
        <v>#REF!</v>
      </c>
      <c r="S196" s="537"/>
      <c r="T196" s="445" t="e">
        <f>+ROUND(E196*S196,10)</f>
        <v>#REF!</v>
      </c>
      <c r="V196" s="581" t="e">
        <f>+'5,4,2 Remates'!I19</f>
        <v>#REF!</v>
      </c>
      <c r="W196" s="582" t="e">
        <f>ROUND(V196*$D196,10)</f>
        <v>#REF!</v>
      </c>
      <c r="X196" s="581">
        <f>+'5,4,2 Remates'!I50</f>
        <v>3292.49</v>
      </c>
      <c r="Y196" s="582">
        <f>ROUND(X196*$D196,10)</f>
        <v>379525.3223</v>
      </c>
      <c r="Z196" s="581">
        <f>+'5,4,2 Remates'!I30</f>
        <v>3386.7</v>
      </c>
      <c r="AA196" s="582">
        <f>ROUND(Z196*$D196,10)</f>
        <v>390384.90899999999</v>
      </c>
      <c r="AB196" s="581">
        <f>+'5,4,2 Remates'!I41</f>
        <v>0</v>
      </c>
      <c r="AC196" s="582">
        <f>ROUND(AB196*$D196,10)</f>
        <v>0</v>
      </c>
      <c r="AE196" s="769" t="e">
        <f t="shared" si="124"/>
        <v>#REF!</v>
      </c>
    </row>
    <row r="197" spans="1:31" s="568" customFormat="1" ht="18" customHeight="1" x14ac:dyDescent="0.2">
      <c r="A197" s="572" t="s">
        <v>899</v>
      </c>
      <c r="B197" s="573" t="s">
        <v>900</v>
      </c>
      <c r="C197" s="846"/>
      <c r="D197" s="576"/>
      <c r="E197" s="577"/>
      <c r="F197" s="180" t="e">
        <f>+ROUND(SUM(F198:F201),10)</f>
        <v>#REF!</v>
      </c>
      <c r="G197" s="472"/>
      <c r="I197" s="613"/>
      <c r="J197" s="440" t="e">
        <f>ROUND(SUM(J198:J201),10)</f>
        <v>#REF!</v>
      </c>
      <c r="K197" s="537"/>
      <c r="L197" s="180" t="e">
        <f>ROUND(SUM(L198:L201),10)</f>
        <v>#REF!</v>
      </c>
      <c r="M197" s="542"/>
      <c r="N197" s="180" t="e">
        <f>ROUND(SUM(N198:N201),10)</f>
        <v>#REF!</v>
      </c>
      <c r="O197" s="542"/>
      <c r="P197" s="180" t="e">
        <f>ROUND(SUM(P198:P201),10)</f>
        <v>#REF!</v>
      </c>
      <c r="Q197" s="542"/>
      <c r="R197" s="180" t="e">
        <f>ROUND(SUM(R198:R201),10)</f>
        <v>#REF!</v>
      </c>
      <c r="S197" s="542"/>
      <c r="T197" s="180" t="e">
        <f>ROUND(SUM(T198:T201),10)</f>
        <v>#REF!</v>
      </c>
      <c r="V197" s="575"/>
      <c r="W197" s="570" t="e">
        <f>ROUND(SUM(W198:W201),10)</f>
        <v>#REF!</v>
      </c>
      <c r="X197" s="575"/>
      <c r="Y197" s="570" t="e">
        <f>ROUND(SUM(Y198:Y201),10)</f>
        <v>#REF!</v>
      </c>
      <c r="Z197" s="575"/>
      <c r="AA197" s="570" t="e">
        <f>ROUND(SUM(AA198:AA201),10)</f>
        <v>#REF!</v>
      </c>
      <c r="AB197" s="575"/>
      <c r="AC197" s="570" t="e">
        <f>ROUND(SUM(AC198:AC201),10)</f>
        <v>#REF!</v>
      </c>
      <c r="AE197" s="769" t="e">
        <f t="shared" si="124"/>
        <v>#REF!</v>
      </c>
    </row>
    <row r="198" spans="1:31" ht="15" customHeight="1" x14ac:dyDescent="0.2">
      <c r="A198" s="611" t="s">
        <v>901</v>
      </c>
      <c r="B198" s="649" t="s">
        <v>902</v>
      </c>
      <c r="C198" s="611" t="s">
        <v>111</v>
      </c>
      <c r="D198" s="576">
        <f>+I198+K198+M198+O198+Q198+S198</f>
        <v>171</v>
      </c>
      <c r="E198" s="577" t="e">
        <f t="shared" si="144"/>
        <v>#REF!</v>
      </c>
      <c r="F198" s="577" t="e">
        <f>ROUND(D198*E198,10)</f>
        <v>#REF!</v>
      </c>
      <c r="G198" s="914"/>
      <c r="I198" s="594"/>
      <c r="J198" s="580" t="e">
        <f>+ROUND(E198*I198,10)</f>
        <v>#REF!</v>
      </c>
      <c r="K198" s="537">
        <v>66</v>
      </c>
      <c r="L198" s="445" t="e">
        <f>+ROUND(E198*K198,10)</f>
        <v>#REF!</v>
      </c>
      <c r="M198" s="542">
        <v>21</v>
      </c>
      <c r="N198" s="445" t="e">
        <f>+ROUND(E198*M198,10)</f>
        <v>#REF!</v>
      </c>
      <c r="O198" s="542">
        <v>36</v>
      </c>
      <c r="P198" s="445" t="e">
        <f>+ROUND(E198*O198,10)</f>
        <v>#REF!</v>
      </c>
      <c r="Q198" s="537">
        <v>20</v>
      </c>
      <c r="R198" s="445" t="e">
        <f>+ROUND(E198*Q198,10)</f>
        <v>#REF!</v>
      </c>
      <c r="S198" s="537">
        <v>28</v>
      </c>
      <c r="T198" s="445" t="e">
        <f>+ROUND(E198*S198,10)</f>
        <v>#REF!</v>
      </c>
      <c r="V198" s="581" t="e">
        <f>+#REF!</f>
        <v>#REF!</v>
      </c>
      <c r="W198" s="582" t="e">
        <f>ROUND(V198*$D198,10)</f>
        <v>#REF!</v>
      </c>
      <c r="X198" s="581" t="e">
        <f>+#REF!</f>
        <v>#REF!</v>
      </c>
      <c r="Y198" s="582" t="e">
        <f>ROUND(X198*$D198,10)</f>
        <v>#REF!</v>
      </c>
      <c r="Z198" s="581" t="e">
        <f>+#REF!</f>
        <v>#REF!</v>
      </c>
      <c r="AA198" s="582" t="e">
        <f>ROUND(Z198*$D198,10)</f>
        <v>#REF!</v>
      </c>
      <c r="AB198" s="581" t="e">
        <f>+#REF!</f>
        <v>#REF!</v>
      </c>
      <c r="AC198" s="582" t="e">
        <f>ROUND(AB198*$D198,10)</f>
        <v>#REF!</v>
      </c>
      <c r="AE198" s="769" t="e">
        <f t="shared" si="124"/>
        <v>#REF!</v>
      </c>
    </row>
    <row r="199" spans="1:31" ht="15" customHeight="1" x14ac:dyDescent="0.2">
      <c r="A199" s="611" t="s">
        <v>903</v>
      </c>
      <c r="B199" s="610" t="s">
        <v>904</v>
      </c>
      <c r="C199" s="611" t="s">
        <v>119</v>
      </c>
      <c r="D199" s="576">
        <f>+I199+K199+M199+O199+Q199+S199</f>
        <v>216.68</v>
      </c>
      <c r="E199" s="577" t="e">
        <f t="shared" si="144"/>
        <v>#REF!</v>
      </c>
      <c r="F199" s="577" t="e">
        <f>ROUND(D199*E199,10)</f>
        <v>#REF!</v>
      </c>
      <c r="G199" s="914"/>
      <c r="I199" s="584"/>
      <c r="J199" s="585" t="e">
        <f>+ROUND(E199*I199,10)</f>
        <v>#REF!</v>
      </c>
      <c r="K199" s="537">
        <f>64.9+41.55</f>
        <v>106.45</v>
      </c>
      <c r="L199" s="445" t="e">
        <f>+ROUND(E199*K199,10)</f>
        <v>#REF!</v>
      </c>
      <c r="M199" s="542">
        <v>31.16</v>
      </c>
      <c r="N199" s="445" t="e">
        <f>+ROUND(E199*M199,10)</f>
        <v>#REF!</v>
      </c>
      <c r="O199" s="542">
        <f>30.74+26.71</f>
        <v>57.45</v>
      </c>
      <c r="P199" s="445" t="e">
        <f>+ROUND(E199*O199,10)</f>
        <v>#REF!</v>
      </c>
      <c r="Q199" s="537">
        <v>6.72</v>
      </c>
      <c r="R199" s="445" t="e">
        <f>+ROUND(E199*Q199,10)</f>
        <v>#REF!</v>
      </c>
      <c r="S199" s="537">
        <v>14.9</v>
      </c>
      <c r="T199" s="445" t="e">
        <f>+ROUND(E199*S199,10)</f>
        <v>#REF!</v>
      </c>
      <c r="V199" s="581" t="e">
        <f>+#REF!</f>
        <v>#REF!</v>
      </c>
      <c r="W199" s="582" t="e">
        <f>ROUND(V199*$D199,10)</f>
        <v>#REF!</v>
      </c>
      <c r="X199" s="581" t="e">
        <f>+#REF!</f>
        <v>#REF!</v>
      </c>
      <c r="Y199" s="582" t="e">
        <f>ROUND(X199*$D199,10)</f>
        <v>#REF!</v>
      </c>
      <c r="Z199" s="581" t="e">
        <f>+#REF!</f>
        <v>#REF!</v>
      </c>
      <c r="AA199" s="582" t="e">
        <f>ROUND(Z199*$D199,10)</f>
        <v>#REF!</v>
      </c>
      <c r="AB199" s="581" t="e">
        <f>+#REF!</f>
        <v>#REF!</v>
      </c>
      <c r="AC199" s="582" t="e">
        <f>ROUND(AB199*$D199,10)</f>
        <v>#REF!</v>
      </c>
      <c r="AE199" s="769" t="e">
        <f t="shared" si="124"/>
        <v>#REF!</v>
      </c>
    </row>
    <row r="200" spans="1:31" ht="15" hidden="1" customHeight="1" x14ac:dyDescent="0.2">
      <c r="A200" s="611" t="s">
        <v>905</v>
      </c>
      <c r="B200" s="601" t="s">
        <v>678</v>
      </c>
      <c r="C200" s="611" t="s">
        <v>119</v>
      </c>
      <c r="D200" s="576">
        <f>+I200+K200+M200+O200+Q200+S200</f>
        <v>0</v>
      </c>
      <c r="E200" s="577" t="e">
        <f t="shared" si="144"/>
        <v>#REF!</v>
      </c>
      <c r="F200" s="577" t="e">
        <f>ROUND(D200*E200,10)</f>
        <v>#REF!</v>
      </c>
      <c r="G200" s="914"/>
      <c r="I200" s="584"/>
      <c r="J200" s="585" t="e">
        <f>+ROUND(E200*I200,10)</f>
        <v>#REF!</v>
      </c>
      <c r="K200" s="537"/>
      <c r="L200" s="445" t="e">
        <f>+ROUND(E200*K200,10)</f>
        <v>#REF!</v>
      </c>
      <c r="M200" s="542"/>
      <c r="N200" s="445" t="e">
        <f>+ROUND(E200*M200,10)</f>
        <v>#REF!</v>
      </c>
      <c r="O200" s="542"/>
      <c r="P200" s="445" t="e">
        <f>+ROUND(E200*O200,10)</f>
        <v>#REF!</v>
      </c>
      <c r="Q200" s="542"/>
      <c r="R200" s="445" t="e">
        <f>+ROUND(E200*Q200,10)</f>
        <v>#REF!</v>
      </c>
      <c r="S200" s="542"/>
      <c r="T200" s="445" t="e">
        <f>+ROUND(E200*S200,10)</f>
        <v>#REF!</v>
      </c>
      <c r="V200" s="581" t="e">
        <f>+'5,5,3 Malla Electrosoldada '!I19</f>
        <v>#REF!</v>
      </c>
      <c r="W200" s="582" t="e">
        <f>ROUND(V200*$D200,10)</f>
        <v>#REF!</v>
      </c>
      <c r="X200" s="581">
        <f>+'5,5,3 Malla Electrosoldada '!I50</f>
        <v>617.28</v>
      </c>
      <c r="Y200" s="582">
        <f>ROUND(X200*$D200,10)</f>
        <v>0</v>
      </c>
      <c r="Z200" s="581">
        <f>+'5,5,3 Malla Electrosoldada '!I30</f>
        <v>18.55</v>
      </c>
      <c r="AA200" s="582">
        <f>ROUND(Z200*$D200,10)</f>
        <v>0</v>
      </c>
      <c r="AB200" s="581">
        <f>+'5,5,3 Malla Electrosoldada '!I41</f>
        <v>0</v>
      </c>
      <c r="AC200" s="582">
        <f>ROUND(AB200*$D200,10)</f>
        <v>0</v>
      </c>
      <c r="AE200" s="769" t="e">
        <f t="shared" si="124"/>
        <v>#REF!</v>
      </c>
    </row>
    <row r="201" spans="1:31" ht="15.75" customHeight="1" x14ac:dyDescent="0.2">
      <c r="A201" s="611" t="s">
        <v>906</v>
      </c>
      <c r="B201" s="601" t="s">
        <v>907</v>
      </c>
      <c r="C201" s="611" t="s">
        <v>119</v>
      </c>
      <c r="D201" s="576">
        <f>+I201+K201+M201+O201+Q201+S201</f>
        <v>853.16770000000008</v>
      </c>
      <c r="E201" s="577" t="e">
        <f t="shared" si="144"/>
        <v>#REF!</v>
      </c>
      <c r="F201" s="577" t="e">
        <f>ROUND(D201*E201,10)</f>
        <v>#REF!</v>
      </c>
      <c r="G201" s="914"/>
      <c r="I201" s="597"/>
      <c r="J201" s="598" t="e">
        <f>+ROUND(E201*I201,10)</f>
        <v>#REF!</v>
      </c>
      <c r="K201" s="537">
        <f>K175*0.77</f>
        <v>376.40871638123679</v>
      </c>
      <c r="L201" s="445" t="e">
        <f>+ROUND(E201*K201,10)</f>
        <v>#REF!</v>
      </c>
      <c r="M201" s="537">
        <f>M175*0.77</f>
        <v>50.371333096744664</v>
      </c>
      <c r="N201" s="445" t="e">
        <f>+ROUND(E201*M201,10)</f>
        <v>#REF!</v>
      </c>
      <c r="O201" s="537">
        <f>O175*0.77</f>
        <v>68.537097416970497</v>
      </c>
      <c r="P201" s="445" t="e">
        <f>+ROUND(E201*O201,10)</f>
        <v>#REF!</v>
      </c>
      <c r="Q201" s="537">
        <f>Q175*0.77</f>
        <v>193.89702859321642</v>
      </c>
      <c r="R201" s="445" t="e">
        <f>+ROUND(E201*Q201,10)</f>
        <v>#REF!</v>
      </c>
      <c r="S201" s="537">
        <f>S175*0.77</f>
        <v>163.95352451183166</v>
      </c>
      <c r="T201" s="445" t="e">
        <f>+ROUND(E201*S201,10)</f>
        <v>#REF!</v>
      </c>
      <c r="V201" s="581" t="e">
        <f>+#REF!</f>
        <v>#REF!</v>
      </c>
      <c r="W201" s="582" t="e">
        <f>ROUND(V201*$D201,10)</f>
        <v>#REF!</v>
      </c>
      <c r="X201" s="581" t="e">
        <f>+#REF!</f>
        <v>#REF!</v>
      </c>
      <c r="Y201" s="582" t="e">
        <f>ROUND(X201*$D201,10)</f>
        <v>#REF!</v>
      </c>
      <c r="Z201" s="581" t="e">
        <f>+#REF!</f>
        <v>#REF!</v>
      </c>
      <c r="AA201" s="582" t="e">
        <f>ROUND(Z201*$D201,10)</f>
        <v>#REF!</v>
      </c>
      <c r="AB201" s="581" t="e">
        <f>+#REF!</f>
        <v>#REF!</v>
      </c>
      <c r="AC201" s="582" t="e">
        <f>ROUND(AB201*$D201,10)</f>
        <v>#REF!</v>
      </c>
      <c r="AE201" s="769" t="e">
        <f t="shared" si="124"/>
        <v>#REF!</v>
      </c>
    </row>
    <row r="202" spans="1:31" s="568" customFormat="1" ht="18" hidden="1" customHeight="1" x14ac:dyDescent="0.2">
      <c r="A202" s="572" t="s">
        <v>908</v>
      </c>
      <c r="B202" s="573" t="s">
        <v>909</v>
      </c>
      <c r="C202" s="846"/>
      <c r="D202" s="576"/>
      <c r="E202" s="577"/>
      <c r="F202" s="180" t="e">
        <f>+ROUND(SUM(F203:F203),10)</f>
        <v>#REF!</v>
      </c>
      <c r="G202" s="472"/>
      <c r="I202" s="613"/>
      <c r="J202" s="440" t="e">
        <f>ROUND(SUM(J203:J203),10)</f>
        <v>#REF!</v>
      </c>
      <c r="K202" s="537"/>
      <c r="L202" s="180" t="e">
        <f>ROUND(SUM(L203:L203),10)</f>
        <v>#REF!</v>
      </c>
      <c r="M202" s="542"/>
      <c r="N202" s="180" t="e">
        <f>ROUND(SUM(N203:N203),10)</f>
        <v>#REF!</v>
      </c>
      <c r="O202" s="542"/>
      <c r="P202" s="180" t="e">
        <f>ROUND(SUM(P203:P203),10)</f>
        <v>#REF!</v>
      </c>
      <c r="Q202" s="542"/>
      <c r="R202" s="180" t="e">
        <f>ROUND(SUM(R203:R203),10)</f>
        <v>#REF!</v>
      </c>
      <c r="S202" s="542"/>
      <c r="T202" s="180" t="e">
        <f>ROUND(SUM(T203:T203),10)</f>
        <v>#REF!</v>
      </c>
      <c r="V202" s="575"/>
      <c r="W202" s="570" t="e">
        <f>ROUND(SUM(W203:W203),10)</f>
        <v>#REF!</v>
      </c>
      <c r="X202" s="575"/>
      <c r="Y202" s="570">
        <f>ROUND(SUM(Y203:Y203),10)</f>
        <v>0</v>
      </c>
      <c r="Z202" s="575"/>
      <c r="AA202" s="570">
        <f>ROUND(SUM(AA203:AA203),10)</f>
        <v>0</v>
      </c>
      <c r="AB202" s="575"/>
      <c r="AC202" s="570">
        <f>ROUND(SUM(AC203:AC203),10)</f>
        <v>0</v>
      </c>
      <c r="AE202" s="769" t="e">
        <f t="shared" si="124"/>
        <v>#REF!</v>
      </c>
    </row>
    <row r="203" spans="1:31" ht="15" hidden="1" customHeight="1" thickBot="1" x14ac:dyDescent="0.25">
      <c r="A203" s="611" t="s">
        <v>910</v>
      </c>
      <c r="B203" s="601" t="s">
        <v>911</v>
      </c>
      <c r="C203" s="611" t="s">
        <v>130</v>
      </c>
      <c r="D203" s="576">
        <f>+I203+K203+M203+O203+Q203+S203</f>
        <v>0</v>
      </c>
      <c r="E203" s="577" t="e">
        <f t="shared" si="144"/>
        <v>#REF!</v>
      </c>
      <c r="F203" s="577" t="e">
        <f>ROUND(D203*E203,10)</f>
        <v>#REF!</v>
      </c>
      <c r="G203" s="914"/>
      <c r="I203" s="602"/>
      <c r="J203" s="603" t="e">
        <f>+ROUND(E203*I203,10)</f>
        <v>#REF!</v>
      </c>
      <c r="K203" s="537"/>
      <c r="L203" s="445" t="e">
        <f>+ROUND(E203*K203,10)</f>
        <v>#REF!</v>
      </c>
      <c r="M203" s="542"/>
      <c r="N203" s="445" t="e">
        <f>+ROUND(E203*M203,10)</f>
        <v>#REF!</v>
      </c>
      <c r="O203" s="542"/>
      <c r="P203" s="445" t="e">
        <f>+ROUND(E203*O203,10)</f>
        <v>#REF!</v>
      </c>
      <c r="Q203" s="542"/>
      <c r="R203" s="445" t="e">
        <f>+ROUND(E203*Q203,10)</f>
        <v>#REF!</v>
      </c>
      <c r="S203" s="542"/>
      <c r="T203" s="445" t="e">
        <f>+ROUND(E203*S203,10)</f>
        <v>#REF!</v>
      </c>
      <c r="V203" s="581" t="e">
        <f>'5,6,1 Instalaciòn carpint. Meta'!I19</f>
        <v>#REF!</v>
      </c>
      <c r="W203" s="582" t="e">
        <f>ROUND(V203*$D203,10)</f>
        <v>#REF!</v>
      </c>
      <c r="X203" s="581">
        <f>'5,6,1 Instalaciòn carpint. Meta'!I50</f>
        <v>6584.98</v>
      </c>
      <c r="Y203" s="582">
        <f>ROUND(X203*$D203,10)</f>
        <v>0</v>
      </c>
      <c r="Z203" s="581">
        <f>'5,6,1 Instalaciòn carpint. Meta'!I30</f>
        <v>92.75</v>
      </c>
      <c r="AA203" s="582">
        <f>ROUND(Z203*$D203,10)</f>
        <v>0</v>
      </c>
      <c r="AB203" s="581">
        <f>'5,6,1 Instalaciòn carpint. Meta'!I41</f>
        <v>0</v>
      </c>
      <c r="AC203" s="582">
        <f>ROUND(AB203*$D203,10)</f>
        <v>0</v>
      </c>
      <c r="AE203" s="769" t="e">
        <f t="shared" si="124"/>
        <v>#REF!</v>
      </c>
    </row>
    <row r="204" spans="1:31" ht="6" customHeight="1" thickBot="1" x14ac:dyDescent="0.25">
      <c r="A204" s="910"/>
      <c r="B204" s="911"/>
      <c r="C204" s="910"/>
      <c r="G204" s="787"/>
      <c r="I204" s="604"/>
      <c r="J204" s="174"/>
      <c r="K204" s="605"/>
      <c r="L204" s="604"/>
      <c r="M204" s="606"/>
      <c r="N204" s="604"/>
      <c r="O204" s="606"/>
      <c r="P204" s="604"/>
      <c r="Q204" s="606"/>
      <c r="R204" s="604"/>
      <c r="S204" s="606"/>
      <c r="T204" s="604"/>
      <c r="V204" s="615"/>
      <c r="W204" s="615"/>
      <c r="X204" s="615"/>
      <c r="Y204" s="615"/>
      <c r="Z204" s="615"/>
      <c r="AA204" s="615"/>
      <c r="AB204" s="615"/>
      <c r="AC204" s="615"/>
      <c r="AE204" s="769"/>
    </row>
    <row r="205" spans="1:31" s="571" customFormat="1" ht="30" customHeight="1" thickTop="1" thickBot="1" x14ac:dyDescent="0.25">
      <c r="A205" s="564">
        <v>6</v>
      </c>
      <c r="B205" s="1068" t="s">
        <v>912</v>
      </c>
      <c r="C205" s="1069"/>
      <c r="D205" s="1069"/>
      <c r="E205" s="1069"/>
      <c r="F205" s="1070"/>
      <c r="G205" s="180" t="e">
        <f>+ROUND(F206+F225+F234,10)</f>
        <v>#REF!</v>
      </c>
      <c r="H205" s="568"/>
      <c r="I205" s="616"/>
      <c r="J205" s="439" t="e">
        <f>+ROUND(J206+J225+J234,10)</f>
        <v>#REF!</v>
      </c>
      <c r="K205" s="617"/>
      <c r="L205" s="180" t="e">
        <f>+ROUND(L206+L225+L234,10)</f>
        <v>#REF!</v>
      </c>
      <c r="M205" s="180"/>
      <c r="N205" s="180" t="e">
        <f>+ROUND(N206+N225+N234,10)</f>
        <v>#REF!</v>
      </c>
      <c r="O205" s="180"/>
      <c r="P205" s="180" t="e">
        <f>+ROUND(P206+P225+P234,10)</f>
        <v>#REF!</v>
      </c>
      <c r="Q205" s="180"/>
      <c r="R205" s="180" t="e">
        <f>+ROUND(R206+R225+R234,10)</f>
        <v>#REF!</v>
      </c>
      <c r="S205" s="180"/>
      <c r="T205" s="180" t="e">
        <f>+ROUND(T206+T225+T234,10)</f>
        <v>#REF!</v>
      </c>
      <c r="U205" s="568"/>
      <c r="V205" s="569" t="e">
        <f>W205/$G$205</f>
        <v>#REF!</v>
      </c>
      <c r="W205" s="570" t="e">
        <f>ROUND(W206+W225+W234,10)</f>
        <v>#REF!</v>
      </c>
      <c r="X205" s="569" t="e">
        <f>Y205/$G$205</f>
        <v>#REF!</v>
      </c>
      <c r="Y205" s="570" t="e">
        <f>ROUND(Y206+Y225+Y234,10)</f>
        <v>#REF!</v>
      </c>
      <c r="Z205" s="569" t="e">
        <f>AA205/$G$205</f>
        <v>#REF!</v>
      </c>
      <c r="AA205" s="570" t="e">
        <f>ROUND(AA206+AA225+AA234,10)</f>
        <v>#REF!</v>
      </c>
      <c r="AB205" s="569" t="e">
        <f>AC205/$G$205</f>
        <v>#N/A</v>
      </c>
      <c r="AC205" s="570" t="e">
        <f>ROUND(AC206+AC225+AC234,10)</f>
        <v>#N/A</v>
      </c>
      <c r="AE205" s="769" t="e">
        <f t="shared" ref="AE205:AE268" si="168">SUM(AC205,AA205,Y205,W205)-SUM(T205,R205,P205,N205,L205)</f>
        <v>#N/A</v>
      </c>
    </row>
    <row r="206" spans="1:31" s="571" customFormat="1" ht="30" customHeight="1" thickTop="1" x14ac:dyDescent="0.2">
      <c r="A206" s="572" t="s">
        <v>913</v>
      </c>
      <c r="B206" s="573" t="s">
        <v>914</v>
      </c>
      <c r="C206" s="846"/>
      <c r="D206" s="576"/>
      <c r="E206" s="180"/>
      <c r="F206" s="180" t="e">
        <f>+ROUND(SUM(F207:F224),10)</f>
        <v>#REF!</v>
      </c>
      <c r="G206" s="473"/>
      <c r="H206" s="568"/>
      <c r="I206" s="618"/>
      <c r="J206" s="439" t="e">
        <f>ROUND(SUM(J207:J224),10)</f>
        <v>#REF!</v>
      </c>
      <c r="K206" s="619"/>
      <c r="L206" s="180" t="e">
        <f>ROUND(SUM(L207:L224),10)</f>
        <v>#REF!</v>
      </c>
      <c r="M206" s="620"/>
      <c r="N206" s="180" t="e">
        <f>ROUND(SUM(N207:N224),10)</f>
        <v>#REF!</v>
      </c>
      <c r="O206" s="620"/>
      <c r="P206" s="180" t="e">
        <f>ROUND(SUM(P207:P224),10)</f>
        <v>#REF!</v>
      </c>
      <c r="Q206" s="620"/>
      <c r="R206" s="180" t="e">
        <f>ROUND(SUM(R207:R224),10)</f>
        <v>#REF!</v>
      </c>
      <c r="S206" s="620"/>
      <c r="T206" s="180" t="e">
        <f>ROUND(SUM(T207:T224),10)</f>
        <v>#REF!</v>
      </c>
      <c r="U206" s="568"/>
      <c r="V206" s="575"/>
      <c r="W206" s="570" t="e">
        <f>ROUND(SUM(W207:W224),10)</f>
        <v>#REF!</v>
      </c>
      <c r="X206" s="575"/>
      <c r="Y206" s="570" t="e">
        <f>ROUND(SUM(Y207:Y224),10)</f>
        <v>#REF!</v>
      </c>
      <c r="Z206" s="575"/>
      <c r="AA206" s="570" t="e">
        <f>ROUND(SUM(AA207:AA224),10)</f>
        <v>#REF!</v>
      </c>
      <c r="AB206" s="575"/>
      <c r="AC206" s="570" t="e">
        <f>ROUND(SUM(AC207:AC224),10)</f>
        <v>#N/A</v>
      </c>
      <c r="AE206" s="769" t="e">
        <f t="shared" si="168"/>
        <v>#N/A</v>
      </c>
    </row>
    <row r="207" spans="1:31" ht="15" customHeight="1" x14ac:dyDescent="0.2">
      <c r="A207" s="611" t="s">
        <v>915</v>
      </c>
      <c r="B207" s="601" t="s">
        <v>916</v>
      </c>
      <c r="C207" s="611" t="s">
        <v>130</v>
      </c>
      <c r="D207" s="576">
        <f t="shared" ref="D207:D224" si="169">+I207+K207+M207+O207+Q207+S207</f>
        <v>37.199999999999996</v>
      </c>
      <c r="E207" s="577" t="e">
        <f t="shared" ref="E207:E241" si="170">V207+X207+Z207+AB207</f>
        <v>#REF!</v>
      </c>
      <c r="F207" s="577" t="e">
        <f t="shared" ref="F207:F224" si="171">ROUND(D207*E207,10)</f>
        <v>#REF!</v>
      </c>
      <c r="G207" s="578"/>
      <c r="I207" s="594"/>
      <c r="J207" s="580" t="e">
        <f t="shared" ref="J207:J224" si="172">+ROUND(E207*I207,10)</f>
        <v>#REF!</v>
      </c>
      <c r="K207" s="537">
        <v>33.479999999999997</v>
      </c>
      <c r="L207" s="445" t="e">
        <f t="shared" ref="L207:L224" si="173">+ROUND(E207*K207,10)</f>
        <v>#REF!</v>
      </c>
      <c r="M207" s="542">
        <v>3.72</v>
      </c>
      <c r="N207" s="445" t="e">
        <f t="shared" ref="N207:N224" si="174">+ROUND(E207*M207,10)</f>
        <v>#REF!</v>
      </c>
      <c r="O207" s="542"/>
      <c r="P207" s="445" t="e">
        <f t="shared" ref="P207:P224" si="175">+ROUND(E207*O207,10)</f>
        <v>#REF!</v>
      </c>
      <c r="Q207" s="542"/>
      <c r="R207" s="445" t="e">
        <f t="shared" ref="R207:R224" si="176">+ROUND(E207*Q207,10)</f>
        <v>#REF!</v>
      </c>
      <c r="S207" s="542"/>
      <c r="T207" s="445" t="e">
        <f t="shared" ref="T207:T224" si="177">+ROUND(E207*S207,10)</f>
        <v>#REF!</v>
      </c>
      <c r="V207" s="581" t="e">
        <f>+'6,1,1 Alfajias'!I19</f>
        <v>#REF!</v>
      </c>
      <c r="W207" s="582" t="e">
        <f t="shared" ref="W207:W224" si="178">ROUND(V207*$D207,10)</f>
        <v>#REF!</v>
      </c>
      <c r="X207" s="581">
        <f>+'6,1,1 Alfajias'!I50</f>
        <v>18814.23</v>
      </c>
      <c r="Y207" s="582">
        <f t="shared" ref="Y207:Y224" si="179">ROUND(X207*$D207,10)</f>
        <v>699889.35600000003</v>
      </c>
      <c r="Z207" s="581">
        <f>+'6,1,1 Alfajias'!I30</f>
        <v>839.17</v>
      </c>
      <c r="AA207" s="582">
        <f t="shared" ref="AA207:AA224" si="180">ROUND(Z207*$D207,10)</f>
        <v>31217.124</v>
      </c>
      <c r="AB207" s="581" t="e">
        <f>+'6,1,1 Alfajias'!I41</f>
        <v>#N/A</v>
      </c>
      <c r="AC207" s="582" t="e">
        <f t="shared" ref="AC207:AC224" si="181">ROUND(AB207*$D207,10)</f>
        <v>#N/A</v>
      </c>
      <c r="AE207" s="769" t="e">
        <f t="shared" si="168"/>
        <v>#N/A</v>
      </c>
    </row>
    <row r="208" spans="1:31" ht="15" hidden="1" customHeight="1" x14ac:dyDescent="0.2">
      <c r="A208" s="611" t="s">
        <v>917</v>
      </c>
      <c r="B208" s="601" t="s">
        <v>918</v>
      </c>
      <c r="C208" s="611" t="s">
        <v>114</v>
      </c>
      <c r="D208" s="576">
        <f t="shared" si="169"/>
        <v>0</v>
      </c>
      <c r="E208" s="577" t="e">
        <f t="shared" si="170"/>
        <v>#REF!</v>
      </c>
      <c r="F208" s="577" t="e">
        <f t="shared" si="171"/>
        <v>#REF!</v>
      </c>
      <c r="G208" s="914"/>
      <c r="I208" s="584"/>
      <c r="J208" s="585" t="e">
        <f t="shared" si="172"/>
        <v>#REF!</v>
      </c>
      <c r="K208" s="537"/>
      <c r="L208" s="445" t="e">
        <f t="shared" si="173"/>
        <v>#REF!</v>
      </c>
      <c r="M208" s="542"/>
      <c r="N208" s="445" t="e">
        <f t="shared" si="174"/>
        <v>#REF!</v>
      </c>
      <c r="O208" s="542"/>
      <c r="P208" s="445" t="e">
        <f t="shared" si="175"/>
        <v>#REF!</v>
      </c>
      <c r="Q208" s="542"/>
      <c r="R208" s="445" t="e">
        <f t="shared" si="176"/>
        <v>#REF!</v>
      </c>
      <c r="S208" s="542"/>
      <c r="T208" s="445" t="e">
        <f t="shared" si="177"/>
        <v>#REF!</v>
      </c>
      <c r="V208" s="581" t="e">
        <f>+'6,1,2 Dinteles'!I19</f>
        <v>#REF!</v>
      </c>
      <c r="W208" s="582" t="e">
        <f t="shared" si="178"/>
        <v>#REF!</v>
      </c>
      <c r="X208" s="581">
        <f>+'6,1,2 Dinteles'!I50</f>
        <v>11420.17</v>
      </c>
      <c r="Y208" s="582">
        <f t="shared" si="179"/>
        <v>0</v>
      </c>
      <c r="Z208" s="581">
        <f>+'6,1,2 Dinteles'!I30</f>
        <v>3399.57</v>
      </c>
      <c r="AA208" s="582">
        <f t="shared" si="180"/>
        <v>0</v>
      </c>
      <c r="AB208" s="645">
        <f>+'6,1,2 Dinteles'!I41</f>
        <v>0</v>
      </c>
      <c r="AC208" s="582">
        <f t="shared" si="181"/>
        <v>0</v>
      </c>
      <c r="AE208" s="769" t="e">
        <f t="shared" si="168"/>
        <v>#REF!</v>
      </c>
    </row>
    <row r="209" spans="1:31" s="781" customFormat="1" ht="15" hidden="1" customHeight="1" x14ac:dyDescent="0.2">
      <c r="A209" s="915" t="s">
        <v>919</v>
      </c>
      <c r="B209" s="649" t="s">
        <v>920</v>
      </c>
      <c r="C209" s="915" t="s">
        <v>114</v>
      </c>
      <c r="D209" s="768">
        <f t="shared" si="169"/>
        <v>0</v>
      </c>
      <c r="E209" s="773" t="e">
        <f t="shared" si="170"/>
        <v>#REF!</v>
      </c>
      <c r="F209" s="773" t="e">
        <f t="shared" si="171"/>
        <v>#REF!</v>
      </c>
      <c r="G209" s="916"/>
      <c r="H209" s="774"/>
      <c r="I209" s="775"/>
      <c r="J209" s="776" t="e">
        <f t="shared" si="172"/>
        <v>#REF!</v>
      </c>
      <c r="K209" s="732"/>
      <c r="L209" s="777" t="e">
        <f t="shared" si="173"/>
        <v>#REF!</v>
      </c>
      <c r="M209" s="778"/>
      <c r="N209" s="777" t="e">
        <f t="shared" si="174"/>
        <v>#REF!</v>
      </c>
      <c r="O209" s="778"/>
      <c r="P209" s="777" t="e">
        <f t="shared" si="175"/>
        <v>#REF!</v>
      </c>
      <c r="Q209" s="778"/>
      <c r="R209" s="777" t="e">
        <f t="shared" si="176"/>
        <v>#REF!</v>
      </c>
      <c r="S209" s="778"/>
      <c r="T209" s="777" t="e">
        <f t="shared" si="177"/>
        <v>#REF!</v>
      </c>
      <c r="U209" s="774"/>
      <c r="V209" s="779" t="e">
        <f>+'6,1,3 Remates sobre mamposteria'!I19</f>
        <v>#REF!</v>
      </c>
      <c r="W209" s="779" t="e">
        <f t="shared" si="178"/>
        <v>#REF!</v>
      </c>
      <c r="X209" s="779">
        <f>+'6,1,3 Remates sobre mamposteria'!I50</f>
        <v>10974.97</v>
      </c>
      <c r="Y209" s="779">
        <f t="shared" si="179"/>
        <v>0</v>
      </c>
      <c r="Z209" s="779">
        <f>+'6,1,3 Remates sobre mamposteria'!I30</f>
        <v>368.06</v>
      </c>
      <c r="AA209" s="779">
        <f t="shared" si="180"/>
        <v>0</v>
      </c>
      <c r="AB209" s="780">
        <f>+'6,1,3 Remates sobre mamposteria'!I41</f>
        <v>0</v>
      </c>
      <c r="AC209" s="779">
        <f t="shared" si="181"/>
        <v>0</v>
      </c>
      <c r="AE209" s="782" t="e">
        <f t="shared" si="168"/>
        <v>#REF!</v>
      </c>
    </row>
    <row r="210" spans="1:31" ht="15" hidden="1" customHeight="1" x14ac:dyDescent="0.2">
      <c r="A210" s="611" t="s">
        <v>921</v>
      </c>
      <c r="B210" s="601" t="s">
        <v>922</v>
      </c>
      <c r="C210" s="611" t="s">
        <v>114</v>
      </c>
      <c r="D210" s="576">
        <f t="shared" si="169"/>
        <v>0</v>
      </c>
      <c r="E210" s="577">
        <f t="shared" si="170"/>
        <v>0</v>
      </c>
      <c r="F210" s="577">
        <f t="shared" si="171"/>
        <v>0</v>
      </c>
      <c r="G210" s="914"/>
      <c r="I210" s="584"/>
      <c r="J210" s="585">
        <f t="shared" si="172"/>
        <v>0</v>
      </c>
      <c r="K210" s="537"/>
      <c r="L210" s="445">
        <f t="shared" si="173"/>
        <v>0</v>
      </c>
      <c r="M210" s="542"/>
      <c r="N210" s="445">
        <f t="shared" si="174"/>
        <v>0</v>
      </c>
      <c r="O210" s="542"/>
      <c r="P210" s="445">
        <f t="shared" si="175"/>
        <v>0</v>
      </c>
      <c r="Q210" s="542"/>
      <c r="R210" s="445">
        <f t="shared" si="176"/>
        <v>0</v>
      </c>
      <c r="S210" s="542"/>
      <c r="T210" s="445">
        <f t="shared" si="177"/>
        <v>0</v>
      </c>
      <c r="V210" s="581"/>
      <c r="W210" s="582">
        <f t="shared" si="178"/>
        <v>0</v>
      </c>
      <c r="X210" s="581"/>
      <c r="Y210" s="582">
        <f t="shared" si="179"/>
        <v>0</v>
      </c>
      <c r="Z210" s="581"/>
      <c r="AA210" s="582">
        <f t="shared" si="180"/>
        <v>0</v>
      </c>
      <c r="AB210" s="645"/>
      <c r="AC210" s="582">
        <f t="shared" si="181"/>
        <v>0</v>
      </c>
      <c r="AE210" s="769">
        <f t="shared" si="168"/>
        <v>0</v>
      </c>
    </row>
    <row r="211" spans="1:31" ht="15" hidden="1" customHeight="1" x14ac:dyDescent="0.2">
      <c r="A211" s="611" t="s">
        <v>923</v>
      </c>
      <c r="B211" s="601" t="s">
        <v>924</v>
      </c>
      <c r="C211" s="611" t="s">
        <v>130</v>
      </c>
      <c r="D211" s="576">
        <f t="shared" si="169"/>
        <v>0</v>
      </c>
      <c r="E211" s="577">
        <f t="shared" si="170"/>
        <v>0</v>
      </c>
      <c r="F211" s="577">
        <f t="shared" si="171"/>
        <v>0</v>
      </c>
      <c r="G211" s="914"/>
      <c r="I211" s="584"/>
      <c r="J211" s="585">
        <f t="shared" si="172"/>
        <v>0</v>
      </c>
      <c r="K211" s="537"/>
      <c r="L211" s="445">
        <f t="shared" si="173"/>
        <v>0</v>
      </c>
      <c r="M211" s="542"/>
      <c r="N211" s="445">
        <f t="shared" si="174"/>
        <v>0</v>
      </c>
      <c r="O211" s="542"/>
      <c r="P211" s="445">
        <f t="shared" si="175"/>
        <v>0</v>
      </c>
      <c r="Q211" s="542"/>
      <c r="R211" s="445">
        <f t="shared" si="176"/>
        <v>0</v>
      </c>
      <c r="S211" s="542"/>
      <c r="T211" s="445">
        <f t="shared" si="177"/>
        <v>0</v>
      </c>
      <c r="V211" s="581"/>
      <c r="W211" s="582">
        <f t="shared" si="178"/>
        <v>0</v>
      </c>
      <c r="X211" s="581"/>
      <c r="Y211" s="582">
        <f t="shared" si="179"/>
        <v>0</v>
      </c>
      <c r="Z211" s="581"/>
      <c r="AA211" s="582">
        <f t="shared" si="180"/>
        <v>0</v>
      </c>
      <c r="AB211" s="645"/>
      <c r="AC211" s="582">
        <f t="shared" si="181"/>
        <v>0</v>
      </c>
      <c r="AE211" s="769">
        <f t="shared" si="168"/>
        <v>0</v>
      </c>
    </row>
    <row r="212" spans="1:31" ht="15" hidden="1" customHeight="1" x14ac:dyDescent="0.2">
      <c r="A212" s="917" t="s">
        <v>925</v>
      </c>
      <c r="B212" s="601" t="s">
        <v>926</v>
      </c>
      <c r="C212" s="611" t="s">
        <v>130</v>
      </c>
      <c r="D212" s="576">
        <f t="shared" si="169"/>
        <v>0</v>
      </c>
      <c r="E212" s="577">
        <f t="shared" si="170"/>
        <v>0</v>
      </c>
      <c r="F212" s="577">
        <f t="shared" si="171"/>
        <v>0</v>
      </c>
      <c r="G212" s="914"/>
      <c r="I212" s="584"/>
      <c r="J212" s="585">
        <f t="shared" si="172"/>
        <v>0</v>
      </c>
      <c r="K212" s="537"/>
      <c r="L212" s="445">
        <f t="shared" si="173"/>
        <v>0</v>
      </c>
      <c r="M212" s="542"/>
      <c r="N212" s="445">
        <f t="shared" si="174"/>
        <v>0</v>
      </c>
      <c r="O212" s="542"/>
      <c r="P212" s="445">
        <f t="shared" si="175"/>
        <v>0</v>
      </c>
      <c r="Q212" s="542"/>
      <c r="R212" s="445">
        <f t="shared" si="176"/>
        <v>0</v>
      </c>
      <c r="S212" s="542"/>
      <c r="T212" s="445">
        <f t="shared" si="177"/>
        <v>0</v>
      </c>
      <c r="V212" s="575"/>
      <c r="W212" s="582">
        <f t="shared" si="178"/>
        <v>0</v>
      </c>
      <c r="X212" s="575"/>
      <c r="Y212" s="582">
        <f t="shared" si="179"/>
        <v>0</v>
      </c>
      <c r="Z212" s="575"/>
      <c r="AA212" s="582">
        <f t="shared" si="180"/>
        <v>0</v>
      </c>
      <c r="AB212" s="646"/>
      <c r="AC212" s="582">
        <f t="shared" si="181"/>
        <v>0</v>
      </c>
      <c r="AE212" s="769">
        <f t="shared" si="168"/>
        <v>0</v>
      </c>
    </row>
    <row r="213" spans="1:31" ht="15" hidden="1" customHeight="1" x14ac:dyDescent="0.2">
      <c r="A213" s="611" t="s">
        <v>927</v>
      </c>
      <c r="B213" s="601" t="s">
        <v>928</v>
      </c>
      <c r="C213" s="611" t="s">
        <v>130</v>
      </c>
      <c r="D213" s="576">
        <f t="shared" si="169"/>
        <v>0</v>
      </c>
      <c r="E213" s="577">
        <f t="shared" si="170"/>
        <v>0</v>
      </c>
      <c r="F213" s="577">
        <f t="shared" si="171"/>
        <v>0</v>
      </c>
      <c r="G213" s="914"/>
      <c r="I213" s="632"/>
      <c r="J213" s="585">
        <f t="shared" si="172"/>
        <v>0</v>
      </c>
      <c r="K213" s="539"/>
      <c r="L213" s="445">
        <f t="shared" si="173"/>
        <v>0</v>
      </c>
      <c r="M213" s="544"/>
      <c r="N213" s="445">
        <f t="shared" si="174"/>
        <v>0</v>
      </c>
      <c r="O213" s="544"/>
      <c r="P213" s="445">
        <f t="shared" si="175"/>
        <v>0</v>
      </c>
      <c r="Q213" s="544"/>
      <c r="R213" s="445">
        <f t="shared" si="176"/>
        <v>0</v>
      </c>
      <c r="S213" s="544"/>
      <c r="T213" s="445">
        <f t="shared" si="177"/>
        <v>0</v>
      </c>
      <c r="V213" s="581"/>
      <c r="W213" s="582">
        <f t="shared" si="178"/>
        <v>0</v>
      </c>
      <c r="X213" s="581"/>
      <c r="Y213" s="582">
        <f t="shared" si="179"/>
        <v>0</v>
      </c>
      <c r="Z213" s="581"/>
      <c r="AA213" s="582">
        <f t="shared" si="180"/>
        <v>0</v>
      </c>
      <c r="AB213" s="645"/>
      <c r="AC213" s="582">
        <f t="shared" si="181"/>
        <v>0</v>
      </c>
      <c r="AE213" s="769">
        <f t="shared" si="168"/>
        <v>0</v>
      </c>
    </row>
    <row r="214" spans="1:31" ht="15" hidden="1" customHeight="1" x14ac:dyDescent="0.2">
      <c r="A214" s="611" t="s">
        <v>929</v>
      </c>
      <c r="B214" s="601" t="s">
        <v>930</v>
      </c>
      <c r="C214" s="611" t="s">
        <v>155</v>
      </c>
      <c r="D214" s="576">
        <f t="shared" si="169"/>
        <v>0</v>
      </c>
      <c r="E214" s="577" t="e">
        <f t="shared" si="170"/>
        <v>#REF!</v>
      </c>
      <c r="F214" s="577" t="e">
        <f t="shared" si="171"/>
        <v>#REF!</v>
      </c>
      <c r="G214" s="914"/>
      <c r="I214" s="584"/>
      <c r="J214" s="585" t="e">
        <f t="shared" si="172"/>
        <v>#REF!</v>
      </c>
      <c r="K214" s="537"/>
      <c r="L214" s="445" t="e">
        <f t="shared" si="173"/>
        <v>#REF!</v>
      </c>
      <c r="M214" s="542"/>
      <c r="N214" s="445" t="e">
        <f t="shared" si="174"/>
        <v>#REF!</v>
      </c>
      <c r="O214" s="542"/>
      <c r="P214" s="445" t="e">
        <f t="shared" si="175"/>
        <v>#REF!</v>
      </c>
      <c r="Q214" s="542"/>
      <c r="R214" s="445" t="e">
        <f t="shared" si="176"/>
        <v>#REF!</v>
      </c>
      <c r="S214" s="542"/>
      <c r="T214" s="445" t="e">
        <f t="shared" si="177"/>
        <v>#REF!</v>
      </c>
      <c r="V214" s="581" t="e">
        <f>+'6.1.8 Pergolas'!I19</f>
        <v>#REF!</v>
      </c>
      <c r="W214" s="582" t="e">
        <f t="shared" si="178"/>
        <v>#REF!</v>
      </c>
      <c r="X214" s="581">
        <f>+'6.1.8 Pergolas'!I50</f>
        <v>261876.27</v>
      </c>
      <c r="Y214" s="582">
        <f t="shared" si="179"/>
        <v>0</v>
      </c>
      <c r="Z214" s="581">
        <f>+'6.1.8 Pergolas'!I30</f>
        <v>36835</v>
      </c>
      <c r="AA214" s="582">
        <f t="shared" si="180"/>
        <v>0</v>
      </c>
      <c r="AB214" s="645">
        <f>+'6.1.8 Pergolas'!I41</f>
        <v>0</v>
      </c>
      <c r="AC214" s="582">
        <f t="shared" si="181"/>
        <v>0</v>
      </c>
      <c r="AE214" s="769" t="e">
        <f t="shared" si="168"/>
        <v>#REF!</v>
      </c>
    </row>
    <row r="215" spans="1:31" ht="15" customHeight="1" x14ac:dyDescent="0.2">
      <c r="A215" s="611" t="s">
        <v>931</v>
      </c>
      <c r="B215" s="610" t="s">
        <v>932</v>
      </c>
      <c r="C215" s="611" t="s">
        <v>111</v>
      </c>
      <c r="D215" s="576">
        <f t="shared" si="169"/>
        <v>15</v>
      </c>
      <c r="E215" s="577" t="e">
        <f t="shared" si="170"/>
        <v>#REF!</v>
      </c>
      <c r="F215" s="577" t="e">
        <f t="shared" si="171"/>
        <v>#REF!</v>
      </c>
      <c r="G215" s="914"/>
      <c r="I215" s="584"/>
      <c r="J215" s="585" t="e">
        <f t="shared" si="172"/>
        <v>#REF!</v>
      </c>
      <c r="K215" s="537"/>
      <c r="L215" s="445" t="e">
        <f t="shared" si="173"/>
        <v>#REF!</v>
      </c>
      <c r="M215" s="542"/>
      <c r="N215" s="445" t="e">
        <f t="shared" si="174"/>
        <v>#REF!</v>
      </c>
      <c r="O215" s="542"/>
      <c r="P215" s="445" t="e">
        <f t="shared" si="175"/>
        <v>#REF!</v>
      </c>
      <c r="Q215" s="542">
        <v>15</v>
      </c>
      <c r="R215" s="445" t="e">
        <f t="shared" si="176"/>
        <v>#REF!</v>
      </c>
      <c r="S215" s="542"/>
      <c r="T215" s="445" t="e">
        <f t="shared" si="177"/>
        <v>#REF!</v>
      </c>
      <c r="V215" s="581" t="e">
        <f>+#REF!</f>
        <v>#REF!</v>
      </c>
      <c r="W215" s="582" t="e">
        <f t="shared" si="178"/>
        <v>#REF!</v>
      </c>
      <c r="X215" s="581" t="e">
        <f>+#REF!</f>
        <v>#REF!</v>
      </c>
      <c r="Y215" s="582" t="e">
        <f t="shared" si="179"/>
        <v>#REF!</v>
      </c>
      <c r="Z215" s="581" t="e">
        <f>+#REF!</f>
        <v>#REF!</v>
      </c>
      <c r="AA215" s="582" t="e">
        <f t="shared" si="180"/>
        <v>#REF!</v>
      </c>
      <c r="AB215" s="581" t="e">
        <f>+#REF!</f>
        <v>#REF!</v>
      </c>
      <c r="AC215" s="582" t="e">
        <f t="shared" si="181"/>
        <v>#REF!</v>
      </c>
      <c r="AE215" s="769" t="e">
        <f t="shared" si="168"/>
        <v>#REF!</v>
      </c>
    </row>
    <row r="216" spans="1:31" ht="15" customHeight="1" x14ac:dyDescent="0.2">
      <c r="A216" s="611" t="s">
        <v>933</v>
      </c>
      <c r="B216" s="601" t="s">
        <v>934</v>
      </c>
      <c r="C216" s="611" t="s">
        <v>111</v>
      </c>
      <c r="D216" s="576">
        <f t="shared" si="169"/>
        <v>59</v>
      </c>
      <c r="E216" s="577" t="e">
        <f t="shared" si="170"/>
        <v>#REF!</v>
      </c>
      <c r="F216" s="577" t="e">
        <f t="shared" si="171"/>
        <v>#REF!</v>
      </c>
      <c r="G216" s="914"/>
      <c r="I216" s="584"/>
      <c r="J216" s="585" t="e">
        <f t="shared" si="172"/>
        <v>#REF!</v>
      </c>
      <c r="K216" s="537"/>
      <c r="L216" s="445" t="e">
        <f t="shared" si="173"/>
        <v>#REF!</v>
      </c>
      <c r="M216" s="542"/>
      <c r="N216" s="445" t="e">
        <f t="shared" si="174"/>
        <v>#REF!</v>
      </c>
      <c r="O216" s="542"/>
      <c r="P216" s="445" t="e">
        <f t="shared" si="175"/>
        <v>#REF!</v>
      </c>
      <c r="Q216" s="542">
        <v>42</v>
      </c>
      <c r="R216" s="445" t="e">
        <f t="shared" si="176"/>
        <v>#REF!</v>
      </c>
      <c r="S216" s="542">
        <v>17</v>
      </c>
      <c r="T216" s="445" t="e">
        <f t="shared" si="177"/>
        <v>#REF!</v>
      </c>
      <c r="V216" s="581" t="e">
        <f>+'6,1,10 Gradas en Concreto'!I19</f>
        <v>#REF!</v>
      </c>
      <c r="W216" s="582" t="e">
        <f t="shared" si="178"/>
        <v>#REF!</v>
      </c>
      <c r="X216" s="581">
        <f>+'6,1,10 Gradas en Concreto'!I50</f>
        <v>54011.98</v>
      </c>
      <c r="Y216" s="582">
        <f t="shared" si="179"/>
        <v>3186706.82</v>
      </c>
      <c r="Z216" s="581">
        <f>+'6,1,10 Gradas en Concreto'!I30</f>
        <v>5520.83</v>
      </c>
      <c r="AA216" s="582">
        <f t="shared" si="180"/>
        <v>325728.96999999997</v>
      </c>
      <c r="AB216" s="581">
        <f>+'6,1,10 Gradas en Concreto'!I41</f>
        <v>0</v>
      </c>
      <c r="AC216" s="582">
        <f t="shared" si="181"/>
        <v>0</v>
      </c>
      <c r="AE216" s="769" t="e">
        <f t="shared" si="168"/>
        <v>#REF!</v>
      </c>
    </row>
    <row r="217" spans="1:31" ht="15" hidden="1" customHeight="1" x14ac:dyDescent="0.2">
      <c r="A217" s="611" t="s">
        <v>935</v>
      </c>
      <c r="B217" s="601" t="s">
        <v>936</v>
      </c>
      <c r="C217" s="611" t="s">
        <v>111</v>
      </c>
      <c r="D217" s="576">
        <f t="shared" si="169"/>
        <v>0</v>
      </c>
      <c r="E217" s="577" t="e">
        <f t="shared" si="170"/>
        <v>#REF!</v>
      </c>
      <c r="F217" s="577" t="e">
        <f t="shared" si="171"/>
        <v>#REF!</v>
      </c>
      <c r="G217" s="914"/>
      <c r="I217" s="584"/>
      <c r="J217" s="585" t="e">
        <f t="shared" si="172"/>
        <v>#REF!</v>
      </c>
      <c r="K217" s="537"/>
      <c r="L217" s="445" t="e">
        <f t="shared" si="173"/>
        <v>#REF!</v>
      </c>
      <c r="M217" s="542"/>
      <c r="N217" s="445" t="e">
        <f t="shared" si="174"/>
        <v>#REF!</v>
      </c>
      <c r="O217" s="542"/>
      <c r="P217" s="445" t="e">
        <f t="shared" si="175"/>
        <v>#REF!</v>
      </c>
      <c r="Q217" s="542"/>
      <c r="R217" s="445" t="e">
        <f t="shared" si="176"/>
        <v>#REF!</v>
      </c>
      <c r="S217" s="542"/>
      <c r="T217" s="445" t="e">
        <f t="shared" si="177"/>
        <v>#REF!</v>
      </c>
      <c r="V217" s="581" t="e">
        <f>+'6,1,11 PLAQUETAS'!I19</f>
        <v>#REF!</v>
      </c>
      <c r="W217" s="582" t="e">
        <f t="shared" si="178"/>
        <v>#REF!</v>
      </c>
      <c r="X217" s="581">
        <f>+'6,1,11 PLAQUETAS'!I50</f>
        <v>54011.98</v>
      </c>
      <c r="Y217" s="582">
        <f t="shared" si="179"/>
        <v>0</v>
      </c>
      <c r="Z217" s="581">
        <f>+'6,1,11 PLAQUETAS'!I30</f>
        <v>5520.83</v>
      </c>
      <c r="AA217" s="582">
        <f t="shared" si="180"/>
        <v>0</v>
      </c>
      <c r="AB217" s="581">
        <f>+'6,1,11 PLAQUETAS'!I41</f>
        <v>0</v>
      </c>
      <c r="AC217" s="582">
        <f t="shared" si="181"/>
        <v>0</v>
      </c>
      <c r="AE217" s="769" t="e">
        <f t="shared" si="168"/>
        <v>#REF!</v>
      </c>
    </row>
    <row r="218" spans="1:31" ht="15" hidden="1" customHeight="1" x14ac:dyDescent="0.2">
      <c r="A218" s="611" t="s">
        <v>937</v>
      </c>
      <c r="B218" s="601" t="s">
        <v>938</v>
      </c>
      <c r="C218" s="611" t="s">
        <v>114</v>
      </c>
      <c r="D218" s="576">
        <f t="shared" si="169"/>
        <v>0</v>
      </c>
      <c r="E218" s="577">
        <f t="shared" si="170"/>
        <v>0</v>
      </c>
      <c r="F218" s="577">
        <f t="shared" si="171"/>
        <v>0</v>
      </c>
      <c r="G218" s="914"/>
      <c r="I218" s="584"/>
      <c r="J218" s="585">
        <f t="shared" si="172"/>
        <v>0</v>
      </c>
      <c r="K218" s="537"/>
      <c r="L218" s="445">
        <f t="shared" si="173"/>
        <v>0</v>
      </c>
      <c r="M218" s="542"/>
      <c r="N218" s="445">
        <f t="shared" si="174"/>
        <v>0</v>
      </c>
      <c r="O218" s="542"/>
      <c r="P218" s="445">
        <f t="shared" si="175"/>
        <v>0</v>
      </c>
      <c r="Q218" s="542"/>
      <c r="R218" s="445">
        <f t="shared" si="176"/>
        <v>0</v>
      </c>
      <c r="S218" s="542"/>
      <c r="T218" s="445">
        <f t="shared" si="177"/>
        <v>0</v>
      </c>
      <c r="V218" s="581"/>
      <c r="W218" s="582">
        <f t="shared" si="178"/>
        <v>0</v>
      </c>
      <c r="X218" s="581"/>
      <c r="Y218" s="582">
        <f t="shared" si="179"/>
        <v>0</v>
      </c>
      <c r="Z218" s="581"/>
      <c r="AA218" s="582">
        <f t="shared" si="180"/>
        <v>0</v>
      </c>
      <c r="AB218" s="581"/>
      <c r="AC218" s="582">
        <f t="shared" si="181"/>
        <v>0</v>
      </c>
      <c r="AE218" s="769">
        <f t="shared" si="168"/>
        <v>0</v>
      </c>
    </row>
    <row r="219" spans="1:31" ht="15" hidden="1" customHeight="1" x14ac:dyDescent="0.2">
      <c r="A219" s="611" t="s">
        <v>939</v>
      </c>
      <c r="B219" s="601" t="s">
        <v>940</v>
      </c>
      <c r="C219" s="611" t="s">
        <v>114</v>
      </c>
      <c r="D219" s="576">
        <f t="shared" si="169"/>
        <v>0</v>
      </c>
      <c r="E219" s="577">
        <f t="shared" si="170"/>
        <v>0</v>
      </c>
      <c r="F219" s="577">
        <f t="shared" si="171"/>
        <v>0</v>
      </c>
      <c r="G219" s="914"/>
      <c r="I219" s="584"/>
      <c r="J219" s="585">
        <f t="shared" si="172"/>
        <v>0</v>
      </c>
      <c r="K219" s="537"/>
      <c r="L219" s="445">
        <f t="shared" si="173"/>
        <v>0</v>
      </c>
      <c r="M219" s="542"/>
      <c r="N219" s="445">
        <f t="shared" si="174"/>
        <v>0</v>
      </c>
      <c r="O219" s="542"/>
      <c r="P219" s="445">
        <f t="shared" si="175"/>
        <v>0</v>
      </c>
      <c r="Q219" s="542"/>
      <c r="R219" s="445">
        <f t="shared" si="176"/>
        <v>0</v>
      </c>
      <c r="S219" s="542"/>
      <c r="T219" s="445">
        <f t="shared" si="177"/>
        <v>0</v>
      </c>
      <c r="V219" s="575"/>
      <c r="W219" s="582">
        <f t="shared" si="178"/>
        <v>0</v>
      </c>
      <c r="X219" s="575"/>
      <c r="Y219" s="582">
        <f t="shared" si="179"/>
        <v>0</v>
      </c>
      <c r="Z219" s="575"/>
      <c r="AA219" s="582">
        <f t="shared" si="180"/>
        <v>0</v>
      </c>
      <c r="AB219" s="646"/>
      <c r="AC219" s="582">
        <f t="shared" si="181"/>
        <v>0</v>
      </c>
      <c r="AE219" s="769">
        <f t="shared" si="168"/>
        <v>0</v>
      </c>
    </row>
    <row r="220" spans="1:31" ht="15" hidden="1" customHeight="1" x14ac:dyDescent="0.2">
      <c r="A220" s="611" t="s">
        <v>941</v>
      </c>
      <c r="B220" s="601" t="s">
        <v>942</v>
      </c>
      <c r="C220" s="611" t="s">
        <v>114</v>
      </c>
      <c r="D220" s="576">
        <f t="shared" si="169"/>
        <v>0</v>
      </c>
      <c r="E220" s="577">
        <f t="shared" si="170"/>
        <v>0</v>
      </c>
      <c r="F220" s="577">
        <f t="shared" si="171"/>
        <v>0</v>
      </c>
      <c r="G220" s="914"/>
      <c r="I220" s="584"/>
      <c r="J220" s="585">
        <f t="shared" si="172"/>
        <v>0</v>
      </c>
      <c r="K220" s="537"/>
      <c r="L220" s="445">
        <f t="shared" si="173"/>
        <v>0</v>
      </c>
      <c r="M220" s="542"/>
      <c r="N220" s="445">
        <f t="shared" si="174"/>
        <v>0</v>
      </c>
      <c r="O220" s="542"/>
      <c r="P220" s="445">
        <f t="shared" si="175"/>
        <v>0</v>
      </c>
      <c r="Q220" s="542"/>
      <c r="R220" s="445">
        <f t="shared" si="176"/>
        <v>0</v>
      </c>
      <c r="S220" s="542"/>
      <c r="T220" s="445">
        <f t="shared" si="177"/>
        <v>0</v>
      </c>
      <c r="V220" s="581"/>
      <c r="W220" s="582">
        <f t="shared" si="178"/>
        <v>0</v>
      </c>
      <c r="X220" s="581"/>
      <c r="Y220" s="582">
        <f t="shared" si="179"/>
        <v>0</v>
      </c>
      <c r="Z220" s="581"/>
      <c r="AA220" s="582">
        <f t="shared" si="180"/>
        <v>0</v>
      </c>
      <c r="AB220" s="581"/>
      <c r="AC220" s="582">
        <f t="shared" si="181"/>
        <v>0</v>
      </c>
      <c r="AE220" s="769">
        <f t="shared" si="168"/>
        <v>0</v>
      </c>
    </row>
    <row r="221" spans="1:31" ht="15" hidden="1" customHeight="1" x14ac:dyDescent="0.2">
      <c r="A221" s="611" t="s">
        <v>943</v>
      </c>
      <c r="B221" s="601" t="s">
        <v>944</v>
      </c>
      <c r="C221" s="611" t="s">
        <v>114</v>
      </c>
      <c r="D221" s="576">
        <f t="shared" si="169"/>
        <v>0</v>
      </c>
      <c r="E221" s="577" t="e">
        <f t="shared" si="170"/>
        <v>#REF!</v>
      </c>
      <c r="F221" s="577" t="e">
        <f t="shared" si="171"/>
        <v>#REF!</v>
      </c>
      <c r="G221" s="914"/>
      <c r="I221" s="584"/>
      <c r="J221" s="585" t="e">
        <f t="shared" si="172"/>
        <v>#REF!</v>
      </c>
      <c r="K221" s="537"/>
      <c r="L221" s="445" t="e">
        <f t="shared" si="173"/>
        <v>#REF!</v>
      </c>
      <c r="M221" s="542"/>
      <c r="N221" s="445" t="e">
        <f t="shared" si="174"/>
        <v>#REF!</v>
      </c>
      <c r="O221" s="542"/>
      <c r="P221" s="445" t="e">
        <f t="shared" si="175"/>
        <v>#REF!</v>
      </c>
      <c r="Q221" s="542"/>
      <c r="R221" s="445" t="e">
        <f t="shared" si="176"/>
        <v>#REF!</v>
      </c>
      <c r="S221" s="542"/>
      <c r="T221" s="445" t="e">
        <f t="shared" si="177"/>
        <v>#REF!</v>
      </c>
      <c r="V221" s="581" t="e">
        <f>+'6,1,15 Bordillos ducha y aseo'!I19</f>
        <v>#REF!</v>
      </c>
      <c r="W221" s="582" t="e">
        <f t="shared" si="178"/>
        <v>#REF!</v>
      </c>
      <c r="X221" s="581">
        <f>+'6,1,15 Bordillos ducha y aseo'!I50</f>
        <v>11420.17</v>
      </c>
      <c r="Y221" s="582">
        <f t="shared" si="179"/>
        <v>0</v>
      </c>
      <c r="Z221" s="581">
        <f>+'6,1,15 Bordillos ducha y aseo'!I30</f>
        <v>976.71</v>
      </c>
      <c r="AA221" s="582">
        <f t="shared" si="180"/>
        <v>0</v>
      </c>
      <c r="AB221" s="581">
        <f>+'6,1,15 Bordillos ducha y aseo'!I41</f>
        <v>0</v>
      </c>
      <c r="AC221" s="582">
        <f t="shared" si="181"/>
        <v>0</v>
      </c>
      <c r="AE221" s="769" t="e">
        <f t="shared" si="168"/>
        <v>#REF!</v>
      </c>
    </row>
    <row r="222" spans="1:31" ht="15" hidden="1" customHeight="1" x14ac:dyDescent="0.2">
      <c r="A222" s="611" t="s">
        <v>945</v>
      </c>
      <c r="B222" s="601" t="s">
        <v>946</v>
      </c>
      <c r="C222" s="611" t="s">
        <v>114</v>
      </c>
      <c r="D222" s="576">
        <f t="shared" si="169"/>
        <v>0</v>
      </c>
      <c r="E222" s="577">
        <f t="shared" si="170"/>
        <v>0</v>
      </c>
      <c r="F222" s="577">
        <f t="shared" si="171"/>
        <v>0</v>
      </c>
      <c r="G222" s="914"/>
      <c r="I222" s="584"/>
      <c r="J222" s="585">
        <f t="shared" si="172"/>
        <v>0</v>
      </c>
      <c r="K222" s="537"/>
      <c r="L222" s="445">
        <f t="shared" si="173"/>
        <v>0</v>
      </c>
      <c r="M222" s="542"/>
      <c r="N222" s="445">
        <f t="shared" si="174"/>
        <v>0</v>
      </c>
      <c r="O222" s="542"/>
      <c r="P222" s="445">
        <f t="shared" si="175"/>
        <v>0</v>
      </c>
      <c r="Q222" s="542"/>
      <c r="R222" s="445">
        <f t="shared" si="176"/>
        <v>0</v>
      </c>
      <c r="S222" s="542"/>
      <c r="T222" s="445">
        <f t="shared" si="177"/>
        <v>0</v>
      </c>
      <c r="V222" s="581"/>
      <c r="W222" s="582">
        <f t="shared" si="178"/>
        <v>0</v>
      </c>
      <c r="X222" s="581"/>
      <c r="Y222" s="582">
        <f t="shared" si="179"/>
        <v>0</v>
      </c>
      <c r="Z222" s="581"/>
      <c r="AA222" s="582">
        <f t="shared" si="180"/>
        <v>0</v>
      </c>
      <c r="AB222" s="581"/>
      <c r="AC222" s="582">
        <f t="shared" si="181"/>
        <v>0</v>
      </c>
      <c r="AE222" s="769">
        <f t="shared" si="168"/>
        <v>0</v>
      </c>
    </row>
    <row r="223" spans="1:31" ht="15" hidden="1" customHeight="1" x14ac:dyDescent="0.2">
      <c r="A223" s="627" t="s">
        <v>947</v>
      </c>
      <c r="B223" s="610" t="s">
        <v>948</v>
      </c>
      <c r="C223" s="627" t="s">
        <v>114</v>
      </c>
      <c r="D223" s="576">
        <f t="shared" si="169"/>
        <v>0</v>
      </c>
      <c r="E223" s="577">
        <f t="shared" si="170"/>
        <v>0</v>
      </c>
      <c r="F223" s="577">
        <f t="shared" si="171"/>
        <v>0</v>
      </c>
      <c r="G223" s="914"/>
      <c r="I223" s="584"/>
      <c r="J223" s="585">
        <f t="shared" si="172"/>
        <v>0</v>
      </c>
      <c r="K223" s="537"/>
      <c r="L223" s="445">
        <f t="shared" si="173"/>
        <v>0</v>
      </c>
      <c r="M223" s="542"/>
      <c r="N223" s="445">
        <f t="shared" si="174"/>
        <v>0</v>
      </c>
      <c r="O223" s="542"/>
      <c r="P223" s="445">
        <f t="shared" si="175"/>
        <v>0</v>
      </c>
      <c r="Q223" s="542"/>
      <c r="R223" s="445">
        <f t="shared" si="176"/>
        <v>0</v>
      </c>
      <c r="S223" s="542"/>
      <c r="T223" s="445">
        <f t="shared" si="177"/>
        <v>0</v>
      </c>
      <c r="V223" s="581"/>
      <c r="W223" s="582">
        <f t="shared" si="178"/>
        <v>0</v>
      </c>
      <c r="X223" s="581"/>
      <c r="Y223" s="582">
        <f t="shared" si="179"/>
        <v>0</v>
      </c>
      <c r="Z223" s="581"/>
      <c r="AA223" s="582">
        <f t="shared" si="180"/>
        <v>0</v>
      </c>
      <c r="AB223" s="581"/>
      <c r="AC223" s="582">
        <f t="shared" si="181"/>
        <v>0</v>
      </c>
      <c r="AE223" s="769">
        <f t="shared" si="168"/>
        <v>0</v>
      </c>
    </row>
    <row r="224" spans="1:31" ht="15" customHeight="1" x14ac:dyDescent="0.2">
      <c r="A224" s="611" t="s">
        <v>949</v>
      </c>
      <c r="B224" s="601" t="s">
        <v>950</v>
      </c>
      <c r="C224" s="611" t="s">
        <v>114</v>
      </c>
      <c r="D224" s="576">
        <f t="shared" si="169"/>
        <v>93.2</v>
      </c>
      <c r="E224" s="577" t="e">
        <f t="shared" si="170"/>
        <v>#REF!</v>
      </c>
      <c r="F224" s="577" t="e">
        <f t="shared" si="171"/>
        <v>#REF!</v>
      </c>
      <c r="G224" s="914"/>
      <c r="I224" s="584"/>
      <c r="J224" s="585" t="e">
        <f t="shared" si="172"/>
        <v>#REF!</v>
      </c>
      <c r="K224" s="537"/>
      <c r="L224" s="445" t="e">
        <f t="shared" si="173"/>
        <v>#REF!</v>
      </c>
      <c r="M224" s="542"/>
      <c r="N224" s="445" t="e">
        <f t="shared" si="174"/>
        <v>#REF!</v>
      </c>
      <c r="O224" s="542"/>
      <c r="P224" s="445" t="e">
        <f t="shared" si="175"/>
        <v>#REF!</v>
      </c>
      <c r="Q224" s="542">
        <v>93.2</v>
      </c>
      <c r="R224" s="445" t="e">
        <f t="shared" si="176"/>
        <v>#REF!</v>
      </c>
      <c r="S224" s="771"/>
      <c r="T224" s="445" t="e">
        <f t="shared" si="177"/>
        <v>#REF!</v>
      </c>
      <c r="V224" s="581" t="e">
        <f>+#REF!</f>
        <v>#REF!</v>
      </c>
      <c r="W224" s="582" t="e">
        <f t="shared" si="178"/>
        <v>#REF!</v>
      </c>
      <c r="X224" s="581" t="e">
        <f>+#REF!</f>
        <v>#REF!</v>
      </c>
      <c r="Y224" s="582" t="e">
        <f t="shared" si="179"/>
        <v>#REF!</v>
      </c>
      <c r="Z224" s="581" t="e">
        <f>+#REF!</f>
        <v>#REF!</v>
      </c>
      <c r="AA224" s="582" t="e">
        <f t="shared" si="180"/>
        <v>#REF!</v>
      </c>
      <c r="AB224" s="581"/>
      <c r="AC224" s="582">
        <f t="shared" si="181"/>
        <v>0</v>
      </c>
      <c r="AE224" s="769" t="e">
        <f t="shared" si="168"/>
        <v>#REF!</v>
      </c>
    </row>
    <row r="225" spans="1:31" ht="24.75" customHeight="1" x14ac:dyDescent="0.2">
      <c r="A225" s="572" t="s">
        <v>951</v>
      </c>
      <c r="B225" s="573" t="s">
        <v>952</v>
      </c>
      <c r="C225" s="846"/>
      <c r="D225" s="576"/>
      <c r="E225" s="577"/>
      <c r="F225" s="180" t="e">
        <f>+ROUND(SUM(F226:F233),10)</f>
        <v>#REF!</v>
      </c>
      <c r="G225" s="472"/>
      <c r="I225" s="613"/>
      <c r="J225" s="440" t="e">
        <f>ROUND(SUM(J226:J233),10)</f>
        <v>#REF!</v>
      </c>
      <c r="K225" s="537"/>
      <c r="L225" s="180" t="e">
        <f>ROUND(SUM(L226:L233),10)</f>
        <v>#REF!</v>
      </c>
      <c r="M225" s="542"/>
      <c r="N225" s="180" t="e">
        <f>ROUND(SUM(N226:N233),10)</f>
        <v>#REF!</v>
      </c>
      <c r="O225" s="542"/>
      <c r="P225" s="180" t="e">
        <f>ROUND(SUM(P226:P233),10)</f>
        <v>#REF!</v>
      </c>
      <c r="Q225" s="542"/>
      <c r="R225" s="180" t="e">
        <f>ROUND(SUM(R226:R233),10)</f>
        <v>#REF!</v>
      </c>
      <c r="S225" s="542"/>
      <c r="T225" s="180" t="e">
        <f>ROUND(SUM(T226:T233),10)</f>
        <v>#REF!</v>
      </c>
      <c r="V225" s="575"/>
      <c r="W225" s="570" t="e">
        <f>ROUND(SUM(W226:W233),10)</f>
        <v>#REF!</v>
      </c>
      <c r="X225" s="575"/>
      <c r="Y225" s="570" t="e">
        <f>ROUND(SUM(Y226:Y233),10)</f>
        <v>#REF!</v>
      </c>
      <c r="Z225" s="575"/>
      <c r="AA225" s="570" t="e">
        <f>ROUND(SUM(AA226:AA233),10)</f>
        <v>#REF!</v>
      </c>
      <c r="AB225" s="575"/>
      <c r="AC225" s="570">
        <f>ROUND(SUM(AC226:AC233),10)</f>
        <v>0</v>
      </c>
      <c r="AE225" s="769" t="e">
        <f t="shared" si="168"/>
        <v>#REF!</v>
      </c>
    </row>
    <row r="226" spans="1:31" s="568" customFormat="1" ht="18" hidden="1" customHeight="1" x14ac:dyDescent="0.2">
      <c r="A226" s="611" t="s">
        <v>953</v>
      </c>
      <c r="B226" s="601" t="s">
        <v>954</v>
      </c>
      <c r="C226" s="611" t="s">
        <v>114</v>
      </c>
      <c r="D226" s="576">
        <f t="shared" ref="D226:D233" si="182">+I226+K226+M226+O226+Q226+S226</f>
        <v>0</v>
      </c>
      <c r="E226" s="577" t="e">
        <f t="shared" si="170"/>
        <v>#REF!</v>
      </c>
      <c r="F226" s="577" t="e">
        <f t="shared" ref="F226:F233" si="183">ROUND(D226*E226,10)</f>
        <v>#REF!</v>
      </c>
      <c r="G226" s="914"/>
      <c r="I226" s="594"/>
      <c r="J226" s="580" t="e">
        <f t="shared" ref="J226:J232" si="184">+ROUND(E226*I226,10)</f>
        <v>#REF!</v>
      </c>
      <c r="K226" s="537"/>
      <c r="L226" s="445" t="e">
        <f t="shared" ref="L226:L233" si="185">+ROUND(E226*K226,10)</f>
        <v>#REF!</v>
      </c>
      <c r="M226" s="542"/>
      <c r="N226" s="445" t="e">
        <f t="shared" ref="N226:N233" si="186">+ROUND(E226*M226,10)</f>
        <v>#REF!</v>
      </c>
      <c r="O226" s="542"/>
      <c r="P226" s="445" t="e">
        <f t="shared" ref="P226:P233" si="187">+ROUND(E226*O226,10)</f>
        <v>#REF!</v>
      </c>
      <c r="Q226" s="542"/>
      <c r="R226" s="445" t="e">
        <f t="shared" ref="R226:R233" si="188">+ROUND(E226*Q226,10)</f>
        <v>#REF!</v>
      </c>
      <c r="S226" s="542"/>
      <c r="T226" s="445" t="e">
        <f t="shared" ref="T226:T233" si="189">+ROUND(E226*S226,10)</f>
        <v>#REF!</v>
      </c>
      <c r="V226" s="581" t="e">
        <f>+'6,2,1 Mesones en concreto'!I19</f>
        <v>#REF!</v>
      </c>
      <c r="W226" s="582" t="e">
        <f t="shared" ref="W226:W233" si="190">ROUND(V226*$D226,10)</f>
        <v>#REF!</v>
      </c>
      <c r="X226" s="581">
        <f>+'6,2,1 Mesones en concreto'!I50</f>
        <v>11420.17</v>
      </c>
      <c r="Y226" s="582">
        <f t="shared" ref="Y226:Y233" si="191">ROUND(X226*$D226,10)</f>
        <v>0</v>
      </c>
      <c r="Z226" s="581">
        <f>+'6,2,1 Mesones en concreto'!I30</f>
        <v>3399.57</v>
      </c>
      <c r="AA226" s="582">
        <f t="shared" ref="AA226:AA233" si="192">ROUND(Z226*$D226,10)</f>
        <v>0</v>
      </c>
      <c r="AB226" s="581">
        <f>+'6,2,1 Mesones en concreto'!I41</f>
        <v>0</v>
      </c>
      <c r="AC226" s="582">
        <f t="shared" ref="AC226:AC233" si="193">ROUND(AB226*$D226,10)</f>
        <v>0</v>
      </c>
      <c r="AE226" s="769" t="e">
        <f t="shared" si="168"/>
        <v>#REF!</v>
      </c>
    </row>
    <row r="227" spans="1:31" ht="27.75" customHeight="1" x14ac:dyDescent="0.2">
      <c r="A227" s="611" t="s">
        <v>955</v>
      </c>
      <c r="B227" s="601" t="s">
        <v>956</v>
      </c>
      <c r="C227" s="611" t="s">
        <v>114</v>
      </c>
      <c r="D227" s="576">
        <f t="shared" si="182"/>
        <v>20.6</v>
      </c>
      <c r="E227" s="577" t="e">
        <f t="shared" si="170"/>
        <v>#REF!</v>
      </c>
      <c r="F227" s="577" t="e">
        <f t="shared" si="183"/>
        <v>#REF!</v>
      </c>
      <c r="G227" s="914"/>
      <c r="I227" s="584"/>
      <c r="J227" s="585" t="e">
        <f t="shared" si="184"/>
        <v>#REF!</v>
      </c>
      <c r="K227" s="537"/>
      <c r="L227" s="445" t="e">
        <f t="shared" si="185"/>
        <v>#REF!</v>
      </c>
      <c r="M227" s="542">
        <v>1</v>
      </c>
      <c r="N227" s="445" t="e">
        <f t="shared" si="186"/>
        <v>#REF!</v>
      </c>
      <c r="O227" s="542">
        <v>19.600000000000001</v>
      </c>
      <c r="P227" s="445" t="e">
        <f t="shared" si="187"/>
        <v>#REF!</v>
      </c>
      <c r="Q227" s="542"/>
      <c r="R227" s="445" t="e">
        <f t="shared" si="188"/>
        <v>#REF!</v>
      </c>
      <c r="S227" s="542"/>
      <c r="T227" s="445" t="e">
        <f t="shared" si="189"/>
        <v>#REF!</v>
      </c>
      <c r="V227" s="581" t="e">
        <f>+#REF!</f>
        <v>#REF!</v>
      </c>
      <c r="W227" s="582" t="e">
        <f t="shared" si="190"/>
        <v>#REF!</v>
      </c>
      <c r="X227" s="581" t="e">
        <f>+#REF!</f>
        <v>#REF!</v>
      </c>
      <c r="Y227" s="582" t="e">
        <f t="shared" si="191"/>
        <v>#REF!</v>
      </c>
      <c r="Z227" s="581" t="e">
        <f>+#REF!</f>
        <v>#REF!</v>
      </c>
      <c r="AA227" s="582" t="e">
        <f t="shared" si="192"/>
        <v>#REF!</v>
      </c>
      <c r="AB227" s="581"/>
      <c r="AC227" s="582">
        <f t="shared" si="193"/>
        <v>0</v>
      </c>
      <c r="AE227" s="769" t="e">
        <f t="shared" si="168"/>
        <v>#REF!</v>
      </c>
    </row>
    <row r="228" spans="1:31" x14ac:dyDescent="0.2">
      <c r="A228" s="611" t="s">
        <v>957</v>
      </c>
      <c r="B228" s="601" t="s">
        <v>958</v>
      </c>
      <c r="C228" s="611" t="s">
        <v>114</v>
      </c>
      <c r="D228" s="576">
        <f t="shared" si="182"/>
        <v>28.38</v>
      </c>
      <c r="E228" s="577" t="e">
        <f>V228+X228+Z228+AB228</f>
        <v>#REF!</v>
      </c>
      <c r="F228" s="577" t="e">
        <f t="shared" si="183"/>
        <v>#REF!</v>
      </c>
      <c r="G228" s="914"/>
      <c r="I228" s="584"/>
      <c r="J228" s="585" t="e">
        <f t="shared" si="184"/>
        <v>#REF!</v>
      </c>
      <c r="K228" s="537">
        <v>28.38</v>
      </c>
      <c r="L228" s="445" t="e">
        <f t="shared" si="185"/>
        <v>#REF!</v>
      </c>
      <c r="M228" s="542"/>
      <c r="N228" s="445" t="e">
        <f t="shared" si="186"/>
        <v>#REF!</v>
      </c>
      <c r="O228" s="542"/>
      <c r="P228" s="445" t="e">
        <f t="shared" si="187"/>
        <v>#REF!</v>
      </c>
      <c r="Q228" s="542"/>
      <c r="R228" s="445" t="e">
        <f t="shared" si="188"/>
        <v>#REF!</v>
      </c>
      <c r="S228" s="542"/>
      <c r="T228" s="445" t="e">
        <f t="shared" si="189"/>
        <v>#REF!</v>
      </c>
      <c r="V228" s="581" t="e">
        <f>+'6,2,3 Mesones laboratorios'!I19</f>
        <v>#REF!</v>
      </c>
      <c r="W228" s="582" t="e">
        <f t="shared" si="190"/>
        <v>#REF!</v>
      </c>
      <c r="X228" s="581">
        <f>+'6,2,3 Mesones laboratorios'!I50</f>
        <v>30453.79</v>
      </c>
      <c r="Y228" s="582">
        <f t="shared" si="191"/>
        <v>864278.56019999995</v>
      </c>
      <c r="Z228" s="581">
        <f>+'6,2,3 Mesones laboratorios'!I30</f>
        <v>3640.84</v>
      </c>
      <c r="AA228" s="582">
        <f t="shared" si="192"/>
        <v>103327.0392</v>
      </c>
      <c r="AB228" s="581">
        <f>+'6,2,3 Mesones laboratorios'!I41</f>
        <v>0</v>
      </c>
      <c r="AC228" s="582">
        <f t="shared" si="193"/>
        <v>0</v>
      </c>
      <c r="AE228" s="769" t="e">
        <f t="shared" si="168"/>
        <v>#REF!</v>
      </c>
    </row>
    <row r="229" spans="1:31" ht="15" hidden="1" customHeight="1" x14ac:dyDescent="0.2">
      <c r="A229" s="611" t="s">
        <v>959</v>
      </c>
      <c r="B229" s="772" t="s">
        <v>940</v>
      </c>
      <c r="C229" s="611" t="s">
        <v>114</v>
      </c>
      <c r="D229" s="576">
        <f t="shared" si="182"/>
        <v>0</v>
      </c>
      <c r="E229" s="577">
        <f t="shared" si="170"/>
        <v>0</v>
      </c>
      <c r="F229" s="577">
        <f t="shared" si="183"/>
        <v>0</v>
      </c>
      <c r="G229" s="914"/>
      <c r="I229" s="584"/>
      <c r="J229" s="585">
        <f t="shared" si="184"/>
        <v>0</v>
      </c>
      <c r="K229" s="537"/>
      <c r="L229" s="445">
        <f t="shared" si="185"/>
        <v>0</v>
      </c>
      <c r="M229" s="542"/>
      <c r="N229" s="445">
        <f t="shared" si="186"/>
        <v>0</v>
      </c>
      <c r="O229" s="542"/>
      <c r="P229" s="445">
        <f t="shared" si="187"/>
        <v>0</v>
      </c>
      <c r="Q229" s="542"/>
      <c r="R229" s="445">
        <f t="shared" si="188"/>
        <v>0</v>
      </c>
      <c r="S229" s="542"/>
      <c r="T229" s="445">
        <f t="shared" si="189"/>
        <v>0</v>
      </c>
      <c r="V229" s="581"/>
      <c r="W229" s="582">
        <f t="shared" si="190"/>
        <v>0</v>
      </c>
      <c r="X229" s="581"/>
      <c r="Y229" s="582">
        <f t="shared" si="191"/>
        <v>0</v>
      </c>
      <c r="Z229" s="581"/>
      <c r="AA229" s="582">
        <f t="shared" si="192"/>
        <v>0</v>
      </c>
      <c r="AB229" s="581"/>
      <c r="AC229" s="582">
        <f t="shared" si="193"/>
        <v>0</v>
      </c>
      <c r="AE229" s="769">
        <f t="shared" si="168"/>
        <v>0</v>
      </c>
    </row>
    <row r="230" spans="1:31" ht="15" hidden="1" customHeight="1" x14ac:dyDescent="0.2">
      <c r="A230" s="611" t="s">
        <v>960</v>
      </c>
      <c r="B230" s="601" t="s">
        <v>942</v>
      </c>
      <c r="C230" s="611" t="s">
        <v>114</v>
      </c>
      <c r="D230" s="576">
        <f t="shared" si="182"/>
        <v>0</v>
      </c>
      <c r="E230" s="577" t="e">
        <f t="shared" si="170"/>
        <v>#REF!</v>
      </c>
      <c r="F230" s="577" t="e">
        <f t="shared" si="183"/>
        <v>#REF!</v>
      </c>
      <c r="G230" s="914"/>
      <c r="I230" s="584"/>
      <c r="J230" s="585" t="e">
        <f t="shared" si="184"/>
        <v>#REF!</v>
      </c>
      <c r="K230" s="537"/>
      <c r="L230" s="445" t="e">
        <f t="shared" si="185"/>
        <v>#REF!</v>
      </c>
      <c r="M230" s="542"/>
      <c r="N230" s="445" t="e">
        <f t="shared" si="186"/>
        <v>#REF!</v>
      </c>
      <c r="O230" s="542"/>
      <c r="P230" s="445" t="e">
        <f t="shared" si="187"/>
        <v>#REF!</v>
      </c>
      <c r="Q230" s="542"/>
      <c r="R230" s="445" t="e">
        <f t="shared" si="188"/>
        <v>#REF!</v>
      </c>
      <c r="S230" s="542"/>
      <c r="T230" s="445" t="e">
        <f t="shared" si="189"/>
        <v>#REF!</v>
      </c>
      <c r="V230" s="581" t="e">
        <f>+'6,2,5 Bancas Concreto'!I19</f>
        <v>#REF!</v>
      </c>
      <c r="W230" s="582" t="e">
        <f t="shared" si="190"/>
        <v>#REF!</v>
      </c>
      <c r="X230" s="581">
        <f>+'6,2,5 Bancas Concreto'!I50</f>
        <v>19861.169999999998</v>
      </c>
      <c r="Y230" s="582">
        <f t="shared" si="191"/>
        <v>0</v>
      </c>
      <c r="Z230" s="581">
        <f>+'6,2,5 Bancas Concreto'!I30</f>
        <v>371</v>
      </c>
      <c r="AA230" s="582">
        <f t="shared" si="192"/>
        <v>0</v>
      </c>
      <c r="AB230" s="581">
        <f>+'6,2,5 Bancas Concreto'!I41</f>
        <v>0</v>
      </c>
      <c r="AC230" s="582">
        <f t="shared" si="193"/>
        <v>0</v>
      </c>
      <c r="AE230" s="769" t="e">
        <f t="shared" si="168"/>
        <v>#REF!</v>
      </c>
    </row>
    <row r="231" spans="1:31" ht="15" hidden="1" customHeight="1" x14ac:dyDescent="0.2">
      <c r="A231" s="611" t="s">
        <v>961</v>
      </c>
      <c r="B231" s="601" t="s">
        <v>962</v>
      </c>
      <c r="C231" s="611" t="s">
        <v>114</v>
      </c>
      <c r="D231" s="576">
        <f t="shared" si="182"/>
        <v>0</v>
      </c>
      <c r="E231" s="577">
        <f t="shared" si="170"/>
        <v>0</v>
      </c>
      <c r="F231" s="577">
        <f t="shared" si="183"/>
        <v>0</v>
      </c>
      <c r="G231" s="914"/>
      <c r="I231" s="584"/>
      <c r="J231" s="585">
        <f t="shared" si="184"/>
        <v>0</v>
      </c>
      <c r="K231" s="537"/>
      <c r="L231" s="445">
        <f t="shared" si="185"/>
        <v>0</v>
      </c>
      <c r="M231" s="542"/>
      <c r="N231" s="445">
        <f t="shared" si="186"/>
        <v>0</v>
      </c>
      <c r="O231" s="542"/>
      <c r="P231" s="445">
        <f t="shared" si="187"/>
        <v>0</v>
      </c>
      <c r="Q231" s="542"/>
      <c r="R231" s="445">
        <f t="shared" si="188"/>
        <v>0</v>
      </c>
      <c r="S231" s="542"/>
      <c r="T231" s="445">
        <f t="shared" si="189"/>
        <v>0</v>
      </c>
      <c r="V231" s="581"/>
      <c r="W231" s="582">
        <f t="shared" si="190"/>
        <v>0</v>
      </c>
      <c r="X231" s="581"/>
      <c r="Y231" s="582">
        <f t="shared" si="191"/>
        <v>0</v>
      </c>
      <c r="Z231" s="581"/>
      <c r="AA231" s="582">
        <f t="shared" si="192"/>
        <v>0</v>
      </c>
      <c r="AB231" s="581"/>
      <c r="AC231" s="582">
        <f t="shared" si="193"/>
        <v>0</v>
      </c>
      <c r="AE231" s="769">
        <f t="shared" si="168"/>
        <v>0</v>
      </c>
    </row>
    <row r="232" spans="1:31" ht="15" hidden="1" customHeight="1" x14ac:dyDescent="0.2">
      <c r="A232" s="611" t="s">
        <v>963</v>
      </c>
      <c r="B232" s="601" t="s">
        <v>964</v>
      </c>
      <c r="C232" s="611" t="s">
        <v>114</v>
      </c>
      <c r="D232" s="576">
        <f t="shared" si="182"/>
        <v>0</v>
      </c>
      <c r="E232" s="577">
        <f t="shared" si="170"/>
        <v>0</v>
      </c>
      <c r="F232" s="577">
        <f t="shared" si="183"/>
        <v>0</v>
      </c>
      <c r="G232" s="914"/>
      <c r="I232" s="584"/>
      <c r="J232" s="585">
        <f t="shared" si="184"/>
        <v>0</v>
      </c>
      <c r="K232" s="537"/>
      <c r="L232" s="445">
        <f t="shared" si="185"/>
        <v>0</v>
      </c>
      <c r="M232" s="542"/>
      <c r="N232" s="445">
        <f t="shared" si="186"/>
        <v>0</v>
      </c>
      <c r="O232" s="542"/>
      <c r="P232" s="445">
        <f t="shared" si="187"/>
        <v>0</v>
      </c>
      <c r="Q232" s="542"/>
      <c r="R232" s="445">
        <f t="shared" si="188"/>
        <v>0</v>
      </c>
      <c r="S232" s="542"/>
      <c r="T232" s="445">
        <f t="shared" si="189"/>
        <v>0</v>
      </c>
      <c r="V232" s="581"/>
      <c r="W232" s="582">
        <f t="shared" si="190"/>
        <v>0</v>
      </c>
      <c r="X232" s="581"/>
      <c r="Y232" s="582">
        <f t="shared" si="191"/>
        <v>0</v>
      </c>
      <c r="Z232" s="581"/>
      <c r="AA232" s="582">
        <f t="shared" si="192"/>
        <v>0</v>
      </c>
      <c r="AB232" s="581"/>
      <c r="AC232" s="582">
        <f t="shared" si="193"/>
        <v>0</v>
      </c>
      <c r="AE232" s="769">
        <f t="shared" si="168"/>
        <v>0</v>
      </c>
    </row>
    <row r="233" spans="1:31" ht="15" hidden="1" customHeight="1" x14ac:dyDescent="0.2">
      <c r="A233" s="611" t="s">
        <v>965</v>
      </c>
      <c r="B233" s="601" t="s">
        <v>966</v>
      </c>
      <c r="C233" s="611" t="s">
        <v>130</v>
      </c>
      <c r="D233" s="576">
        <f t="shared" si="182"/>
        <v>0</v>
      </c>
      <c r="E233" s="577" t="e">
        <f t="shared" si="170"/>
        <v>#REF!</v>
      </c>
      <c r="F233" s="577" t="e">
        <f t="shared" si="183"/>
        <v>#REF!</v>
      </c>
      <c r="G233" s="914"/>
      <c r="I233" s="597"/>
      <c r="J233" s="598"/>
      <c r="K233" s="537"/>
      <c r="L233" s="445" t="e">
        <f t="shared" si="185"/>
        <v>#REF!</v>
      </c>
      <c r="M233" s="542"/>
      <c r="N233" s="445" t="e">
        <f t="shared" si="186"/>
        <v>#REF!</v>
      </c>
      <c r="O233" s="542"/>
      <c r="P233" s="445" t="e">
        <f t="shared" si="187"/>
        <v>#REF!</v>
      </c>
      <c r="Q233" s="542"/>
      <c r="R233" s="445" t="e">
        <f t="shared" si="188"/>
        <v>#REF!</v>
      </c>
      <c r="S233" s="542"/>
      <c r="T233" s="445" t="e">
        <f t="shared" si="189"/>
        <v>#REF!</v>
      </c>
      <c r="V233" s="581" t="e">
        <f>+'6,2,8 Alfajias 2'!I19</f>
        <v>#REF!</v>
      </c>
      <c r="W233" s="582" t="e">
        <f t="shared" si="190"/>
        <v>#REF!</v>
      </c>
      <c r="X233" s="581">
        <f>+'6,2,8 Alfajias 2'!I50</f>
        <v>18814.23</v>
      </c>
      <c r="Y233" s="582">
        <f t="shared" si="191"/>
        <v>0</v>
      </c>
      <c r="Z233" s="581">
        <f>+'6,2,8 Alfajias 2'!I30</f>
        <v>839.17</v>
      </c>
      <c r="AA233" s="582">
        <f t="shared" si="192"/>
        <v>0</v>
      </c>
      <c r="AB233" s="581">
        <f>+'6,2,8 Alfajias 2'!I41</f>
        <v>0</v>
      </c>
      <c r="AC233" s="582">
        <f t="shared" si="193"/>
        <v>0</v>
      </c>
      <c r="AE233" s="769" t="e">
        <f t="shared" si="168"/>
        <v>#REF!</v>
      </c>
    </row>
    <row r="234" spans="1:31" ht="15.75" hidden="1" customHeight="1" x14ac:dyDescent="0.2">
      <c r="A234" s="572" t="s">
        <v>967</v>
      </c>
      <c r="B234" s="573" t="s">
        <v>968</v>
      </c>
      <c r="C234" s="846"/>
      <c r="D234" s="576"/>
      <c r="E234" s="577"/>
      <c r="F234" s="180">
        <f>+ROUND(SUM(F235:F241),10)</f>
        <v>0</v>
      </c>
      <c r="G234" s="472"/>
      <c r="I234" s="613"/>
      <c r="J234" s="440">
        <f>ROUND(SUM(J235:J241),10)</f>
        <v>0</v>
      </c>
      <c r="K234" s="537"/>
      <c r="L234" s="180">
        <f>ROUND(SUM(L235:L241),10)</f>
        <v>0</v>
      </c>
      <c r="M234" s="542"/>
      <c r="N234" s="180">
        <f>ROUND(SUM(N235:N241),10)</f>
        <v>0</v>
      </c>
      <c r="O234" s="542"/>
      <c r="P234" s="180">
        <f>ROUND(SUM(P235:P241),10)</f>
        <v>0</v>
      </c>
      <c r="Q234" s="542"/>
      <c r="R234" s="180">
        <f>ROUND(SUM(R235:R241),10)</f>
        <v>0</v>
      </c>
      <c r="S234" s="542"/>
      <c r="T234" s="180">
        <f>ROUND(SUM(T235:T241),10)</f>
        <v>0</v>
      </c>
      <c r="V234" s="645"/>
      <c r="W234" s="570">
        <f>ROUND(SUM(W235:W241),10)</f>
        <v>0</v>
      </c>
      <c r="X234" s="645"/>
      <c r="Y234" s="570">
        <f>ROUND(SUM(Y235:Y241),10)</f>
        <v>0</v>
      </c>
      <c r="Z234" s="645"/>
      <c r="AA234" s="570">
        <f>ROUND(SUM(AA235:AA241),10)</f>
        <v>0</v>
      </c>
      <c r="AB234" s="645"/>
      <c r="AC234" s="570">
        <f>ROUND(SUM(AC235:AC241),10)</f>
        <v>0</v>
      </c>
      <c r="AE234" s="769">
        <f t="shared" si="168"/>
        <v>0</v>
      </c>
    </row>
    <row r="235" spans="1:31" ht="15" hidden="1" customHeight="1" x14ac:dyDescent="0.2">
      <c r="A235" s="611" t="s">
        <v>969</v>
      </c>
      <c r="B235" s="601" t="s">
        <v>970</v>
      </c>
      <c r="C235" s="611" t="s">
        <v>130</v>
      </c>
      <c r="D235" s="576">
        <f t="shared" ref="D235:D241" si="194">+I235+K235+M235+O235+Q235+S235</f>
        <v>0</v>
      </c>
      <c r="E235" s="577">
        <f t="shared" si="170"/>
        <v>0</v>
      </c>
      <c r="F235" s="577">
        <f t="shared" ref="F235:F241" si="195">ROUND(D235*E235,10)</f>
        <v>0</v>
      </c>
      <c r="G235" s="914"/>
      <c r="I235" s="594"/>
      <c r="J235" s="580">
        <f t="shared" ref="J235:J241" si="196">+ROUND(E235*I235,10)</f>
        <v>0</v>
      </c>
      <c r="K235" s="537"/>
      <c r="L235" s="445">
        <f t="shared" ref="L235:L241" si="197">+ROUND(E235*K235,10)</f>
        <v>0</v>
      </c>
      <c r="M235" s="542"/>
      <c r="N235" s="445">
        <f t="shared" ref="N235:N241" si="198">+ROUND(E235*M235,10)</f>
        <v>0</v>
      </c>
      <c r="O235" s="542"/>
      <c r="P235" s="445">
        <f t="shared" ref="P235:P241" si="199">+ROUND(E235*O235,10)</f>
        <v>0</v>
      </c>
      <c r="Q235" s="542"/>
      <c r="R235" s="445">
        <f t="shared" ref="R235:R241" si="200">+ROUND(E235*Q235,10)</f>
        <v>0</v>
      </c>
      <c r="S235" s="542"/>
      <c r="T235" s="445">
        <f t="shared" ref="T235:T241" si="201">+ROUND(E235*S235,10)</f>
        <v>0</v>
      </c>
      <c r="V235" s="645"/>
      <c r="W235" s="582">
        <f t="shared" ref="W235:W241" si="202">ROUND(V235*$D235,10)</f>
        <v>0</v>
      </c>
      <c r="X235" s="645"/>
      <c r="Y235" s="582">
        <f t="shared" ref="Y235:Y241" si="203">ROUND(X235*$D235,10)</f>
        <v>0</v>
      </c>
      <c r="Z235" s="645"/>
      <c r="AA235" s="582">
        <f t="shared" ref="AA235:AA241" si="204">ROUND(Z235*$D235,10)</f>
        <v>0</v>
      </c>
      <c r="AB235" s="645"/>
      <c r="AC235" s="582">
        <f t="shared" ref="AC235:AC241" si="205">ROUND(AB235*$D235,10)</f>
        <v>0</v>
      </c>
      <c r="AE235" s="769">
        <f t="shared" si="168"/>
        <v>0</v>
      </c>
    </row>
    <row r="236" spans="1:31" ht="15" hidden="1" customHeight="1" x14ac:dyDescent="0.2">
      <c r="A236" s="611" t="s">
        <v>971</v>
      </c>
      <c r="B236" s="601" t="s">
        <v>972</v>
      </c>
      <c r="C236" s="611" t="s">
        <v>130</v>
      </c>
      <c r="D236" s="576">
        <f t="shared" si="194"/>
        <v>0</v>
      </c>
      <c r="E236" s="577">
        <f t="shared" si="170"/>
        <v>0</v>
      </c>
      <c r="F236" s="577">
        <f t="shared" si="195"/>
        <v>0</v>
      </c>
      <c r="G236" s="914"/>
      <c r="I236" s="584"/>
      <c r="J236" s="585">
        <f t="shared" si="196"/>
        <v>0</v>
      </c>
      <c r="K236" s="537"/>
      <c r="L236" s="445">
        <f t="shared" si="197"/>
        <v>0</v>
      </c>
      <c r="M236" s="542"/>
      <c r="N236" s="445">
        <f t="shared" si="198"/>
        <v>0</v>
      </c>
      <c r="O236" s="542"/>
      <c r="P236" s="445">
        <f t="shared" si="199"/>
        <v>0</v>
      </c>
      <c r="Q236" s="542"/>
      <c r="R236" s="445">
        <f t="shared" si="200"/>
        <v>0</v>
      </c>
      <c r="S236" s="542"/>
      <c r="T236" s="445">
        <f t="shared" si="201"/>
        <v>0</v>
      </c>
      <c r="V236" s="645"/>
      <c r="W236" s="582">
        <f t="shared" si="202"/>
        <v>0</v>
      </c>
      <c r="X236" s="645"/>
      <c r="Y236" s="582">
        <f t="shared" si="203"/>
        <v>0</v>
      </c>
      <c r="Z236" s="645"/>
      <c r="AA236" s="582">
        <f t="shared" si="204"/>
        <v>0</v>
      </c>
      <c r="AB236" s="645"/>
      <c r="AC236" s="582">
        <f t="shared" si="205"/>
        <v>0</v>
      </c>
      <c r="AE236" s="769">
        <f t="shared" si="168"/>
        <v>0</v>
      </c>
    </row>
    <row r="237" spans="1:31" ht="15" hidden="1" customHeight="1" x14ac:dyDescent="0.2">
      <c r="A237" s="611" t="s">
        <v>973</v>
      </c>
      <c r="B237" s="601" t="s">
        <v>974</v>
      </c>
      <c r="C237" s="792" t="s">
        <v>114</v>
      </c>
      <c r="D237" s="576">
        <f t="shared" si="194"/>
        <v>0</v>
      </c>
      <c r="E237" s="577">
        <f t="shared" si="170"/>
        <v>0</v>
      </c>
      <c r="F237" s="577">
        <f t="shared" si="195"/>
        <v>0</v>
      </c>
      <c r="G237" s="918"/>
      <c r="I237" s="584"/>
      <c r="J237" s="585">
        <f t="shared" si="196"/>
        <v>0</v>
      </c>
      <c r="K237" s="537"/>
      <c r="L237" s="445">
        <f t="shared" si="197"/>
        <v>0</v>
      </c>
      <c r="M237" s="542"/>
      <c r="N237" s="445">
        <f t="shared" si="198"/>
        <v>0</v>
      </c>
      <c r="O237" s="542"/>
      <c r="P237" s="445">
        <f t="shared" si="199"/>
        <v>0</v>
      </c>
      <c r="Q237" s="542"/>
      <c r="R237" s="445">
        <f t="shared" si="200"/>
        <v>0</v>
      </c>
      <c r="S237" s="542"/>
      <c r="T237" s="445">
        <f t="shared" si="201"/>
        <v>0</v>
      </c>
      <c r="V237" s="645"/>
      <c r="W237" s="582">
        <f t="shared" si="202"/>
        <v>0</v>
      </c>
      <c r="X237" s="645"/>
      <c r="Y237" s="582">
        <f t="shared" si="203"/>
        <v>0</v>
      </c>
      <c r="Z237" s="645"/>
      <c r="AA237" s="582">
        <f t="shared" si="204"/>
        <v>0</v>
      </c>
      <c r="AB237" s="645"/>
      <c r="AC237" s="582">
        <f t="shared" si="205"/>
        <v>0</v>
      </c>
      <c r="AE237" s="769">
        <f t="shared" si="168"/>
        <v>0</v>
      </c>
    </row>
    <row r="238" spans="1:31" ht="15" hidden="1" customHeight="1" x14ac:dyDescent="0.2">
      <c r="A238" s="611" t="s">
        <v>975</v>
      </c>
      <c r="B238" s="601" t="s">
        <v>976</v>
      </c>
      <c r="C238" s="611" t="s">
        <v>114</v>
      </c>
      <c r="D238" s="576">
        <f t="shared" si="194"/>
        <v>0</v>
      </c>
      <c r="E238" s="577">
        <f t="shared" si="170"/>
        <v>0</v>
      </c>
      <c r="F238" s="577">
        <f t="shared" si="195"/>
        <v>0</v>
      </c>
      <c r="G238" s="914"/>
      <c r="I238" s="584"/>
      <c r="J238" s="585">
        <f t="shared" si="196"/>
        <v>0</v>
      </c>
      <c r="K238" s="537"/>
      <c r="L238" s="445">
        <f t="shared" si="197"/>
        <v>0</v>
      </c>
      <c r="M238" s="542"/>
      <c r="N238" s="445">
        <f t="shared" si="198"/>
        <v>0</v>
      </c>
      <c r="O238" s="542"/>
      <c r="P238" s="445">
        <f t="shared" si="199"/>
        <v>0</v>
      </c>
      <c r="Q238" s="542"/>
      <c r="R238" s="445">
        <f t="shared" si="200"/>
        <v>0</v>
      </c>
      <c r="S238" s="542"/>
      <c r="T238" s="445">
        <f t="shared" si="201"/>
        <v>0</v>
      </c>
      <c r="V238" s="645"/>
      <c r="W238" s="582">
        <f t="shared" si="202"/>
        <v>0</v>
      </c>
      <c r="X238" s="645"/>
      <c r="Y238" s="582">
        <f t="shared" si="203"/>
        <v>0</v>
      </c>
      <c r="Z238" s="645"/>
      <c r="AA238" s="582">
        <f t="shared" si="204"/>
        <v>0</v>
      </c>
      <c r="AB238" s="645"/>
      <c r="AC238" s="582">
        <f t="shared" si="205"/>
        <v>0</v>
      </c>
      <c r="AE238" s="769">
        <f t="shared" si="168"/>
        <v>0</v>
      </c>
    </row>
    <row r="239" spans="1:31" ht="15" hidden="1" customHeight="1" x14ac:dyDescent="0.2">
      <c r="A239" s="611" t="s">
        <v>977</v>
      </c>
      <c r="B239" s="601" t="s">
        <v>978</v>
      </c>
      <c r="C239" s="611" t="s">
        <v>114</v>
      </c>
      <c r="D239" s="576">
        <f t="shared" si="194"/>
        <v>0</v>
      </c>
      <c r="E239" s="577">
        <f t="shared" si="170"/>
        <v>0</v>
      </c>
      <c r="F239" s="577">
        <f t="shared" si="195"/>
        <v>0</v>
      </c>
      <c r="G239" s="914"/>
      <c r="I239" s="584"/>
      <c r="J239" s="585">
        <f t="shared" si="196"/>
        <v>0</v>
      </c>
      <c r="K239" s="537"/>
      <c r="L239" s="445">
        <f t="shared" si="197"/>
        <v>0</v>
      </c>
      <c r="M239" s="542"/>
      <c r="N239" s="445">
        <f t="shared" si="198"/>
        <v>0</v>
      </c>
      <c r="O239" s="542"/>
      <c r="P239" s="445">
        <f t="shared" si="199"/>
        <v>0</v>
      </c>
      <c r="Q239" s="542"/>
      <c r="R239" s="445">
        <f t="shared" si="200"/>
        <v>0</v>
      </c>
      <c r="S239" s="542"/>
      <c r="T239" s="445">
        <f t="shared" si="201"/>
        <v>0</v>
      </c>
      <c r="V239" s="645"/>
      <c r="W239" s="582">
        <f t="shared" si="202"/>
        <v>0</v>
      </c>
      <c r="X239" s="645"/>
      <c r="Y239" s="582">
        <f t="shared" si="203"/>
        <v>0</v>
      </c>
      <c r="Z239" s="645"/>
      <c r="AA239" s="582">
        <f t="shared" si="204"/>
        <v>0</v>
      </c>
      <c r="AB239" s="645"/>
      <c r="AC239" s="582">
        <f t="shared" si="205"/>
        <v>0</v>
      </c>
      <c r="AE239" s="769">
        <f t="shared" si="168"/>
        <v>0</v>
      </c>
    </row>
    <row r="240" spans="1:31" ht="15" hidden="1" customHeight="1" x14ac:dyDescent="0.2">
      <c r="A240" s="611" t="s">
        <v>979</v>
      </c>
      <c r="B240" s="601" t="s">
        <v>980</v>
      </c>
      <c r="C240" s="611" t="s">
        <v>114</v>
      </c>
      <c r="D240" s="576">
        <f t="shared" si="194"/>
        <v>0</v>
      </c>
      <c r="E240" s="577">
        <f t="shared" si="170"/>
        <v>0</v>
      </c>
      <c r="F240" s="577">
        <f t="shared" si="195"/>
        <v>0</v>
      </c>
      <c r="G240" s="914"/>
      <c r="I240" s="584"/>
      <c r="J240" s="585">
        <f t="shared" si="196"/>
        <v>0</v>
      </c>
      <c r="K240" s="537"/>
      <c r="L240" s="445">
        <f t="shared" si="197"/>
        <v>0</v>
      </c>
      <c r="M240" s="542"/>
      <c r="N240" s="445">
        <f t="shared" si="198"/>
        <v>0</v>
      </c>
      <c r="O240" s="542"/>
      <c r="P240" s="445">
        <f t="shared" si="199"/>
        <v>0</v>
      </c>
      <c r="Q240" s="542"/>
      <c r="R240" s="445">
        <f t="shared" si="200"/>
        <v>0</v>
      </c>
      <c r="S240" s="542"/>
      <c r="T240" s="445">
        <f t="shared" si="201"/>
        <v>0</v>
      </c>
      <c r="V240" s="645"/>
      <c r="W240" s="582">
        <f t="shared" si="202"/>
        <v>0</v>
      </c>
      <c r="X240" s="645"/>
      <c r="Y240" s="582">
        <f t="shared" si="203"/>
        <v>0</v>
      </c>
      <c r="Z240" s="645"/>
      <c r="AA240" s="582">
        <f t="shared" si="204"/>
        <v>0</v>
      </c>
      <c r="AB240" s="645"/>
      <c r="AC240" s="582">
        <f t="shared" si="205"/>
        <v>0</v>
      </c>
      <c r="AE240" s="769">
        <f t="shared" si="168"/>
        <v>0</v>
      </c>
    </row>
    <row r="241" spans="1:31" ht="15" hidden="1" customHeight="1" x14ac:dyDescent="0.2">
      <c r="A241" s="611" t="s">
        <v>981</v>
      </c>
      <c r="B241" s="601" t="s">
        <v>982</v>
      </c>
      <c r="C241" s="611" t="s">
        <v>114</v>
      </c>
      <c r="D241" s="576">
        <f t="shared" si="194"/>
        <v>0</v>
      </c>
      <c r="E241" s="577">
        <f t="shared" si="170"/>
        <v>0</v>
      </c>
      <c r="F241" s="577">
        <f t="shared" si="195"/>
        <v>0</v>
      </c>
      <c r="G241" s="914"/>
      <c r="I241" s="584"/>
      <c r="J241" s="585">
        <f t="shared" si="196"/>
        <v>0</v>
      </c>
      <c r="K241" s="537"/>
      <c r="L241" s="445">
        <f t="shared" si="197"/>
        <v>0</v>
      </c>
      <c r="M241" s="542"/>
      <c r="N241" s="445">
        <f t="shared" si="198"/>
        <v>0</v>
      </c>
      <c r="O241" s="542"/>
      <c r="P241" s="445">
        <f t="shared" si="199"/>
        <v>0</v>
      </c>
      <c r="Q241" s="542"/>
      <c r="R241" s="445">
        <f t="shared" si="200"/>
        <v>0</v>
      </c>
      <c r="S241" s="542"/>
      <c r="T241" s="445">
        <f t="shared" si="201"/>
        <v>0</v>
      </c>
      <c r="V241" s="645"/>
      <c r="W241" s="582">
        <f t="shared" si="202"/>
        <v>0</v>
      </c>
      <c r="X241" s="645"/>
      <c r="Y241" s="582">
        <f t="shared" si="203"/>
        <v>0</v>
      </c>
      <c r="Z241" s="645"/>
      <c r="AA241" s="582">
        <f t="shared" si="204"/>
        <v>0</v>
      </c>
      <c r="AB241" s="645"/>
      <c r="AC241" s="582">
        <f t="shared" si="205"/>
        <v>0</v>
      </c>
      <c r="AE241" s="769">
        <f t="shared" si="168"/>
        <v>0</v>
      </c>
    </row>
    <row r="242" spans="1:31" ht="6.75" customHeight="1" thickBot="1" x14ac:dyDescent="0.25">
      <c r="A242" s="604"/>
      <c r="B242" s="604"/>
      <c r="C242" s="604"/>
      <c r="D242" s="604"/>
      <c r="E242" s="604"/>
      <c r="F242" s="604"/>
      <c r="G242" s="604"/>
      <c r="H242" s="604"/>
      <c r="I242" s="604"/>
      <c r="J242" s="604"/>
      <c r="K242" s="605"/>
      <c r="L242" s="604"/>
      <c r="M242" s="606"/>
      <c r="N242" s="604"/>
      <c r="O242" s="606"/>
      <c r="P242" s="604"/>
      <c r="Q242" s="606"/>
      <c r="R242" s="604"/>
      <c r="S242" s="606"/>
      <c r="T242" s="604"/>
      <c r="U242" s="604"/>
      <c r="V242" s="606"/>
      <c r="W242" s="604"/>
      <c r="X242" s="606"/>
      <c r="Y242" s="604"/>
      <c r="Z242" s="606"/>
      <c r="AA242" s="604"/>
      <c r="AB242" s="606"/>
      <c r="AC242" s="604"/>
      <c r="AE242" s="769"/>
    </row>
    <row r="243" spans="1:31" ht="30" customHeight="1" thickTop="1" thickBot="1" x14ac:dyDescent="0.25">
      <c r="A243" s="564">
        <v>7</v>
      </c>
      <c r="B243" s="1068" t="s">
        <v>983</v>
      </c>
      <c r="C243" s="1069"/>
      <c r="D243" s="1069"/>
      <c r="E243" s="1069"/>
      <c r="F243" s="1070"/>
      <c r="G243" s="180" t="e">
        <f>+ROUND(F245+F252+F257+F265+F273+F282+F294+F302+F316+F328+F335+F341+F351+F352+F353+F354+F358+F370,10)</f>
        <v>#REF!</v>
      </c>
      <c r="H243" s="568"/>
      <c r="I243" s="616"/>
      <c r="J243" s="439" t="e">
        <f>+ROUND(J245+J252+J257+J265+J273+J282+J294+J302+J316+J328+J335+J341+J351+J352+J353+J354+J358+J370,10)</f>
        <v>#REF!</v>
      </c>
      <c r="K243" s="617"/>
      <c r="L243" s="180" t="e">
        <f>+ROUND(L245+L252+L257+L265+L273+L282+L294+L302+L316+L328+L335+L341+L351+L352+L353+L354+L358+L370,10)</f>
        <v>#REF!</v>
      </c>
      <c r="M243" s="180"/>
      <c r="N243" s="180" t="e">
        <f>+ROUND(N245+N252+N257+N265+N273+N282+N294+N302+N316+N328+N335+N341+N351+N352+N353+N354+N358+N370,10)</f>
        <v>#REF!</v>
      </c>
      <c r="O243" s="180"/>
      <c r="P243" s="180" t="e">
        <f>+ROUND(P245+P252+P257+P265+P273+P282+P294+P302+P316+P328+P335+P341+P351+P352+P353+P354+P358+P370,10)</f>
        <v>#REF!</v>
      </c>
      <c r="Q243" s="180"/>
      <c r="R243" s="180" t="e">
        <f>+ROUND(R245+R252+R257+R265+R273+R282+R294+R302+R316+R328+R335+R341+R351+R352+R353+R354+R358+R370,10)</f>
        <v>#REF!</v>
      </c>
      <c r="S243" s="180"/>
      <c r="T243" s="180" t="e">
        <f>+ROUND(T245+T252+T257+T265+T273+T282+T294+T302+T316+T328+T335+T341+T351+T352+T353+T354+T358+T370,10)</f>
        <v>#REF!</v>
      </c>
      <c r="U243" s="568"/>
      <c r="V243" s="569" t="e">
        <f>W243/$G243</f>
        <v>#REF!</v>
      </c>
      <c r="W243" s="570" t="e">
        <f>ROUND(W245+W252+W257+W265+W273+W282+W294+W302+W316+W328+W335+W341+W351+W352+W353+W354+W358+W370,10)</f>
        <v>#REF!</v>
      </c>
      <c r="X243" s="569" t="e">
        <f>Y243/$G$243</f>
        <v>#REF!</v>
      </c>
      <c r="Y243" s="570" t="e">
        <f>ROUND(Y245+Y252+Y257+Y265+Y273+Y282+Y294+Y302+Y316+Y328+Y335+Y341+Y351+Y352+Y353+Y354+Y358+Y370,10)</f>
        <v>#REF!</v>
      </c>
      <c r="Z243" s="569" t="e">
        <f>AA243/$G$243</f>
        <v>#REF!</v>
      </c>
      <c r="AA243" s="570" t="e">
        <f>ROUND(AA245+AA252+AA257+AA265+AA273+AA282+AA294+AA302+AA316+AA328+AA335+AA341+AA351+AA352+AA353+AA354+AA358+AA370,10)</f>
        <v>#REF!</v>
      </c>
      <c r="AB243" s="569" t="e">
        <f>AC243/$G$243</f>
        <v>#REF!</v>
      </c>
      <c r="AC243" s="570" t="e">
        <f>ROUND(AC245+AC252+AC257+AC265+AC273+AC282+AC294+AC302+AC316+AC328+AC335+AC341+AC351+AC352+AC353+AC354+AC358+AC370,10)</f>
        <v>#REF!</v>
      </c>
      <c r="AE243" s="769" t="e">
        <f t="shared" si="168"/>
        <v>#REF!</v>
      </c>
    </row>
    <row r="244" spans="1:31" s="568" customFormat="1" ht="16.5" thickTop="1" x14ac:dyDescent="0.2">
      <c r="A244" s="572">
        <v>7.1</v>
      </c>
      <c r="B244" s="573" t="s">
        <v>984</v>
      </c>
      <c r="C244" s="846"/>
      <c r="D244" s="576"/>
      <c r="E244" s="180"/>
      <c r="F244" s="180"/>
      <c r="G244" s="473"/>
      <c r="I244" s="618"/>
      <c r="J244" s="647"/>
      <c r="K244" s="619"/>
      <c r="L244" s="180"/>
      <c r="M244" s="473"/>
      <c r="N244" s="180"/>
      <c r="O244" s="473"/>
      <c r="P244" s="180"/>
      <c r="Q244" s="473"/>
      <c r="R244" s="180"/>
      <c r="S244" s="473"/>
      <c r="T244" s="180"/>
      <c r="V244" s="575"/>
      <c r="W244" s="570"/>
      <c r="X244" s="575"/>
      <c r="Y244" s="570"/>
      <c r="Z244" s="575"/>
      <c r="AA244" s="570"/>
      <c r="AB244" s="575"/>
      <c r="AC244" s="570"/>
      <c r="AE244" s="769">
        <f t="shared" si="168"/>
        <v>0</v>
      </c>
    </row>
    <row r="245" spans="1:31" ht="15" customHeight="1" x14ac:dyDescent="0.2">
      <c r="A245" s="572" t="s">
        <v>985</v>
      </c>
      <c r="B245" s="573" t="s">
        <v>986</v>
      </c>
      <c r="C245" s="611"/>
      <c r="D245" s="576"/>
      <c r="E245" s="577"/>
      <c r="F245" s="626" t="e">
        <f>+ROUND(SUM(F246:F251),10)</f>
        <v>#REF!</v>
      </c>
      <c r="G245" s="578"/>
      <c r="I245" s="633"/>
      <c r="J245" s="441" t="e">
        <f>ROUND(SUM(J246:J251),10)</f>
        <v>#REF!</v>
      </c>
      <c r="K245" s="538"/>
      <c r="L245" s="180" t="e">
        <f>ROUND(SUM(L246:L251),10)</f>
        <v>#REF!</v>
      </c>
      <c r="M245" s="542"/>
      <c r="N245" s="180" t="e">
        <f>ROUND(SUM(N246:N251),10)</f>
        <v>#REF!</v>
      </c>
      <c r="O245" s="542"/>
      <c r="P245" s="180" t="e">
        <f>ROUND(SUM(P246:P251),10)</f>
        <v>#REF!</v>
      </c>
      <c r="Q245" s="542"/>
      <c r="R245" s="180" t="e">
        <f>ROUND(SUM(R246:R251),10)</f>
        <v>#REF!</v>
      </c>
      <c r="S245" s="542"/>
      <c r="T245" s="180" t="e">
        <f>ROUND(SUM(T246:T251),10)</f>
        <v>#REF!</v>
      </c>
      <c r="V245" s="581"/>
      <c r="W245" s="570" t="e">
        <f>ROUND(SUM(W246:W251),10)</f>
        <v>#REF!</v>
      </c>
      <c r="X245" s="581"/>
      <c r="Y245" s="570" t="e">
        <f>ROUND(SUM(Y246:Y251),10)</f>
        <v>#REF!</v>
      </c>
      <c r="Z245" s="581"/>
      <c r="AA245" s="570" t="e">
        <f>ROUND(SUM(AA246:AA251),10)</f>
        <v>#REF!</v>
      </c>
      <c r="AB245" s="581"/>
      <c r="AC245" s="570" t="e">
        <f>ROUND(SUM(AC246:AC251),10)</f>
        <v>#REF!</v>
      </c>
      <c r="AE245" s="769" t="e">
        <f t="shared" si="168"/>
        <v>#REF!</v>
      </c>
    </row>
    <row r="246" spans="1:31" ht="15" hidden="1" customHeight="1" x14ac:dyDescent="0.2">
      <c r="A246" s="611" t="s">
        <v>987</v>
      </c>
      <c r="B246" s="610" t="s">
        <v>988</v>
      </c>
      <c r="C246" s="611" t="s">
        <v>114</v>
      </c>
      <c r="D246" s="576">
        <f t="shared" ref="D246:D251" si="206">+I246+K246+M246+O246+Q246+S246</f>
        <v>0</v>
      </c>
      <c r="E246" s="577" t="e">
        <f t="shared" ref="E246:E309" si="207">V246+X246+Z246+AB246</f>
        <v>#REF!</v>
      </c>
      <c r="F246" s="577" t="e">
        <f t="shared" ref="F246:F251" si="208">ROUND(D246*E246,10)</f>
        <v>#REF!</v>
      </c>
      <c r="G246" s="578"/>
      <c r="I246" s="594"/>
      <c r="J246" s="580" t="e">
        <f>+ROUND(E246*I246,10)</f>
        <v>#REF!</v>
      </c>
      <c r="K246" s="537"/>
      <c r="L246" s="445" t="e">
        <f t="shared" ref="L246:L251" si="209">+ROUND(E246*K246,10)</f>
        <v>#REF!</v>
      </c>
      <c r="M246" s="542"/>
      <c r="N246" s="445" t="e">
        <f t="shared" ref="N246:N251" si="210">+ROUND(E246*M246,10)</f>
        <v>#REF!</v>
      </c>
      <c r="O246" s="542"/>
      <c r="P246" s="445" t="e">
        <f t="shared" ref="P246:P251" si="211">+ROUND(E246*O246,10)</f>
        <v>#REF!</v>
      </c>
      <c r="Q246" s="542"/>
      <c r="R246" s="445" t="e">
        <f t="shared" ref="R246:R251" si="212">+ROUND(E246*Q246,10)</f>
        <v>#REF!</v>
      </c>
      <c r="S246" s="542"/>
      <c r="T246" s="445" t="e">
        <f t="shared" ref="T246:T251" si="213">+ROUND(E246*S246,10)</f>
        <v>#REF!</v>
      </c>
      <c r="V246" s="581" t="e">
        <f>+'7,1,1,1 Acometida PVC-P 2"'!I20</f>
        <v>#REF!</v>
      </c>
      <c r="W246" s="582" t="e">
        <f t="shared" ref="W246:W251" si="214">ROUND(V246*$D246,10)</f>
        <v>#REF!</v>
      </c>
      <c r="X246" s="581">
        <f>+'7,1,1,1 Acometida PVC-P 2"'!I51</f>
        <v>16105.37</v>
      </c>
      <c r="Y246" s="582">
        <f t="shared" ref="Y246:Y251" si="215">ROUND(X246*$D246,10)</f>
        <v>0</v>
      </c>
      <c r="Z246" s="581">
        <f>+'7,1,1,1 Acometida PVC-P 2"'!I31</f>
        <v>927.5</v>
      </c>
      <c r="AA246" s="582">
        <f t="shared" ref="AA246:AA251" si="216">ROUND(Z246*$D246,10)</f>
        <v>0</v>
      </c>
      <c r="AB246" s="581">
        <f>+'7,1,1,1 Acometida PVC-P 2"'!I42</f>
        <v>0</v>
      </c>
      <c r="AC246" s="582">
        <f t="shared" ref="AC246:AC251" si="217">ROUND(AB246*$D246,10)</f>
        <v>0</v>
      </c>
      <c r="AE246" s="769" t="e">
        <f t="shared" si="168"/>
        <v>#REF!</v>
      </c>
    </row>
    <row r="247" spans="1:31" ht="15" hidden="1" customHeight="1" x14ac:dyDescent="0.2">
      <c r="A247" s="611" t="s">
        <v>989</v>
      </c>
      <c r="B247" s="601" t="s">
        <v>990</v>
      </c>
      <c r="C247" s="611" t="s">
        <v>111</v>
      </c>
      <c r="D247" s="576">
        <f t="shared" si="206"/>
        <v>0</v>
      </c>
      <c r="E247" s="577" t="e">
        <f t="shared" si="207"/>
        <v>#REF!</v>
      </c>
      <c r="F247" s="577" t="e">
        <f t="shared" si="208"/>
        <v>#REF!</v>
      </c>
      <c r="G247" s="578"/>
      <c r="I247" s="584"/>
      <c r="J247" s="585" t="e">
        <f>+ROUND(E247*I247,10)</f>
        <v>#REF!</v>
      </c>
      <c r="K247" s="537"/>
      <c r="L247" s="445" t="e">
        <f t="shared" si="209"/>
        <v>#REF!</v>
      </c>
      <c r="M247" s="542"/>
      <c r="N247" s="445" t="e">
        <f t="shared" si="210"/>
        <v>#REF!</v>
      </c>
      <c r="O247" s="542"/>
      <c r="P247" s="445" t="e">
        <f t="shared" si="211"/>
        <v>#REF!</v>
      </c>
      <c r="Q247" s="542"/>
      <c r="R247" s="445" t="e">
        <f t="shared" si="212"/>
        <v>#REF!</v>
      </c>
      <c r="S247" s="542"/>
      <c r="T247" s="445" t="e">
        <f t="shared" si="213"/>
        <v>#REF!</v>
      </c>
      <c r="V247" s="581" t="e">
        <f>+'7,1,1,2 Accesorio PVC-P 2" '!I20</f>
        <v>#REF!</v>
      </c>
      <c r="W247" s="582" t="e">
        <f t="shared" si="214"/>
        <v>#REF!</v>
      </c>
      <c r="X247" s="581">
        <f>+'7,1,1,2 Accesorio PVC-P 2" '!I51</f>
        <v>837.48</v>
      </c>
      <c r="Y247" s="582">
        <f t="shared" si="215"/>
        <v>0</v>
      </c>
      <c r="Z247" s="581">
        <f>+'7,1,1,2 Accesorio PVC-P 2" '!I31</f>
        <v>92.75</v>
      </c>
      <c r="AA247" s="582">
        <f t="shared" si="216"/>
        <v>0</v>
      </c>
      <c r="AB247" s="581">
        <f>+'7,1,1,2 Accesorio PVC-P 2" '!I42</f>
        <v>0</v>
      </c>
      <c r="AC247" s="582">
        <f t="shared" si="217"/>
        <v>0</v>
      </c>
      <c r="AE247" s="769" t="e">
        <f t="shared" si="168"/>
        <v>#REF!</v>
      </c>
    </row>
    <row r="248" spans="1:31" ht="15" hidden="1" customHeight="1" x14ac:dyDescent="0.2">
      <c r="A248" s="611" t="s">
        <v>991</v>
      </c>
      <c r="B248" s="601" t="s">
        <v>992</v>
      </c>
      <c r="C248" s="611" t="s">
        <v>114</v>
      </c>
      <c r="D248" s="576">
        <f t="shared" si="206"/>
        <v>0</v>
      </c>
      <c r="E248" s="577">
        <f t="shared" si="207"/>
        <v>0</v>
      </c>
      <c r="F248" s="577">
        <f t="shared" si="208"/>
        <v>0</v>
      </c>
      <c r="G248" s="578"/>
      <c r="I248" s="584"/>
      <c r="J248" s="585">
        <f>+ROUND(E248*I248,10)</f>
        <v>0</v>
      </c>
      <c r="K248" s="537"/>
      <c r="L248" s="445">
        <f t="shared" si="209"/>
        <v>0</v>
      </c>
      <c r="M248" s="542"/>
      <c r="N248" s="445">
        <f t="shared" si="210"/>
        <v>0</v>
      </c>
      <c r="O248" s="542"/>
      <c r="P248" s="445">
        <f t="shared" si="211"/>
        <v>0</v>
      </c>
      <c r="Q248" s="542"/>
      <c r="R248" s="445">
        <f t="shared" si="212"/>
        <v>0</v>
      </c>
      <c r="S248" s="542"/>
      <c r="T248" s="445">
        <f t="shared" si="213"/>
        <v>0</v>
      </c>
      <c r="V248" s="581"/>
      <c r="W248" s="582">
        <f t="shared" si="214"/>
        <v>0</v>
      </c>
      <c r="X248" s="581"/>
      <c r="Y248" s="582">
        <f t="shared" si="215"/>
        <v>0</v>
      </c>
      <c r="Z248" s="581"/>
      <c r="AA248" s="582">
        <f t="shared" si="216"/>
        <v>0</v>
      </c>
      <c r="AB248" s="581"/>
      <c r="AC248" s="582">
        <f t="shared" si="217"/>
        <v>0</v>
      </c>
      <c r="AE248" s="769">
        <f t="shared" si="168"/>
        <v>0</v>
      </c>
    </row>
    <row r="249" spans="1:31" ht="15.75" hidden="1" customHeight="1" x14ac:dyDescent="0.2">
      <c r="A249" s="611" t="s">
        <v>993</v>
      </c>
      <c r="B249" s="601" t="s">
        <v>994</v>
      </c>
      <c r="C249" s="611" t="s">
        <v>111</v>
      </c>
      <c r="D249" s="576">
        <f t="shared" si="206"/>
        <v>0</v>
      </c>
      <c r="E249" s="577">
        <f t="shared" si="207"/>
        <v>0</v>
      </c>
      <c r="F249" s="577">
        <f t="shared" si="208"/>
        <v>0</v>
      </c>
      <c r="G249" s="578"/>
      <c r="I249" s="584"/>
      <c r="J249" s="585">
        <f>+ROUND(E249*I249,10)</f>
        <v>0</v>
      </c>
      <c r="K249" s="537"/>
      <c r="L249" s="445">
        <f t="shared" si="209"/>
        <v>0</v>
      </c>
      <c r="M249" s="542"/>
      <c r="N249" s="445">
        <f t="shared" si="210"/>
        <v>0</v>
      </c>
      <c r="O249" s="542"/>
      <c r="P249" s="445">
        <f t="shared" si="211"/>
        <v>0</v>
      </c>
      <c r="Q249" s="542"/>
      <c r="R249" s="445">
        <f t="shared" si="212"/>
        <v>0</v>
      </c>
      <c r="S249" s="542"/>
      <c r="T249" s="445">
        <f t="shared" si="213"/>
        <v>0</v>
      </c>
      <c r="V249" s="581"/>
      <c r="W249" s="582">
        <f t="shared" si="214"/>
        <v>0</v>
      </c>
      <c r="X249" s="581"/>
      <c r="Y249" s="582">
        <f t="shared" si="215"/>
        <v>0</v>
      </c>
      <c r="Z249" s="581"/>
      <c r="AA249" s="582">
        <f t="shared" si="216"/>
        <v>0</v>
      </c>
      <c r="AB249" s="581"/>
      <c r="AC249" s="582">
        <f t="shared" si="217"/>
        <v>0</v>
      </c>
      <c r="AE249" s="769">
        <f t="shared" si="168"/>
        <v>0</v>
      </c>
    </row>
    <row r="250" spans="1:31" ht="15.75" customHeight="1" x14ac:dyDescent="0.2">
      <c r="A250" s="611" t="s">
        <v>995</v>
      </c>
      <c r="B250" s="610" t="s">
        <v>996</v>
      </c>
      <c r="C250" s="611" t="s">
        <v>114</v>
      </c>
      <c r="D250" s="576">
        <f t="shared" si="206"/>
        <v>54</v>
      </c>
      <c r="E250" s="577" t="e">
        <f t="shared" si="207"/>
        <v>#REF!</v>
      </c>
      <c r="F250" s="577" t="e">
        <f t="shared" si="208"/>
        <v>#REF!</v>
      </c>
      <c r="G250" s="578"/>
      <c r="I250" s="597"/>
      <c r="J250" s="598"/>
      <c r="K250" s="537"/>
      <c r="L250" s="445" t="e">
        <f t="shared" si="209"/>
        <v>#REF!</v>
      </c>
      <c r="M250" s="542">
        <v>24</v>
      </c>
      <c r="N250" s="445" t="e">
        <f t="shared" si="210"/>
        <v>#REF!</v>
      </c>
      <c r="O250" s="542">
        <v>30</v>
      </c>
      <c r="P250" s="445" t="e">
        <f t="shared" si="211"/>
        <v>#REF!</v>
      </c>
      <c r="Q250" s="542"/>
      <c r="R250" s="445" t="e">
        <f t="shared" si="212"/>
        <v>#REF!</v>
      </c>
      <c r="S250" s="542"/>
      <c r="T250" s="445" t="e">
        <f t="shared" si="213"/>
        <v>#REF!</v>
      </c>
      <c r="V250" s="581" t="e">
        <f>+#REF!</f>
        <v>#REF!</v>
      </c>
      <c r="W250" s="582" t="e">
        <f t="shared" si="214"/>
        <v>#REF!</v>
      </c>
      <c r="X250" s="581" t="e">
        <f>+#REF!</f>
        <v>#REF!</v>
      </c>
      <c r="Y250" s="582" t="e">
        <f t="shared" si="215"/>
        <v>#REF!</v>
      </c>
      <c r="Z250" s="581" t="e">
        <f>+#REF!</f>
        <v>#REF!</v>
      </c>
      <c r="AA250" s="582" t="e">
        <f t="shared" si="216"/>
        <v>#REF!</v>
      </c>
      <c r="AB250" s="581" t="e">
        <f>+#REF!</f>
        <v>#REF!</v>
      </c>
      <c r="AC250" s="582" t="e">
        <f t="shared" si="217"/>
        <v>#REF!</v>
      </c>
      <c r="AE250" s="769" t="e">
        <f t="shared" si="168"/>
        <v>#REF!</v>
      </c>
    </row>
    <row r="251" spans="1:31" s="595" customFormat="1" ht="18" hidden="1" customHeight="1" x14ac:dyDescent="0.2">
      <c r="A251" s="611" t="s">
        <v>997</v>
      </c>
      <c r="B251" s="610" t="s">
        <v>998</v>
      </c>
      <c r="C251" s="611" t="s">
        <v>114</v>
      </c>
      <c r="D251" s="576">
        <f t="shared" si="206"/>
        <v>0</v>
      </c>
      <c r="E251" s="577" t="e">
        <f t="shared" si="207"/>
        <v>#REF!</v>
      </c>
      <c r="F251" s="577" t="e">
        <f t="shared" si="208"/>
        <v>#REF!</v>
      </c>
      <c r="G251" s="578"/>
      <c r="H251" s="552"/>
      <c r="I251" s="597"/>
      <c r="J251" s="598" t="e">
        <f>+ROUND(E251*I251,10)</f>
        <v>#REF!</v>
      </c>
      <c r="K251" s="537"/>
      <c r="L251" s="445" t="e">
        <f t="shared" si="209"/>
        <v>#REF!</v>
      </c>
      <c r="M251" s="542"/>
      <c r="N251" s="445" t="e">
        <f t="shared" si="210"/>
        <v>#REF!</v>
      </c>
      <c r="O251" s="542"/>
      <c r="P251" s="445" t="e">
        <f t="shared" si="211"/>
        <v>#REF!</v>
      </c>
      <c r="Q251" s="542"/>
      <c r="R251" s="445" t="e">
        <f t="shared" si="212"/>
        <v>#REF!</v>
      </c>
      <c r="S251" s="542"/>
      <c r="T251" s="445" t="e">
        <f t="shared" si="213"/>
        <v>#REF!</v>
      </c>
      <c r="U251" s="552"/>
      <c r="V251" s="581" t="e">
        <f>+#REF!</f>
        <v>#REF!</v>
      </c>
      <c r="W251" s="582" t="e">
        <f t="shared" si="214"/>
        <v>#REF!</v>
      </c>
      <c r="X251" s="581" t="e">
        <f>+#REF!</f>
        <v>#REF!</v>
      </c>
      <c r="Y251" s="582" t="e">
        <f t="shared" si="215"/>
        <v>#REF!</v>
      </c>
      <c r="Z251" s="581" t="e">
        <f>+#REF!</f>
        <v>#REF!</v>
      </c>
      <c r="AA251" s="582" t="e">
        <f t="shared" si="216"/>
        <v>#REF!</v>
      </c>
      <c r="AB251" s="581" t="e">
        <f>+#REF!</f>
        <v>#REF!</v>
      </c>
      <c r="AC251" s="582" t="e">
        <f t="shared" si="217"/>
        <v>#REF!</v>
      </c>
      <c r="AD251" s="912"/>
      <c r="AE251" s="769" t="e">
        <f t="shared" si="168"/>
        <v>#REF!</v>
      </c>
    </row>
    <row r="252" spans="1:31" s="595" customFormat="1" ht="18" customHeight="1" x14ac:dyDescent="0.2">
      <c r="A252" s="572" t="s">
        <v>999</v>
      </c>
      <c r="B252" s="573" t="s">
        <v>1000</v>
      </c>
      <c r="C252" s="846"/>
      <c r="D252" s="576"/>
      <c r="E252" s="577"/>
      <c r="F252" s="180" t="e">
        <f>+ROUND(SUM(F253:F256),10)</f>
        <v>#REF!</v>
      </c>
      <c r="G252" s="473"/>
      <c r="H252" s="568"/>
      <c r="I252" s="621"/>
      <c r="J252" s="440" t="e">
        <f>ROUND(SUM(J253:J256),10)</f>
        <v>#REF!</v>
      </c>
      <c r="K252" s="539"/>
      <c r="L252" s="180" t="e">
        <f>ROUND(SUM(L253:L256),10)</f>
        <v>#REF!</v>
      </c>
      <c r="M252" s="544"/>
      <c r="N252" s="180" t="e">
        <f>ROUND(SUM(N253:N256),10)</f>
        <v>#REF!</v>
      </c>
      <c r="O252" s="544"/>
      <c r="P252" s="180" t="e">
        <f>ROUND(SUM(P253:P256),10)</f>
        <v>#REF!</v>
      </c>
      <c r="Q252" s="544"/>
      <c r="R252" s="180" t="e">
        <f>ROUND(SUM(R253:R256),10)</f>
        <v>#REF!</v>
      </c>
      <c r="S252" s="544"/>
      <c r="T252" s="180" t="e">
        <f>ROUND(SUM(T253:T256),10)</f>
        <v>#REF!</v>
      </c>
      <c r="U252" s="568"/>
      <c r="V252" s="575"/>
      <c r="W252" s="570" t="e">
        <f>ROUND(SUM(W253:W256),10)</f>
        <v>#REF!</v>
      </c>
      <c r="X252" s="575"/>
      <c r="Y252" s="570" t="e">
        <f>ROUND(SUM(Y253:Y256),10)</f>
        <v>#REF!</v>
      </c>
      <c r="Z252" s="575"/>
      <c r="AA252" s="570" t="e">
        <f>ROUND(SUM(AA253:AA256),10)</f>
        <v>#REF!</v>
      </c>
      <c r="AB252" s="575"/>
      <c r="AC252" s="570" t="e">
        <f>ROUND(SUM(AC253:AC256),10)</f>
        <v>#REF!</v>
      </c>
      <c r="AD252" s="912"/>
      <c r="AE252" s="769" t="e">
        <f t="shared" si="168"/>
        <v>#REF!</v>
      </c>
    </row>
    <row r="253" spans="1:31" s="595" customFormat="1" ht="15" hidden="1" customHeight="1" x14ac:dyDescent="0.2">
      <c r="A253" s="611" t="s">
        <v>1001</v>
      </c>
      <c r="B253" s="601" t="s">
        <v>1002</v>
      </c>
      <c r="C253" s="611" t="s">
        <v>114</v>
      </c>
      <c r="D253" s="576">
        <f>+I253+K253+M253+O253+Q253+S253</f>
        <v>0</v>
      </c>
      <c r="E253" s="577" t="e">
        <f t="shared" si="207"/>
        <v>#REF!</v>
      </c>
      <c r="F253" s="577" t="e">
        <f>ROUND(D253*E253,10)</f>
        <v>#REF!</v>
      </c>
      <c r="G253" s="578"/>
      <c r="H253" s="552"/>
      <c r="I253" s="594"/>
      <c r="J253" s="580" t="e">
        <f>+ROUND(E253*I253,10)</f>
        <v>#REF!</v>
      </c>
      <c r="K253" s="537"/>
      <c r="L253" s="445" t="e">
        <f>+ROUND(E253*K253,10)</f>
        <v>#REF!</v>
      </c>
      <c r="M253" s="542"/>
      <c r="N253" s="445" t="e">
        <f>+ROUND(E253*M253,10)</f>
        <v>#REF!</v>
      </c>
      <c r="O253" s="542"/>
      <c r="P253" s="445" t="e">
        <f>+ROUND(E253*O253,10)</f>
        <v>#REF!</v>
      </c>
      <c r="Q253" s="542"/>
      <c r="R253" s="445" t="e">
        <f>+ROUND(E253*Q253,10)</f>
        <v>#REF!</v>
      </c>
      <c r="S253" s="542"/>
      <c r="T253" s="445" t="e">
        <f>+ROUND(E253*S253,10)</f>
        <v>#REF!</v>
      </c>
      <c r="U253" s="552"/>
      <c r="V253" s="581" t="e">
        <f>+#REF!</f>
        <v>#REF!</v>
      </c>
      <c r="W253" s="582" t="e">
        <f>ROUND(V253*$D253,10)</f>
        <v>#REF!</v>
      </c>
      <c r="X253" s="581" t="e">
        <f>+#REF!</f>
        <v>#REF!</v>
      </c>
      <c r="Y253" s="582" t="e">
        <f>ROUND(X253*$D253,10)</f>
        <v>#REF!</v>
      </c>
      <c r="Z253" s="581" t="e">
        <f>+#REF!</f>
        <v>#REF!</v>
      </c>
      <c r="AA253" s="582" t="e">
        <f>ROUND(Z253*$D253,10)</f>
        <v>#REF!</v>
      </c>
      <c r="AB253" s="581" t="e">
        <f>+#REF!</f>
        <v>#REF!</v>
      </c>
      <c r="AC253" s="582" t="e">
        <f>ROUND(AB253*$D253,10)</f>
        <v>#REF!</v>
      </c>
      <c r="AD253" s="912"/>
      <c r="AE253" s="769" t="e">
        <f t="shared" si="168"/>
        <v>#REF!</v>
      </c>
    </row>
    <row r="254" spans="1:31" s="595" customFormat="1" ht="15" hidden="1" customHeight="1" x14ac:dyDescent="0.2">
      <c r="A254" s="611" t="s">
        <v>1003</v>
      </c>
      <c r="B254" s="601" t="s">
        <v>1004</v>
      </c>
      <c r="C254" s="611" t="s">
        <v>111</v>
      </c>
      <c r="D254" s="576">
        <f>+I254+K254+M254+O254+Q254+S254</f>
        <v>0</v>
      </c>
      <c r="E254" s="577" t="e">
        <f t="shared" si="207"/>
        <v>#REF!</v>
      </c>
      <c r="F254" s="577" t="e">
        <f>ROUND(D254*E254,10)</f>
        <v>#REF!</v>
      </c>
      <c r="G254" s="578"/>
      <c r="H254" s="552"/>
      <c r="I254" s="584"/>
      <c r="J254" s="585" t="e">
        <f>+ROUND(E254*I254,10)</f>
        <v>#REF!</v>
      </c>
      <c r="K254" s="537"/>
      <c r="L254" s="445" t="e">
        <f>+ROUND(E254*K254,10)</f>
        <v>#REF!</v>
      </c>
      <c r="M254" s="542"/>
      <c r="N254" s="445" t="e">
        <f>+ROUND(E254*M254,10)</f>
        <v>#REF!</v>
      </c>
      <c r="O254" s="542"/>
      <c r="P254" s="445" t="e">
        <f>+ROUND(E254*O254,10)</f>
        <v>#REF!</v>
      </c>
      <c r="Q254" s="542"/>
      <c r="R254" s="445" t="e">
        <f>+ROUND(E254*Q254,10)</f>
        <v>#REF!</v>
      </c>
      <c r="S254" s="542"/>
      <c r="T254" s="445" t="e">
        <f>+ROUND(E254*S254,10)</f>
        <v>#REF!</v>
      </c>
      <c r="U254" s="552"/>
      <c r="V254" s="581" t="e">
        <f>+#REF!</f>
        <v>#REF!</v>
      </c>
      <c r="W254" s="582" t="e">
        <f>ROUND(V254*$D254,10)</f>
        <v>#REF!</v>
      </c>
      <c r="X254" s="581" t="e">
        <f>+#REF!</f>
        <v>#REF!</v>
      </c>
      <c r="Y254" s="582" t="e">
        <f>ROUND(X254*$D254,10)</f>
        <v>#REF!</v>
      </c>
      <c r="Z254" s="581" t="e">
        <f>+#REF!</f>
        <v>#REF!</v>
      </c>
      <c r="AA254" s="582" t="e">
        <f>ROUND(Z254*$D254,10)</f>
        <v>#REF!</v>
      </c>
      <c r="AB254" s="581" t="e">
        <f>+#REF!</f>
        <v>#REF!</v>
      </c>
      <c r="AC254" s="582" t="e">
        <f>ROUND(AB254*$D254,10)</f>
        <v>#REF!</v>
      </c>
      <c r="AD254" s="912"/>
      <c r="AE254" s="769" t="e">
        <f t="shared" si="168"/>
        <v>#REF!</v>
      </c>
    </row>
    <row r="255" spans="1:31" s="595" customFormat="1" ht="15" hidden="1" customHeight="1" x14ac:dyDescent="0.2">
      <c r="A255" s="611" t="s">
        <v>1005</v>
      </c>
      <c r="B255" s="601" t="s">
        <v>1006</v>
      </c>
      <c r="C255" s="611" t="s">
        <v>111</v>
      </c>
      <c r="D255" s="576">
        <f>+I255+K255+M255+O255+Q255+S255</f>
        <v>0</v>
      </c>
      <c r="E255" s="577" t="e">
        <f t="shared" si="207"/>
        <v>#REF!</v>
      </c>
      <c r="F255" s="577" t="e">
        <f>ROUND(D255*E255,10)</f>
        <v>#REF!</v>
      </c>
      <c r="G255" s="578"/>
      <c r="H255" s="552"/>
      <c r="I255" s="584"/>
      <c r="J255" s="585" t="e">
        <f>+ROUND(E255*I255,10)</f>
        <v>#REF!</v>
      </c>
      <c r="K255" s="537"/>
      <c r="L255" s="445" t="e">
        <f>+ROUND(E255*K255,10)</f>
        <v>#REF!</v>
      </c>
      <c r="M255" s="542"/>
      <c r="N255" s="445" t="e">
        <f>+ROUND(E255*M255,10)</f>
        <v>#REF!</v>
      </c>
      <c r="O255" s="542"/>
      <c r="P255" s="445" t="e">
        <f>+ROUND(E255*O255,10)</f>
        <v>#REF!</v>
      </c>
      <c r="Q255" s="542"/>
      <c r="R255" s="445" t="e">
        <f>+ROUND(E255*Q255,10)</f>
        <v>#REF!</v>
      </c>
      <c r="S255" s="542"/>
      <c r="T255" s="445" t="e">
        <f>+ROUND(E255*S255,10)</f>
        <v>#REF!</v>
      </c>
      <c r="U255" s="552"/>
      <c r="V255" s="581" t="e">
        <f>#REF!</f>
        <v>#REF!</v>
      </c>
      <c r="W255" s="582" t="e">
        <f>ROUND(V255*$D255,10)</f>
        <v>#REF!</v>
      </c>
      <c r="X255" s="581" t="e">
        <f>+#REF!</f>
        <v>#REF!</v>
      </c>
      <c r="Y255" s="582" t="e">
        <f>ROUND(X255*$D255,10)</f>
        <v>#REF!</v>
      </c>
      <c r="Z255" s="581" t="e">
        <f>+#REF!</f>
        <v>#REF!</v>
      </c>
      <c r="AA255" s="582" t="e">
        <f>ROUND(Z255*$D255,10)</f>
        <v>#REF!</v>
      </c>
      <c r="AB255" s="581" t="e">
        <f>+#REF!</f>
        <v>#REF!</v>
      </c>
      <c r="AC255" s="582" t="e">
        <f>ROUND(AB255*$D255,10)</f>
        <v>#REF!</v>
      </c>
      <c r="AD255" s="912"/>
      <c r="AE255" s="769" t="e">
        <f t="shared" si="168"/>
        <v>#REF!</v>
      </c>
    </row>
    <row r="256" spans="1:31" s="595" customFormat="1" x14ac:dyDescent="0.2">
      <c r="A256" s="611" t="s">
        <v>1007</v>
      </c>
      <c r="B256" s="601" t="s">
        <v>1008</v>
      </c>
      <c r="C256" s="611" t="s">
        <v>111</v>
      </c>
      <c r="D256" s="576">
        <f>+I256+K256+M256+O256+Q256+S256</f>
        <v>3</v>
      </c>
      <c r="E256" s="577" t="e">
        <f t="shared" si="207"/>
        <v>#REF!</v>
      </c>
      <c r="F256" s="577" t="e">
        <f>ROUND(D256*E256,10)</f>
        <v>#REF!</v>
      </c>
      <c r="G256" s="578"/>
      <c r="H256" s="552"/>
      <c r="I256" s="597"/>
      <c r="J256" s="598" t="e">
        <f>+ROUND(E256*I256,10)</f>
        <v>#REF!</v>
      </c>
      <c r="K256" s="537"/>
      <c r="L256" s="445" t="e">
        <f>+ROUND(E256*K256,10)</f>
        <v>#REF!</v>
      </c>
      <c r="M256" s="542">
        <v>1</v>
      </c>
      <c r="N256" s="445" t="e">
        <f>+ROUND(E256*M256,10)</f>
        <v>#REF!</v>
      </c>
      <c r="O256" s="542">
        <v>2</v>
      </c>
      <c r="P256" s="445" t="e">
        <f>+ROUND(E256*O256,10)</f>
        <v>#REF!</v>
      </c>
      <c r="Q256" s="542"/>
      <c r="R256" s="445" t="e">
        <f>+ROUND(E256*Q256,10)</f>
        <v>#REF!</v>
      </c>
      <c r="S256" s="542"/>
      <c r="T256" s="445" t="e">
        <f>+ROUND(E256*S256,10)</f>
        <v>#REF!</v>
      </c>
      <c r="U256" s="552"/>
      <c r="V256" s="581" t="e">
        <f>+#REF!</f>
        <v>#REF!</v>
      </c>
      <c r="W256" s="582" t="e">
        <f>ROUND(V256*$D256,10)</f>
        <v>#REF!</v>
      </c>
      <c r="X256" s="581" t="e">
        <f>+#REF!</f>
        <v>#REF!</v>
      </c>
      <c r="Y256" s="582" t="e">
        <f>ROUND(X256*$D256,10)</f>
        <v>#REF!</v>
      </c>
      <c r="Z256" s="581" t="e">
        <f>+#REF!</f>
        <v>#REF!</v>
      </c>
      <c r="AA256" s="582" t="e">
        <f>ROUND(Z256*$D256,10)</f>
        <v>#REF!</v>
      </c>
      <c r="AB256" s="581" t="e">
        <f>+#REF!</f>
        <v>#REF!</v>
      </c>
      <c r="AC256" s="582" t="e">
        <f>ROUND(AB256*$D256,10)</f>
        <v>#REF!</v>
      </c>
      <c r="AD256" s="912"/>
      <c r="AE256" s="769" t="e">
        <f t="shared" si="168"/>
        <v>#REF!</v>
      </c>
    </row>
    <row r="257" spans="1:31" ht="15" customHeight="1" x14ac:dyDescent="0.2">
      <c r="A257" s="572" t="s">
        <v>1009</v>
      </c>
      <c r="B257" s="573" t="s">
        <v>1010</v>
      </c>
      <c r="C257" s="846"/>
      <c r="D257" s="576"/>
      <c r="E257" s="577"/>
      <c r="F257" s="180" t="e">
        <f>+ROUND(SUM(F258:F264),10)</f>
        <v>#REF!</v>
      </c>
      <c r="G257" s="473"/>
      <c r="H257" s="568"/>
      <c r="I257" s="613"/>
      <c r="J257" s="440" t="e">
        <f>ROUND(SUM(J258:J264),10)</f>
        <v>#REF!</v>
      </c>
      <c r="K257" s="537"/>
      <c r="L257" s="180" t="e">
        <f>ROUND(SUM(L258:L264),10)</f>
        <v>#REF!</v>
      </c>
      <c r="M257" s="542"/>
      <c r="N257" s="180" t="e">
        <f>ROUND(SUM(N258:N264),10)</f>
        <v>#REF!</v>
      </c>
      <c r="O257" s="542"/>
      <c r="P257" s="180" t="e">
        <f>ROUND(SUM(P258:P264),10)</f>
        <v>#REF!</v>
      </c>
      <c r="Q257" s="542"/>
      <c r="R257" s="180" t="e">
        <f>ROUND(SUM(R258:R264),10)</f>
        <v>#REF!</v>
      </c>
      <c r="S257" s="542"/>
      <c r="T257" s="180" t="e">
        <f>ROUND(SUM(T258:T264),10)</f>
        <v>#REF!</v>
      </c>
      <c r="U257" s="634"/>
      <c r="V257" s="575"/>
      <c r="W257" s="570" t="e">
        <f>ROUND(SUM(W258:W264),10)</f>
        <v>#REF!</v>
      </c>
      <c r="X257" s="575"/>
      <c r="Y257" s="570" t="e">
        <f>ROUND(SUM(Y258:Y264),10)</f>
        <v>#REF!</v>
      </c>
      <c r="Z257" s="575"/>
      <c r="AA257" s="570" t="e">
        <f>ROUND(SUM(AA258:AA264),10)</f>
        <v>#REF!</v>
      </c>
      <c r="AB257" s="575"/>
      <c r="AC257" s="570" t="e">
        <f>ROUND(SUM(AC258:AC264),10)</f>
        <v>#REF!</v>
      </c>
      <c r="AE257" s="769" t="e">
        <f t="shared" si="168"/>
        <v>#REF!</v>
      </c>
    </row>
    <row r="258" spans="1:31" ht="15" hidden="1" customHeight="1" x14ac:dyDescent="0.2">
      <c r="A258" s="611" t="s">
        <v>1011</v>
      </c>
      <c r="B258" s="601" t="s">
        <v>1002</v>
      </c>
      <c r="C258" s="611" t="s">
        <v>114</v>
      </c>
      <c r="D258" s="576">
        <f t="shared" ref="D258:D264" si="218">+I258+K258+M258+O258+Q258+S258</f>
        <v>0</v>
      </c>
      <c r="E258" s="577" t="e">
        <f t="shared" si="207"/>
        <v>#REF!</v>
      </c>
      <c r="F258" s="577" t="e">
        <f t="shared" ref="F258:F264" si="219">ROUND(D258*E258,10)</f>
        <v>#REF!</v>
      </c>
      <c r="G258" s="578"/>
      <c r="I258" s="594"/>
      <c r="J258" s="580" t="e">
        <f t="shared" ref="J258:J264" si="220">+ROUND(E258*I258,10)</f>
        <v>#REF!</v>
      </c>
      <c r="K258" s="537"/>
      <c r="L258" s="445" t="e">
        <f t="shared" ref="L258:L264" si="221">+ROUND(E258*K258,10)</f>
        <v>#REF!</v>
      </c>
      <c r="M258" s="542"/>
      <c r="N258" s="445" t="e">
        <f t="shared" ref="N258:N264" si="222">+ROUND(E258*M258,10)</f>
        <v>#REF!</v>
      </c>
      <c r="O258" s="542"/>
      <c r="P258" s="445" t="e">
        <f t="shared" ref="P258:P264" si="223">+ROUND(E258*O258,10)</f>
        <v>#REF!</v>
      </c>
      <c r="Q258" s="542"/>
      <c r="R258" s="445" t="e">
        <f t="shared" ref="R258:R264" si="224">+ROUND(E258*Q258,10)</f>
        <v>#REF!</v>
      </c>
      <c r="S258" s="542"/>
      <c r="T258" s="445" t="e">
        <f t="shared" ref="T258:T264" si="225">+ROUND(E258*S258,10)</f>
        <v>#REF!</v>
      </c>
      <c r="V258" s="581" t="e">
        <f>+'7,1,3,1 Tuberia H.G. 1"cuarto '!I20</f>
        <v>#REF!</v>
      </c>
      <c r="W258" s="582" t="e">
        <f t="shared" ref="W258:W264" si="226">ROUND(V258*$D258,10)</f>
        <v>#REF!</v>
      </c>
      <c r="X258" s="581">
        <f>+'7,1,3,1 Tuberia H.G. 1"cuarto '!I51</f>
        <v>5509.73</v>
      </c>
      <c r="Y258" s="582">
        <f t="shared" ref="Y258:Y264" si="227">ROUND(X258*$D258,10)</f>
        <v>0</v>
      </c>
      <c r="Z258" s="581">
        <f>+'7,1,3,1 Tuberia H.G. 1"cuarto '!I31</f>
        <v>148.4</v>
      </c>
      <c r="AA258" s="582">
        <f t="shared" ref="AA258:AA264" si="228">ROUND(Z258*$D258,10)</f>
        <v>0</v>
      </c>
      <c r="AB258" s="581">
        <f>+'7,1,3,1 Tuberia H.G. 1"cuarto '!I42</f>
        <v>0</v>
      </c>
      <c r="AC258" s="582">
        <f t="shared" ref="AC258:AC264" si="229">ROUND(AB258*$D258,10)</f>
        <v>0</v>
      </c>
      <c r="AE258" s="769" t="e">
        <f t="shared" si="168"/>
        <v>#REF!</v>
      </c>
    </row>
    <row r="259" spans="1:31" ht="15" hidden="1" customHeight="1" x14ac:dyDescent="0.2">
      <c r="A259" s="611" t="s">
        <v>1012</v>
      </c>
      <c r="B259" s="601" t="s">
        <v>1013</v>
      </c>
      <c r="C259" s="611" t="s">
        <v>111</v>
      </c>
      <c r="D259" s="576">
        <f t="shared" si="218"/>
        <v>0</v>
      </c>
      <c r="E259" s="577" t="e">
        <f t="shared" si="207"/>
        <v>#REF!</v>
      </c>
      <c r="F259" s="577" t="e">
        <f t="shared" si="219"/>
        <v>#REF!</v>
      </c>
      <c r="G259" s="578"/>
      <c r="I259" s="584"/>
      <c r="J259" s="585" t="e">
        <f t="shared" si="220"/>
        <v>#REF!</v>
      </c>
      <c r="K259" s="537"/>
      <c r="L259" s="445" t="e">
        <f t="shared" si="221"/>
        <v>#REF!</v>
      </c>
      <c r="M259" s="542"/>
      <c r="N259" s="445" t="e">
        <f t="shared" si="222"/>
        <v>#REF!</v>
      </c>
      <c r="O259" s="542"/>
      <c r="P259" s="445" t="e">
        <f t="shared" si="223"/>
        <v>#REF!</v>
      </c>
      <c r="Q259" s="542"/>
      <c r="R259" s="445" t="e">
        <f t="shared" si="224"/>
        <v>#REF!</v>
      </c>
      <c r="S259" s="542"/>
      <c r="T259" s="445" t="e">
        <f t="shared" si="225"/>
        <v>#REF!</v>
      </c>
      <c r="V259" s="581" t="e">
        <f>+'7,1,3,2  Accesorio H.G.1"cuarto'!I20</f>
        <v>#REF!</v>
      </c>
      <c r="W259" s="582" t="e">
        <f t="shared" si="226"/>
        <v>#REF!</v>
      </c>
      <c r="X259" s="581">
        <f>+'7,1,3,2  Accesorio H.G.1"cuarto'!I51</f>
        <v>1046.8499999999999</v>
      </c>
      <c r="Y259" s="582">
        <f t="shared" si="227"/>
        <v>0</v>
      </c>
      <c r="Z259" s="581">
        <f>+'7,1,3,2  Accesorio H.G.1"cuarto'!I31</f>
        <v>148.4</v>
      </c>
      <c r="AA259" s="582">
        <f t="shared" si="228"/>
        <v>0</v>
      </c>
      <c r="AB259" s="581">
        <f>+'7,1,3,2  Accesorio H.G.1"cuarto'!I42</f>
        <v>0</v>
      </c>
      <c r="AC259" s="582">
        <f t="shared" si="229"/>
        <v>0</v>
      </c>
      <c r="AE259" s="769" t="e">
        <f t="shared" si="168"/>
        <v>#REF!</v>
      </c>
    </row>
    <row r="260" spans="1:31" ht="15" hidden="1" customHeight="1" x14ac:dyDescent="0.2">
      <c r="A260" s="611" t="s">
        <v>1014</v>
      </c>
      <c r="B260" s="601" t="s">
        <v>1015</v>
      </c>
      <c r="C260" s="611" t="s">
        <v>111</v>
      </c>
      <c r="D260" s="576">
        <f t="shared" si="218"/>
        <v>0</v>
      </c>
      <c r="E260" s="577" t="e">
        <f t="shared" si="207"/>
        <v>#REF!</v>
      </c>
      <c r="F260" s="577" t="e">
        <f t="shared" si="219"/>
        <v>#REF!</v>
      </c>
      <c r="G260" s="578"/>
      <c r="I260" s="584"/>
      <c r="J260" s="585" t="e">
        <f t="shared" si="220"/>
        <v>#REF!</v>
      </c>
      <c r="K260" s="537"/>
      <c r="L260" s="445" t="e">
        <f t="shared" si="221"/>
        <v>#REF!</v>
      </c>
      <c r="M260" s="542"/>
      <c r="N260" s="445" t="e">
        <f t="shared" si="222"/>
        <v>#REF!</v>
      </c>
      <c r="O260" s="542"/>
      <c r="P260" s="445" t="e">
        <f t="shared" si="223"/>
        <v>#REF!</v>
      </c>
      <c r="Q260" s="542"/>
      <c r="R260" s="445" t="e">
        <f t="shared" si="224"/>
        <v>#REF!</v>
      </c>
      <c r="S260" s="542"/>
      <c r="T260" s="445" t="e">
        <f t="shared" si="225"/>
        <v>#REF!</v>
      </c>
      <c r="V260" s="581" t="e">
        <f>+'7,1,3,3  Registro R. W. 1"'!I20</f>
        <v>#REF!</v>
      </c>
      <c r="W260" s="582" t="e">
        <f t="shared" si="226"/>
        <v>#REF!</v>
      </c>
      <c r="X260" s="581">
        <f>+'7,1,3,3  Registro R. W. 1"'!I51</f>
        <v>5982</v>
      </c>
      <c r="Y260" s="582">
        <f t="shared" si="227"/>
        <v>0</v>
      </c>
      <c r="Z260" s="581">
        <f>+'7,1,3,3  Registro R. W. 1"'!I31</f>
        <v>148.4</v>
      </c>
      <c r="AA260" s="582">
        <f t="shared" si="228"/>
        <v>0</v>
      </c>
      <c r="AB260" s="581">
        <f>+'7,1,3,3  Registro R. W. 1"'!I42</f>
        <v>0</v>
      </c>
      <c r="AC260" s="582">
        <f t="shared" si="229"/>
        <v>0</v>
      </c>
      <c r="AE260" s="769" t="e">
        <f t="shared" si="168"/>
        <v>#REF!</v>
      </c>
    </row>
    <row r="261" spans="1:31" ht="15" customHeight="1" x14ac:dyDescent="0.2">
      <c r="A261" s="611" t="s">
        <v>1016</v>
      </c>
      <c r="B261" s="601" t="s">
        <v>1017</v>
      </c>
      <c r="C261" s="611" t="s">
        <v>111</v>
      </c>
      <c r="D261" s="576">
        <f t="shared" si="218"/>
        <v>3</v>
      </c>
      <c r="E261" s="577" t="e">
        <f t="shared" si="207"/>
        <v>#REF!</v>
      </c>
      <c r="F261" s="577" t="e">
        <f t="shared" si="219"/>
        <v>#REF!</v>
      </c>
      <c r="G261" s="578"/>
      <c r="I261" s="584"/>
      <c r="J261" s="585" t="e">
        <f t="shared" si="220"/>
        <v>#REF!</v>
      </c>
      <c r="K261" s="537"/>
      <c r="L261" s="445" t="e">
        <f t="shared" si="221"/>
        <v>#REF!</v>
      </c>
      <c r="M261" s="542"/>
      <c r="N261" s="445" t="e">
        <f t="shared" si="222"/>
        <v>#REF!</v>
      </c>
      <c r="O261" s="542">
        <v>3</v>
      </c>
      <c r="P261" s="445" t="e">
        <f t="shared" si="223"/>
        <v>#REF!</v>
      </c>
      <c r="Q261" s="542"/>
      <c r="R261" s="445" t="e">
        <f t="shared" si="224"/>
        <v>#REF!</v>
      </c>
      <c r="S261" s="542"/>
      <c r="T261" s="445" t="e">
        <f t="shared" si="225"/>
        <v>#REF!</v>
      </c>
      <c r="V261" s="581" t="e">
        <f>'7,1,3,4  Cheque Helber 1"'!I20</f>
        <v>#REF!</v>
      </c>
      <c r="W261" s="582" t="e">
        <f t="shared" si="226"/>
        <v>#REF!</v>
      </c>
      <c r="X261" s="581">
        <f>'7,1,3,4  Cheque Helber 1"'!I51</f>
        <v>5982</v>
      </c>
      <c r="Y261" s="582">
        <f t="shared" si="227"/>
        <v>17946</v>
      </c>
      <c r="Z261" s="581">
        <f>'7,1,3,4  Cheque Helber 1"'!I31</f>
        <v>148.4</v>
      </c>
      <c r="AA261" s="582">
        <f t="shared" si="228"/>
        <v>445.2</v>
      </c>
      <c r="AB261" s="581">
        <f>'7,1,3,4  Cheque Helber 1"'!I42</f>
        <v>0</v>
      </c>
      <c r="AC261" s="582">
        <f t="shared" si="229"/>
        <v>0</v>
      </c>
      <c r="AE261" s="769" t="e">
        <f t="shared" si="168"/>
        <v>#REF!</v>
      </c>
    </row>
    <row r="262" spans="1:31" ht="15" hidden="1" customHeight="1" x14ac:dyDescent="0.2">
      <c r="A262" s="611" t="s">
        <v>1018</v>
      </c>
      <c r="B262" s="601" t="s">
        <v>1019</v>
      </c>
      <c r="C262" s="611" t="s">
        <v>111</v>
      </c>
      <c r="D262" s="576">
        <f t="shared" si="218"/>
        <v>0</v>
      </c>
      <c r="E262" s="577">
        <f t="shared" si="207"/>
        <v>0</v>
      </c>
      <c r="F262" s="577">
        <f t="shared" si="219"/>
        <v>0</v>
      </c>
      <c r="G262" s="578"/>
      <c r="I262" s="584"/>
      <c r="J262" s="585">
        <f t="shared" si="220"/>
        <v>0</v>
      </c>
      <c r="K262" s="537"/>
      <c r="L262" s="445">
        <f t="shared" si="221"/>
        <v>0</v>
      </c>
      <c r="M262" s="542"/>
      <c r="N262" s="445">
        <f t="shared" si="222"/>
        <v>0</v>
      </c>
      <c r="O262" s="542"/>
      <c r="P262" s="445">
        <f t="shared" si="223"/>
        <v>0</v>
      </c>
      <c r="Q262" s="542"/>
      <c r="R262" s="445">
        <f t="shared" si="224"/>
        <v>0</v>
      </c>
      <c r="S262" s="542"/>
      <c r="T262" s="445">
        <f t="shared" si="225"/>
        <v>0</v>
      </c>
      <c r="V262" s="581"/>
      <c r="W262" s="582">
        <f t="shared" si="226"/>
        <v>0</v>
      </c>
      <c r="X262" s="581"/>
      <c r="Y262" s="582">
        <f t="shared" si="227"/>
        <v>0</v>
      </c>
      <c r="Z262" s="581"/>
      <c r="AA262" s="582">
        <f t="shared" si="228"/>
        <v>0</v>
      </c>
      <c r="AB262" s="581"/>
      <c r="AC262" s="582">
        <f t="shared" si="229"/>
        <v>0</v>
      </c>
      <c r="AE262" s="769">
        <f t="shared" si="168"/>
        <v>0</v>
      </c>
    </row>
    <row r="263" spans="1:31" ht="15" hidden="1" customHeight="1" x14ac:dyDescent="0.2">
      <c r="A263" s="611" t="s">
        <v>1020</v>
      </c>
      <c r="B263" s="601" t="s">
        <v>1021</v>
      </c>
      <c r="C263" s="611" t="s">
        <v>111</v>
      </c>
      <c r="D263" s="576">
        <f t="shared" si="218"/>
        <v>0</v>
      </c>
      <c r="E263" s="577">
        <f t="shared" si="207"/>
        <v>0</v>
      </c>
      <c r="F263" s="577">
        <f t="shared" si="219"/>
        <v>0</v>
      </c>
      <c r="G263" s="578"/>
      <c r="I263" s="584"/>
      <c r="J263" s="585">
        <f t="shared" si="220"/>
        <v>0</v>
      </c>
      <c r="K263" s="537"/>
      <c r="L263" s="445">
        <f t="shared" si="221"/>
        <v>0</v>
      </c>
      <c r="M263" s="542"/>
      <c r="N263" s="445">
        <f t="shared" si="222"/>
        <v>0</v>
      </c>
      <c r="O263" s="542"/>
      <c r="P263" s="445">
        <f t="shared" si="223"/>
        <v>0</v>
      </c>
      <c r="Q263" s="542"/>
      <c r="R263" s="445">
        <f t="shared" si="224"/>
        <v>0</v>
      </c>
      <c r="S263" s="542"/>
      <c r="T263" s="445">
        <f t="shared" si="225"/>
        <v>0</v>
      </c>
      <c r="V263" s="581"/>
      <c r="W263" s="582">
        <f t="shared" si="226"/>
        <v>0</v>
      </c>
      <c r="X263" s="581"/>
      <c r="Y263" s="582">
        <f t="shared" si="227"/>
        <v>0</v>
      </c>
      <c r="Z263" s="581"/>
      <c r="AA263" s="582">
        <f t="shared" si="228"/>
        <v>0</v>
      </c>
      <c r="AB263" s="581"/>
      <c r="AC263" s="582">
        <f t="shared" si="229"/>
        <v>0</v>
      </c>
      <c r="AE263" s="769">
        <f t="shared" si="168"/>
        <v>0</v>
      </c>
    </row>
    <row r="264" spans="1:31" ht="15" customHeight="1" x14ac:dyDescent="0.2">
      <c r="A264" s="611" t="s">
        <v>1022</v>
      </c>
      <c r="B264" s="649" t="s">
        <v>1023</v>
      </c>
      <c r="C264" s="611" t="s">
        <v>111</v>
      </c>
      <c r="D264" s="576">
        <f t="shared" si="218"/>
        <v>1</v>
      </c>
      <c r="E264" s="577" t="e">
        <f t="shared" si="207"/>
        <v>#REF!</v>
      </c>
      <c r="F264" s="577" t="e">
        <f t="shared" si="219"/>
        <v>#REF!</v>
      </c>
      <c r="G264" s="578"/>
      <c r="I264" s="597"/>
      <c r="J264" s="598" t="e">
        <f t="shared" si="220"/>
        <v>#REF!</v>
      </c>
      <c r="K264" s="537"/>
      <c r="L264" s="445" t="e">
        <f t="shared" si="221"/>
        <v>#REF!</v>
      </c>
      <c r="M264" s="542"/>
      <c r="N264" s="445" t="e">
        <f t="shared" si="222"/>
        <v>#REF!</v>
      </c>
      <c r="O264" s="542">
        <v>1</v>
      </c>
      <c r="P264" s="445" t="e">
        <f t="shared" si="223"/>
        <v>#REF!</v>
      </c>
      <c r="Q264" s="542"/>
      <c r="R264" s="445" t="e">
        <f t="shared" si="224"/>
        <v>#REF!</v>
      </c>
      <c r="S264" s="542"/>
      <c r="T264" s="445" t="e">
        <f t="shared" si="225"/>
        <v>#REF!</v>
      </c>
      <c r="V264" s="581" t="e">
        <f>#REF!</f>
        <v>#REF!</v>
      </c>
      <c r="W264" s="582" t="e">
        <f t="shared" si="226"/>
        <v>#REF!</v>
      </c>
      <c r="X264" s="581" t="e">
        <f>#REF!</f>
        <v>#REF!</v>
      </c>
      <c r="Y264" s="582" t="e">
        <f t="shared" si="227"/>
        <v>#REF!</v>
      </c>
      <c r="Z264" s="581" t="e">
        <f>#REF!</f>
        <v>#REF!</v>
      </c>
      <c r="AA264" s="582" t="e">
        <f t="shared" si="228"/>
        <v>#REF!</v>
      </c>
      <c r="AB264" s="581" t="e">
        <f>#REF!</f>
        <v>#REF!</v>
      </c>
      <c r="AC264" s="582" t="e">
        <f t="shared" si="229"/>
        <v>#REF!</v>
      </c>
      <c r="AE264" s="769" t="e">
        <f t="shared" si="168"/>
        <v>#REF!</v>
      </c>
    </row>
    <row r="265" spans="1:31" ht="15" hidden="1" customHeight="1" x14ac:dyDescent="0.2">
      <c r="A265" s="572" t="s">
        <v>1024</v>
      </c>
      <c r="B265" s="573" t="s">
        <v>1025</v>
      </c>
      <c r="C265" s="846"/>
      <c r="D265" s="576"/>
      <c r="E265" s="577"/>
      <c r="F265" s="180" t="e">
        <f>+ROUND(SUM(F266:F272),10)</f>
        <v>#REF!</v>
      </c>
      <c r="G265" s="473"/>
      <c r="H265" s="568"/>
      <c r="I265" s="613"/>
      <c r="J265" s="440" t="e">
        <f>ROUND(SUM(J266:J272),10)</f>
        <v>#REF!</v>
      </c>
      <c r="K265" s="537"/>
      <c r="L265" s="180" t="e">
        <f>ROUND(SUM(L266:L272),10)</f>
        <v>#REF!</v>
      </c>
      <c r="M265" s="542"/>
      <c r="N265" s="180" t="e">
        <f>ROUND(SUM(N266:N272),10)</f>
        <v>#REF!</v>
      </c>
      <c r="O265" s="542"/>
      <c r="P265" s="180" t="e">
        <f>ROUND(SUM(P266:P272),10)</f>
        <v>#REF!</v>
      </c>
      <c r="Q265" s="542"/>
      <c r="R265" s="180" t="e">
        <f>ROUND(SUM(R266:R272),10)</f>
        <v>#REF!</v>
      </c>
      <c r="S265" s="542"/>
      <c r="T265" s="180" t="e">
        <f>ROUND(SUM(T266:T272),10)</f>
        <v>#REF!</v>
      </c>
      <c r="U265" s="568"/>
      <c r="V265" s="575"/>
      <c r="W265" s="570" t="e">
        <f>ROUND(SUM(W266:W272),10)</f>
        <v>#REF!</v>
      </c>
      <c r="X265" s="575"/>
      <c r="Y265" s="570">
        <f>ROUND(SUM(Y266:Y272),10)</f>
        <v>0</v>
      </c>
      <c r="Z265" s="575"/>
      <c r="AA265" s="570">
        <f>ROUND(SUM(AA266:AA272),10)</f>
        <v>0</v>
      </c>
      <c r="AB265" s="575"/>
      <c r="AC265" s="570">
        <f>ROUND(SUM(AC266:AC272),10)</f>
        <v>0</v>
      </c>
      <c r="AE265" s="769" t="e">
        <f t="shared" si="168"/>
        <v>#REF!</v>
      </c>
    </row>
    <row r="266" spans="1:31" ht="15" hidden="1" customHeight="1" x14ac:dyDescent="0.2">
      <c r="A266" s="611" t="s">
        <v>1026</v>
      </c>
      <c r="B266" s="601" t="s">
        <v>1027</v>
      </c>
      <c r="C266" s="611" t="s">
        <v>114</v>
      </c>
      <c r="D266" s="576">
        <f t="shared" ref="D266:D272" si="230">+I266+K266+M266+O266+Q266+S266</f>
        <v>0</v>
      </c>
      <c r="E266" s="577" t="e">
        <f t="shared" si="207"/>
        <v>#REF!</v>
      </c>
      <c r="F266" s="577" t="e">
        <f t="shared" ref="F266:F272" si="231">ROUND(D266*E266,10)</f>
        <v>#REF!</v>
      </c>
      <c r="G266" s="578"/>
      <c r="I266" s="594"/>
      <c r="J266" s="580" t="e">
        <f t="shared" ref="J266:J272" si="232">+ROUND(E266*I266,10)</f>
        <v>#REF!</v>
      </c>
      <c r="K266" s="537"/>
      <c r="L266" s="445" t="e">
        <f t="shared" ref="L266:L272" si="233">+ROUND(E266*K266,10)</f>
        <v>#REF!</v>
      </c>
      <c r="M266" s="542"/>
      <c r="N266" s="445" t="e">
        <f t="shared" ref="N266:N272" si="234">+ROUND(E266*M266,10)</f>
        <v>#REF!</v>
      </c>
      <c r="O266" s="542"/>
      <c r="P266" s="445" t="e">
        <f t="shared" ref="P266:P272" si="235">+ROUND(E266*O266,10)</f>
        <v>#REF!</v>
      </c>
      <c r="Q266" s="542"/>
      <c r="R266" s="445" t="e">
        <f t="shared" ref="R266:R272" si="236">+ROUND(E266*Q266,10)</f>
        <v>#REF!</v>
      </c>
      <c r="S266" s="542"/>
      <c r="T266" s="445" t="e">
        <f t="shared" ref="T266:T272" si="237">+ROUND(E266*S266,10)</f>
        <v>#REF!</v>
      </c>
      <c r="V266" s="581" t="e">
        <f>+'7,1,4,1 Tuberia H.G. 1 1.2"'!I20</f>
        <v>#REF!</v>
      </c>
      <c r="W266" s="582" t="e">
        <f t="shared" ref="W266:W272" si="238">ROUND(V266*$D266,10)</f>
        <v>#REF!</v>
      </c>
      <c r="X266" s="581">
        <f>+'7,1,4,1 Tuberia H.G. 1 1.2"'!I51</f>
        <v>5509.73</v>
      </c>
      <c r="Y266" s="582">
        <f t="shared" ref="Y266:Y272" si="239">ROUND(X266*$D266,10)</f>
        <v>0</v>
      </c>
      <c r="Z266" s="581">
        <f>+'7,1,4,1 Tuberia H.G. 1 1.2"'!I31</f>
        <v>148.4</v>
      </c>
      <c r="AA266" s="582">
        <f t="shared" ref="AA266:AA272" si="240">ROUND(Z266*$D266,10)</f>
        <v>0</v>
      </c>
      <c r="AB266" s="581">
        <f>+'7,1,4,1 Tuberia H.G. 1 1.2"'!I42</f>
        <v>0</v>
      </c>
      <c r="AC266" s="582">
        <f t="shared" ref="AC266:AC272" si="241">ROUND(AB266*$D266,10)</f>
        <v>0</v>
      </c>
      <c r="AE266" s="769" t="e">
        <f t="shared" si="168"/>
        <v>#REF!</v>
      </c>
    </row>
    <row r="267" spans="1:31" ht="15" hidden="1" customHeight="1" x14ac:dyDescent="0.2">
      <c r="A267" s="611" t="s">
        <v>1028</v>
      </c>
      <c r="B267" s="601" t="s">
        <v>1029</v>
      </c>
      <c r="C267" s="611" t="s">
        <v>111</v>
      </c>
      <c r="D267" s="576">
        <f t="shared" si="230"/>
        <v>0</v>
      </c>
      <c r="E267" s="577" t="e">
        <f>V267+X267+Z267+AB267</f>
        <v>#REF!</v>
      </c>
      <c r="F267" s="577" t="e">
        <f t="shared" si="231"/>
        <v>#REF!</v>
      </c>
      <c r="G267" s="578"/>
      <c r="I267" s="584"/>
      <c r="J267" s="585" t="e">
        <f t="shared" si="232"/>
        <v>#REF!</v>
      </c>
      <c r="K267" s="537"/>
      <c r="L267" s="445" t="e">
        <f t="shared" si="233"/>
        <v>#REF!</v>
      </c>
      <c r="M267" s="542"/>
      <c r="N267" s="445" t="e">
        <f t="shared" si="234"/>
        <v>#REF!</v>
      </c>
      <c r="O267" s="542"/>
      <c r="P267" s="445" t="e">
        <f t="shared" si="235"/>
        <v>#REF!</v>
      </c>
      <c r="Q267" s="542"/>
      <c r="R267" s="445" t="e">
        <f t="shared" si="236"/>
        <v>#REF!</v>
      </c>
      <c r="S267" s="542"/>
      <c r="T267" s="445" t="e">
        <f t="shared" si="237"/>
        <v>#REF!</v>
      </c>
      <c r="V267" s="581" t="e">
        <f>+'7,1,4,2  Accesorio H.G.1 1.2"'!I20</f>
        <v>#REF!</v>
      </c>
      <c r="W267" s="582" t="e">
        <f t="shared" si="238"/>
        <v>#REF!</v>
      </c>
      <c r="X267" s="581">
        <f>+'7,1,4,2  Accesorio H.G.1 1.2"'!I51</f>
        <v>1046.8499999999999</v>
      </c>
      <c r="Y267" s="582">
        <f t="shared" si="239"/>
        <v>0</v>
      </c>
      <c r="Z267" s="581">
        <f>+'7,1,4,2  Accesorio H.G.1 1.2"'!I31</f>
        <v>148.4</v>
      </c>
      <c r="AA267" s="582">
        <f t="shared" si="240"/>
        <v>0</v>
      </c>
      <c r="AB267" s="581">
        <f>+'7,1,4,2  Accesorio H.G.1 1.2"'!I42</f>
        <v>0</v>
      </c>
      <c r="AC267" s="582">
        <f t="shared" si="241"/>
        <v>0</v>
      </c>
      <c r="AE267" s="769" t="e">
        <f t="shared" si="168"/>
        <v>#REF!</v>
      </c>
    </row>
    <row r="268" spans="1:31" ht="15" hidden="1" customHeight="1" x14ac:dyDescent="0.2">
      <c r="A268" s="611" t="s">
        <v>1030</v>
      </c>
      <c r="B268" s="601" t="s">
        <v>1031</v>
      </c>
      <c r="C268" s="611" t="s">
        <v>111</v>
      </c>
      <c r="D268" s="576">
        <f t="shared" si="230"/>
        <v>0</v>
      </c>
      <c r="E268" s="577" t="e">
        <f t="shared" si="207"/>
        <v>#REF!</v>
      </c>
      <c r="F268" s="577" t="e">
        <f t="shared" si="231"/>
        <v>#REF!</v>
      </c>
      <c r="G268" s="578"/>
      <c r="I268" s="584"/>
      <c r="J268" s="585" t="e">
        <f t="shared" si="232"/>
        <v>#REF!</v>
      </c>
      <c r="K268" s="537"/>
      <c r="L268" s="445" t="e">
        <f t="shared" si="233"/>
        <v>#REF!</v>
      </c>
      <c r="M268" s="542"/>
      <c r="N268" s="445" t="e">
        <f t="shared" si="234"/>
        <v>#REF!</v>
      </c>
      <c r="O268" s="542"/>
      <c r="P268" s="445" t="e">
        <f t="shared" si="235"/>
        <v>#REF!</v>
      </c>
      <c r="Q268" s="542"/>
      <c r="R268" s="445" t="e">
        <f t="shared" si="236"/>
        <v>#REF!</v>
      </c>
      <c r="S268" s="542"/>
      <c r="T268" s="445" t="e">
        <f t="shared" si="237"/>
        <v>#REF!</v>
      </c>
      <c r="V268" s="581" t="e">
        <f>+'7,1,4,3  Registro R. W. 1. 1.2"'!I20</f>
        <v>#REF!</v>
      </c>
      <c r="W268" s="582" t="e">
        <f t="shared" si="238"/>
        <v>#REF!</v>
      </c>
      <c r="X268" s="581">
        <f>+'7,1,4,3  Registro R. W. 1. 1.2"'!I51</f>
        <v>5982</v>
      </c>
      <c r="Y268" s="582">
        <f t="shared" si="239"/>
        <v>0</v>
      </c>
      <c r="Z268" s="581">
        <f>+'7,1,4,3  Registro R. W. 1. 1.2"'!I31</f>
        <v>148.4</v>
      </c>
      <c r="AA268" s="582">
        <f t="shared" si="240"/>
        <v>0</v>
      </c>
      <c r="AB268" s="581">
        <f>+'7,1,4,3  Registro R. W. 1. 1.2"'!I42</f>
        <v>0</v>
      </c>
      <c r="AC268" s="582">
        <f t="shared" si="241"/>
        <v>0</v>
      </c>
      <c r="AE268" s="769" t="e">
        <f t="shared" si="168"/>
        <v>#REF!</v>
      </c>
    </row>
    <row r="269" spans="1:31" ht="15" hidden="1" customHeight="1" x14ac:dyDescent="0.2">
      <c r="A269" s="611" t="s">
        <v>1032</v>
      </c>
      <c r="B269" s="601" t="s">
        <v>1033</v>
      </c>
      <c r="C269" s="611" t="s">
        <v>111</v>
      </c>
      <c r="D269" s="576">
        <f t="shared" si="230"/>
        <v>0</v>
      </c>
      <c r="E269" s="577" t="e">
        <f t="shared" si="207"/>
        <v>#REF!</v>
      </c>
      <c r="F269" s="577" t="e">
        <f t="shared" si="231"/>
        <v>#REF!</v>
      </c>
      <c r="G269" s="578"/>
      <c r="I269" s="584"/>
      <c r="J269" s="585" t="e">
        <f t="shared" si="232"/>
        <v>#REF!</v>
      </c>
      <c r="K269" s="537"/>
      <c r="L269" s="445" t="e">
        <f t="shared" si="233"/>
        <v>#REF!</v>
      </c>
      <c r="M269" s="542"/>
      <c r="N269" s="445" t="e">
        <f t="shared" si="234"/>
        <v>#REF!</v>
      </c>
      <c r="O269" s="542"/>
      <c r="P269" s="445" t="e">
        <f t="shared" si="235"/>
        <v>#REF!</v>
      </c>
      <c r="Q269" s="542"/>
      <c r="R269" s="445" t="e">
        <f t="shared" si="236"/>
        <v>#REF!</v>
      </c>
      <c r="S269" s="542"/>
      <c r="T269" s="445" t="e">
        <f t="shared" si="237"/>
        <v>#REF!</v>
      </c>
      <c r="V269" s="581" t="e">
        <f>+'7,1,4,4  Cheque  Helber 1 1.2"'!I20</f>
        <v>#REF!</v>
      </c>
      <c r="W269" s="582" t="e">
        <f t="shared" si="238"/>
        <v>#REF!</v>
      </c>
      <c r="X269" s="581">
        <f>+'7,1,4,4  Cheque  Helber 1 1.2"'!I51</f>
        <v>5982</v>
      </c>
      <c r="Y269" s="582">
        <f t="shared" si="239"/>
        <v>0</v>
      </c>
      <c r="Z269" s="581">
        <f>+'7,1,4,4  Cheque  Helber 1 1.2"'!I31</f>
        <v>148.4</v>
      </c>
      <c r="AA269" s="582">
        <f t="shared" si="240"/>
        <v>0</v>
      </c>
      <c r="AB269" s="581">
        <f>+'7,1,4,4  Cheque  Helber 1 1.2"'!I42</f>
        <v>0</v>
      </c>
      <c r="AC269" s="582">
        <f t="shared" si="241"/>
        <v>0</v>
      </c>
      <c r="AE269" s="769" t="e">
        <f t="shared" ref="AE269:AE332" si="242">SUM(AC269,AA269,Y269,W269)-SUM(T269,R269,P269,N269,L269)</f>
        <v>#REF!</v>
      </c>
    </row>
    <row r="270" spans="1:31" ht="15" hidden="1" customHeight="1" x14ac:dyDescent="0.2">
      <c r="A270" s="611" t="s">
        <v>1034</v>
      </c>
      <c r="B270" s="601" t="s">
        <v>1019</v>
      </c>
      <c r="C270" s="611" t="s">
        <v>111</v>
      </c>
      <c r="D270" s="576">
        <f t="shared" si="230"/>
        <v>0</v>
      </c>
      <c r="E270" s="577">
        <f t="shared" si="207"/>
        <v>0</v>
      </c>
      <c r="F270" s="577">
        <f t="shared" si="231"/>
        <v>0</v>
      </c>
      <c r="G270" s="578"/>
      <c r="I270" s="584"/>
      <c r="J270" s="585">
        <f t="shared" si="232"/>
        <v>0</v>
      </c>
      <c r="K270" s="537"/>
      <c r="L270" s="445">
        <f t="shared" si="233"/>
        <v>0</v>
      </c>
      <c r="M270" s="542"/>
      <c r="N270" s="445">
        <f t="shared" si="234"/>
        <v>0</v>
      </c>
      <c r="O270" s="542"/>
      <c r="P270" s="445">
        <f t="shared" si="235"/>
        <v>0</v>
      </c>
      <c r="Q270" s="542"/>
      <c r="R270" s="445">
        <f t="shared" si="236"/>
        <v>0</v>
      </c>
      <c r="S270" s="542"/>
      <c r="T270" s="445">
        <f t="shared" si="237"/>
        <v>0</v>
      </c>
      <c r="V270" s="581"/>
      <c r="W270" s="582">
        <f t="shared" si="238"/>
        <v>0</v>
      </c>
      <c r="X270" s="581"/>
      <c r="Y270" s="582">
        <f t="shared" si="239"/>
        <v>0</v>
      </c>
      <c r="Z270" s="581"/>
      <c r="AA270" s="582">
        <f t="shared" si="240"/>
        <v>0</v>
      </c>
      <c r="AB270" s="581"/>
      <c r="AC270" s="582">
        <f t="shared" si="241"/>
        <v>0</v>
      </c>
      <c r="AE270" s="769">
        <f t="shared" si="242"/>
        <v>0</v>
      </c>
    </row>
    <row r="271" spans="1:31" ht="15" hidden="1" customHeight="1" x14ac:dyDescent="0.2">
      <c r="A271" s="611" t="s">
        <v>1035</v>
      </c>
      <c r="B271" s="601" t="s">
        <v>1021</v>
      </c>
      <c r="C271" s="611" t="s">
        <v>111</v>
      </c>
      <c r="D271" s="576">
        <f t="shared" si="230"/>
        <v>0</v>
      </c>
      <c r="E271" s="577">
        <f t="shared" si="207"/>
        <v>0</v>
      </c>
      <c r="F271" s="577">
        <f t="shared" si="231"/>
        <v>0</v>
      </c>
      <c r="G271" s="578"/>
      <c r="I271" s="584"/>
      <c r="J271" s="585">
        <f t="shared" si="232"/>
        <v>0</v>
      </c>
      <c r="K271" s="537"/>
      <c r="L271" s="445">
        <f t="shared" si="233"/>
        <v>0</v>
      </c>
      <c r="M271" s="542"/>
      <c r="N271" s="445">
        <f t="shared" si="234"/>
        <v>0</v>
      </c>
      <c r="O271" s="542"/>
      <c r="P271" s="445">
        <f t="shared" si="235"/>
        <v>0</v>
      </c>
      <c r="Q271" s="542"/>
      <c r="R271" s="445">
        <f t="shared" si="236"/>
        <v>0</v>
      </c>
      <c r="S271" s="542"/>
      <c r="T271" s="445">
        <f t="shared" si="237"/>
        <v>0</v>
      </c>
      <c r="V271" s="581"/>
      <c r="W271" s="582">
        <f t="shared" si="238"/>
        <v>0</v>
      </c>
      <c r="X271" s="581"/>
      <c r="Y271" s="582">
        <f t="shared" si="239"/>
        <v>0</v>
      </c>
      <c r="Z271" s="581"/>
      <c r="AA271" s="582">
        <f t="shared" si="240"/>
        <v>0</v>
      </c>
      <c r="AB271" s="581"/>
      <c r="AC271" s="582">
        <f t="shared" si="241"/>
        <v>0</v>
      </c>
      <c r="AE271" s="769">
        <f t="shared" si="242"/>
        <v>0</v>
      </c>
    </row>
    <row r="272" spans="1:31" ht="15" hidden="1" customHeight="1" x14ac:dyDescent="0.2">
      <c r="A272" s="611" t="s">
        <v>1036</v>
      </c>
      <c r="B272" s="601" t="s">
        <v>1037</v>
      </c>
      <c r="C272" s="611" t="s">
        <v>111</v>
      </c>
      <c r="D272" s="576">
        <f t="shared" si="230"/>
        <v>0</v>
      </c>
      <c r="E272" s="577">
        <f t="shared" si="207"/>
        <v>0</v>
      </c>
      <c r="F272" s="577">
        <f t="shared" si="231"/>
        <v>0</v>
      </c>
      <c r="G272" s="578"/>
      <c r="I272" s="597"/>
      <c r="J272" s="598">
        <f t="shared" si="232"/>
        <v>0</v>
      </c>
      <c r="K272" s="537"/>
      <c r="L272" s="445">
        <f t="shared" si="233"/>
        <v>0</v>
      </c>
      <c r="M272" s="542"/>
      <c r="N272" s="445">
        <f t="shared" si="234"/>
        <v>0</v>
      </c>
      <c r="O272" s="542"/>
      <c r="P272" s="445">
        <f t="shared" si="235"/>
        <v>0</v>
      </c>
      <c r="Q272" s="542"/>
      <c r="R272" s="445">
        <f t="shared" si="236"/>
        <v>0</v>
      </c>
      <c r="S272" s="542"/>
      <c r="T272" s="445">
        <f t="shared" si="237"/>
        <v>0</v>
      </c>
      <c r="V272" s="581"/>
      <c r="W272" s="582">
        <f t="shared" si="238"/>
        <v>0</v>
      </c>
      <c r="X272" s="581"/>
      <c r="Y272" s="582">
        <f t="shared" si="239"/>
        <v>0</v>
      </c>
      <c r="Z272" s="581"/>
      <c r="AA272" s="582">
        <f t="shared" si="240"/>
        <v>0</v>
      </c>
      <c r="AB272" s="581"/>
      <c r="AC272" s="582">
        <f t="shared" si="241"/>
        <v>0</v>
      </c>
      <c r="AE272" s="769">
        <f t="shared" si="242"/>
        <v>0</v>
      </c>
    </row>
    <row r="273" spans="1:31" s="595" customFormat="1" ht="15.75" x14ac:dyDescent="0.2">
      <c r="A273" s="572" t="s">
        <v>1038</v>
      </c>
      <c r="B273" s="573" t="s">
        <v>1039</v>
      </c>
      <c r="C273" s="846"/>
      <c r="D273" s="576"/>
      <c r="E273" s="577"/>
      <c r="F273" s="180" t="e">
        <f>+ROUND(SUM(F274:F281),10)</f>
        <v>#REF!</v>
      </c>
      <c r="G273" s="473"/>
      <c r="H273" s="568"/>
      <c r="I273" s="613"/>
      <c r="J273" s="440" t="e">
        <f>ROUND(SUM(J274:J281),10)</f>
        <v>#REF!</v>
      </c>
      <c r="K273" s="537"/>
      <c r="L273" s="180" t="e">
        <f>ROUND(SUM(L274:L281),10)</f>
        <v>#REF!</v>
      </c>
      <c r="M273" s="542"/>
      <c r="N273" s="180" t="e">
        <f>ROUND(SUM(N274:N281),10)</f>
        <v>#REF!</v>
      </c>
      <c r="O273" s="542"/>
      <c r="P273" s="180" t="e">
        <f>ROUND(SUM(P274:P281),10)</f>
        <v>#REF!</v>
      </c>
      <c r="Q273" s="542"/>
      <c r="R273" s="180" t="e">
        <f>ROUND(SUM(R274:R281),10)</f>
        <v>#REF!</v>
      </c>
      <c r="S273" s="542"/>
      <c r="T273" s="180" t="e">
        <f>ROUND(SUM(T274:T281),10)</f>
        <v>#REF!</v>
      </c>
      <c r="U273" s="568"/>
      <c r="V273" s="575"/>
      <c r="W273" s="570" t="e">
        <f>ROUND(SUM(W274:W281),10)</f>
        <v>#REF!</v>
      </c>
      <c r="X273" s="575"/>
      <c r="Y273" s="570" t="e">
        <f>ROUND(SUM(Y274:Y281),10)</f>
        <v>#REF!</v>
      </c>
      <c r="Z273" s="575"/>
      <c r="AA273" s="570" t="e">
        <f>ROUND(SUM(AA274:AA281),10)</f>
        <v>#REF!</v>
      </c>
      <c r="AB273" s="575"/>
      <c r="AC273" s="570" t="e">
        <f>ROUND(SUM(AC274:AC281),10)</f>
        <v>#REF!</v>
      </c>
      <c r="AD273" s="912"/>
      <c r="AE273" s="769" t="e">
        <f t="shared" si="242"/>
        <v>#REF!</v>
      </c>
    </row>
    <row r="274" spans="1:31" s="595" customFormat="1" ht="15" hidden="1" customHeight="1" x14ac:dyDescent="0.2">
      <c r="A274" s="611" t="s">
        <v>1040</v>
      </c>
      <c r="B274" s="601" t="s">
        <v>1041</v>
      </c>
      <c r="C274" s="611" t="s">
        <v>111</v>
      </c>
      <c r="D274" s="576">
        <f t="shared" ref="D274:D281" si="243">+I274+K274+M274+O274+Q274+S274</f>
        <v>0</v>
      </c>
      <c r="E274" s="577" t="e">
        <f t="shared" si="207"/>
        <v>#REF!</v>
      </c>
      <c r="F274" s="577" t="e">
        <f t="shared" ref="F274:F281" si="244">ROUND(D274*E274,10)</f>
        <v>#REF!</v>
      </c>
      <c r="G274" s="578"/>
      <c r="H274" s="552"/>
      <c r="I274" s="594"/>
      <c r="J274" s="580" t="e">
        <f>+ROUND(E274*I274,10)</f>
        <v>#REF!</v>
      </c>
      <c r="K274" s="537"/>
      <c r="L274" s="445" t="e">
        <f>+ROUND(E274*K274,10)</f>
        <v>#REF!</v>
      </c>
      <c r="M274" s="542"/>
      <c r="N274" s="445" t="e">
        <f>+ROUND(E274*M274,10)</f>
        <v>#REF!</v>
      </c>
      <c r="O274" s="542"/>
      <c r="P274" s="445" t="e">
        <f t="shared" ref="P274:P281" si="245">+ROUND(E274*O274,10)</f>
        <v>#REF!</v>
      </c>
      <c r="Q274" s="542"/>
      <c r="R274" s="445" t="e">
        <f t="shared" ref="R274:R281" si="246">+ROUND(E274*Q274,10)</f>
        <v>#REF!</v>
      </c>
      <c r="S274" s="542"/>
      <c r="T274" s="445" t="e">
        <f t="shared" ref="T274:T281" si="247">+ROUND(E274*S274,10)</f>
        <v>#REF!</v>
      </c>
      <c r="U274" s="552"/>
      <c r="V274" s="581" t="e">
        <f>+#REF!</f>
        <v>#REF!</v>
      </c>
      <c r="W274" s="582" t="e">
        <f>ROUND(V274*$D274,10)</f>
        <v>#REF!</v>
      </c>
      <c r="X274" s="581" t="e">
        <f>+#REF!</f>
        <v>#REF!</v>
      </c>
      <c r="Y274" s="582" t="e">
        <f t="shared" ref="Y274:Y281" si="248">ROUND(X274*$D274,10)</f>
        <v>#REF!</v>
      </c>
      <c r="Z274" s="581" t="e">
        <f>+#REF!</f>
        <v>#REF!</v>
      </c>
      <c r="AA274" s="582" t="e">
        <f>ROUND(Z274*$D274,10)</f>
        <v>#REF!</v>
      </c>
      <c r="AB274" s="581" t="e">
        <f>+#REF!</f>
        <v>#REF!</v>
      </c>
      <c r="AC274" s="582" t="e">
        <f t="shared" ref="AC274:AC281" si="249">ROUND(AB274*$D274,10)</f>
        <v>#REF!</v>
      </c>
      <c r="AD274" s="912"/>
      <c r="AE274" s="769" t="e">
        <f t="shared" si="242"/>
        <v>#REF!</v>
      </c>
    </row>
    <row r="275" spans="1:31" s="595" customFormat="1" x14ac:dyDescent="0.2">
      <c r="A275" s="611" t="s">
        <v>1042</v>
      </c>
      <c r="B275" s="601" t="s">
        <v>1043</v>
      </c>
      <c r="C275" s="611" t="s">
        <v>111</v>
      </c>
      <c r="D275" s="576">
        <f t="shared" si="243"/>
        <v>3</v>
      </c>
      <c r="E275" s="577" t="e">
        <f t="shared" si="207"/>
        <v>#REF!</v>
      </c>
      <c r="F275" s="577" t="e">
        <f t="shared" si="244"/>
        <v>#REF!</v>
      </c>
      <c r="G275" s="578"/>
      <c r="H275" s="552"/>
      <c r="I275" s="594"/>
      <c r="J275" s="580"/>
      <c r="K275" s="537"/>
      <c r="L275" s="445" t="e">
        <f t="shared" ref="L275:L280" si="250">+ROUND(E275*K275,10)</f>
        <v>#REF!</v>
      </c>
      <c r="M275" s="542">
        <v>1</v>
      </c>
      <c r="N275" s="445" t="e">
        <f t="shared" ref="N275:N280" si="251">+ROUND(E275*M275,10)</f>
        <v>#REF!</v>
      </c>
      <c r="O275" s="542">
        <v>2</v>
      </c>
      <c r="P275" s="445" t="e">
        <f t="shared" si="245"/>
        <v>#REF!</v>
      </c>
      <c r="Q275" s="542"/>
      <c r="R275" s="445" t="e">
        <f t="shared" si="246"/>
        <v>#REF!</v>
      </c>
      <c r="S275" s="542"/>
      <c r="T275" s="445" t="e">
        <f t="shared" si="247"/>
        <v>#REF!</v>
      </c>
      <c r="U275" s="552"/>
      <c r="V275" s="581" t="e">
        <f>+#REF!</f>
        <v>#REF!</v>
      </c>
      <c r="W275" s="582" t="e">
        <f t="shared" ref="W275:W280" si="252">ROUND(V275*$D275,10)</f>
        <v>#REF!</v>
      </c>
      <c r="X275" s="581" t="e">
        <f>+#REF!</f>
        <v>#REF!</v>
      </c>
      <c r="Y275" s="582" t="e">
        <f t="shared" si="248"/>
        <v>#REF!</v>
      </c>
      <c r="Z275" s="581" t="e">
        <f>+#REF!</f>
        <v>#REF!</v>
      </c>
      <c r="AA275" s="582" t="e">
        <f t="shared" ref="AA275:AA280" si="253">ROUND(Z275*$D275,10)</f>
        <v>#REF!</v>
      </c>
      <c r="AB275" s="581" t="e">
        <f>+#REF!</f>
        <v>#REF!</v>
      </c>
      <c r="AC275" s="582" t="e">
        <f t="shared" si="249"/>
        <v>#REF!</v>
      </c>
      <c r="AD275" s="912"/>
      <c r="AE275" s="769" t="e">
        <f t="shared" si="242"/>
        <v>#REF!</v>
      </c>
    </row>
    <row r="276" spans="1:31" s="595" customFormat="1" ht="15.75" customHeight="1" x14ac:dyDescent="0.2">
      <c r="A276" s="611" t="s">
        <v>1044</v>
      </c>
      <c r="B276" s="601" t="s">
        <v>1045</v>
      </c>
      <c r="C276" s="611" t="s">
        <v>111</v>
      </c>
      <c r="D276" s="576">
        <f t="shared" si="243"/>
        <v>19</v>
      </c>
      <c r="E276" s="577" t="e">
        <f t="shared" si="207"/>
        <v>#REF!</v>
      </c>
      <c r="F276" s="577" t="e">
        <f t="shared" si="244"/>
        <v>#REF!</v>
      </c>
      <c r="G276" s="578"/>
      <c r="H276" s="552"/>
      <c r="I276" s="594"/>
      <c r="J276" s="580"/>
      <c r="K276" s="537"/>
      <c r="L276" s="445" t="e">
        <f t="shared" si="250"/>
        <v>#REF!</v>
      </c>
      <c r="M276" s="542">
        <v>8</v>
      </c>
      <c r="N276" s="445" t="e">
        <f t="shared" si="251"/>
        <v>#REF!</v>
      </c>
      <c r="O276" s="542">
        <v>11</v>
      </c>
      <c r="P276" s="445" t="e">
        <f t="shared" si="245"/>
        <v>#REF!</v>
      </c>
      <c r="Q276" s="542"/>
      <c r="R276" s="445" t="e">
        <f t="shared" si="246"/>
        <v>#REF!</v>
      </c>
      <c r="S276" s="542"/>
      <c r="T276" s="445" t="e">
        <f t="shared" si="247"/>
        <v>#REF!</v>
      </c>
      <c r="U276" s="552"/>
      <c r="V276" s="581" t="e">
        <f>+#REF!</f>
        <v>#REF!</v>
      </c>
      <c r="W276" s="582" t="e">
        <f t="shared" si="252"/>
        <v>#REF!</v>
      </c>
      <c r="X276" s="581" t="e">
        <f>+#REF!</f>
        <v>#REF!</v>
      </c>
      <c r="Y276" s="582" t="e">
        <f t="shared" si="248"/>
        <v>#REF!</v>
      </c>
      <c r="Z276" s="581" t="e">
        <f>+#REF!</f>
        <v>#REF!</v>
      </c>
      <c r="AA276" s="582" t="e">
        <f t="shared" si="253"/>
        <v>#REF!</v>
      </c>
      <c r="AB276" s="581" t="e">
        <f>+#REF!</f>
        <v>#REF!</v>
      </c>
      <c r="AC276" s="582" t="e">
        <f t="shared" si="249"/>
        <v>#REF!</v>
      </c>
      <c r="AD276" s="912"/>
      <c r="AE276" s="769" t="e">
        <f t="shared" si="242"/>
        <v>#REF!</v>
      </c>
    </row>
    <row r="277" spans="1:31" s="595" customFormat="1" ht="15" hidden="1" customHeight="1" x14ac:dyDescent="0.2">
      <c r="A277" s="611" t="s">
        <v>1046</v>
      </c>
      <c r="B277" s="601" t="s">
        <v>1047</v>
      </c>
      <c r="C277" s="611" t="s">
        <v>111</v>
      </c>
      <c r="D277" s="576">
        <f t="shared" si="243"/>
        <v>0</v>
      </c>
      <c r="E277" s="577" t="e">
        <f t="shared" si="207"/>
        <v>#REF!</v>
      </c>
      <c r="F277" s="577" t="e">
        <f t="shared" si="244"/>
        <v>#REF!</v>
      </c>
      <c r="G277" s="578"/>
      <c r="H277" s="552"/>
      <c r="I277" s="594"/>
      <c r="J277" s="580"/>
      <c r="K277" s="537"/>
      <c r="L277" s="445" t="e">
        <f t="shared" si="250"/>
        <v>#REF!</v>
      </c>
      <c r="M277" s="542"/>
      <c r="N277" s="445" t="e">
        <f t="shared" si="251"/>
        <v>#REF!</v>
      </c>
      <c r="O277" s="542"/>
      <c r="P277" s="445" t="e">
        <f t="shared" si="245"/>
        <v>#REF!</v>
      </c>
      <c r="Q277" s="542"/>
      <c r="R277" s="445" t="e">
        <f t="shared" si="246"/>
        <v>#REF!</v>
      </c>
      <c r="S277" s="542"/>
      <c r="T277" s="445" t="e">
        <f t="shared" si="247"/>
        <v>#REF!</v>
      </c>
      <c r="U277" s="552"/>
      <c r="V277" s="581" t="e">
        <f>+'7,1,5,4 Registro 114'!I20</f>
        <v>#REF!</v>
      </c>
      <c r="W277" s="582" t="e">
        <f t="shared" si="252"/>
        <v>#REF!</v>
      </c>
      <c r="X277" s="581">
        <f>+'7,1,5,4 Registro 114'!I51</f>
        <v>10468.49</v>
      </c>
      <c r="Y277" s="582">
        <f t="shared" si="248"/>
        <v>0</v>
      </c>
      <c r="Z277" s="581">
        <f>+'7,1,5,4 Registro 114'!I31</f>
        <v>161.30000000000001</v>
      </c>
      <c r="AA277" s="582">
        <f t="shared" si="253"/>
        <v>0</v>
      </c>
      <c r="AB277" s="581">
        <f>+'7,1,5,4 Registro 114'!I42</f>
        <v>0</v>
      </c>
      <c r="AC277" s="582">
        <f t="shared" si="249"/>
        <v>0</v>
      </c>
      <c r="AD277" s="912"/>
      <c r="AE277" s="769" t="e">
        <f t="shared" si="242"/>
        <v>#REF!</v>
      </c>
    </row>
    <row r="278" spans="1:31" s="595" customFormat="1" ht="15" hidden="1" customHeight="1" x14ac:dyDescent="0.2">
      <c r="A278" s="611" t="s">
        <v>1048</v>
      </c>
      <c r="B278" s="601" t="s">
        <v>1049</v>
      </c>
      <c r="C278" s="611" t="s">
        <v>111</v>
      </c>
      <c r="D278" s="576">
        <f t="shared" si="243"/>
        <v>0</v>
      </c>
      <c r="E278" s="577" t="e">
        <f t="shared" si="207"/>
        <v>#REF!</v>
      </c>
      <c r="F278" s="577" t="e">
        <f t="shared" si="244"/>
        <v>#REF!</v>
      </c>
      <c r="G278" s="578"/>
      <c r="H278" s="552"/>
      <c r="I278" s="594"/>
      <c r="J278" s="580"/>
      <c r="K278" s="537"/>
      <c r="L278" s="445" t="e">
        <f t="shared" si="250"/>
        <v>#REF!</v>
      </c>
      <c r="M278" s="542"/>
      <c r="N278" s="445" t="e">
        <f t="shared" si="251"/>
        <v>#REF!</v>
      </c>
      <c r="O278" s="542"/>
      <c r="P278" s="445" t="e">
        <f t="shared" si="245"/>
        <v>#REF!</v>
      </c>
      <c r="Q278" s="542"/>
      <c r="R278" s="445" t="e">
        <f t="shared" si="246"/>
        <v>#REF!</v>
      </c>
      <c r="S278" s="542"/>
      <c r="T278" s="445" t="e">
        <f t="shared" si="247"/>
        <v>#REF!</v>
      </c>
      <c r="U278" s="552"/>
      <c r="V278" s="581" t="e">
        <f>+'7,1,5,5 Registro 1 12'!I20</f>
        <v>#REF!</v>
      </c>
      <c r="W278" s="582" t="e">
        <f t="shared" si="252"/>
        <v>#REF!</v>
      </c>
      <c r="X278" s="581">
        <f>+'7,1,5,5 Registro 1 12'!I51</f>
        <v>10468.49</v>
      </c>
      <c r="Y278" s="582">
        <f t="shared" si="248"/>
        <v>0</v>
      </c>
      <c r="Z278" s="581">
        <f>+'7,1,5,5 Registro 1 12'!I31</f>
        <v>161.30000000000001</v>
      </c>
      <c r="AA278" s="582">
        <f t="shared" si="253"/>
        <v>0</v>
      </c>
      <c r="AB278" s="581">
        <f>+'7,1,5,5 Registro 1 12'!I42</f>
        <v>0</v>
      </c>
      <c r="AC278" s="582">
        <f t="shared" si="249"/>
        <v>0</v>
      </c>
      <c r="AD278" s="912"/>
      <c r="AE278" s="769" t="e">
        <f t="shared" si="242"/>
        <v>#REF!</v>
      </c>
    </row>
    <row r="279" spans="1:31" s="595" customFormat="1" ht="15" hidden="1" customHeight="1" x14ac:dyDescent="0.2">
      <c r="A279" s="611" t="s">
        <v>1050</v>
      </c>
      <c r="B279" s="601" t="s">
        <v>1051</v>
      </c>
      <c r="C279" s="611" t="s">
        <v>111</v>
      </c>
      <c r="D279" s="576">
        <f t="shared" si="243"/>
        <v>0</v>
      </c>
      <c r="E279" s="577" t="e">
        <f t="shared" si="207"/>
        <v>#REF!</v>
      </c>
      <c r="F279" s="577" t="e">
        <f t="shared" si="244"/>
        <v>#REF!</v>
      </c>
      <c r="G279" s="578"/>
      <c r="H279" s="552"/>
      <c r="I279" s="584"/>
      <c r="J279" s="585" t="e">
        <f>+ROUND(E279*I279,10)</f>
        <v>#REF!</v>
      </c>
      <c r="K279" s="537"/>
      <c r="L279" s="445" t="e">
        <f t="shared" si="250"/>
        <v>#REF!</v>
      </c>
      <c r="M279" s="542"/>
      <c r="N279" s="445" t="e">
        <f t="shared" si="251"/>
        <v>#REF!</v>
      </c>
      <c r="O279" s="542"/>
      <c r="P279" s="445" t="e">
        <f t="shared" si="245"/>
        <v>#REF!</v>
      </c>
      <c r="Q279" s="542"/>
      <c r="R279" s="445" t="e">
        <f t="shared" si="246"/>
        <v>#REF!</v>
      </c>
      <c r="S279" s="542"/>
      <c r="T279" s="445" t="e">
        <f t="shared" si="247"/>
        <v>#REF!</v>
      </c>
      <c r="U279" s="552"/>
      <c r="V279" s="581" t="e">
        <f>+'7,1,5,6 Registro 2 '!I20</f>
        <v>#REF!</v>
      </c>
      <c r="W279" s="582" t="e">
        <f t="shared" si="252"/>
        <v>#REF!</v>
      </c>
      <c r="X279" s="581">
        <f>+'7,1,5,6 Registro 2 '!I51</f>
        <v>10468.49</v>
      </c>
      <c r="Y279" s="582">
        <f t="shared" si="248"/>
        <v>0</v>
      </c>
      <c r="Z279" s="581">
        <f>+'7,1,5,6 Registro 2 '!I31</f>
        <v>161.30000000000001</v>
      </c>
      <c r="AA279" s="582">
        <f t="shared" si="253"/>
        <v>0</v>
      </c>
      <c r="AB279" s="581">
        <f>+'7,1,5,6 Registro 2 '!I42</f>
        <v>0</v>
      </c>
      <c r="AC279" s="582">
        <f t="shared" si="249"/>
        <v>0</v>
      </c>
      <c r="AD279" s="912"/>
      <c r="AE279" s="769" t="e">
        <f t="shared" si="242"/>
        <v>#REF!</v>
      </c>
    </row>
    <row r="280" spans="1:31" s="595" customFormat="1" ht="15" hidden="1" customHeight="1" x14ac:dyDescent="0.2">
      <c r="A280" s="611" t="s">
        <v>1052</v>
      </c>
      <c r="B280" s="601" t="s">
        <v>1053</v>
      </c>
      <c r="C280" s="611" t="s">
        <v>111</v>
      </c>
      <c r="D280" s="576">
        <f t="shared" si="243"/>
        <v>0</v>
      </c>
      <c r="E280" s="577">
        <f t="shared" si="207"/>
        <v>0</v>
      </c>
      <c r="F280" s="577">
        <f t="shared" si="244"/>
        <v>0</v>
      </c>
      <c r="G280" s="578"/>
      <c r="H280" s="552"/>
      <c r="I280" s="584"/>
      <c r="J280" s="585">
        <f>+ROUND(E280*I280,10)</f>
        <v>0</v>
      </c>
      <c r="K280" s="537"/>
      <c r="L280" s="445">
        <f t="shared" si="250"/>
        <v>0</v>
      </c>
      <c r="M280" s="542"/>
      <c r="N280" s="445">
        <f t="shared" si="251"/>
        <v>0</v>
      </c>
      <c r="O280" s="542"/>
      <c r="P280" s="445">
        <f t="shared" si="245"/>
        <v>0</v>
      </c>
      <c r="Q280" s="542"/>
      <c r="R280" s="445">
        <f t="shared" si="246"/>
        <v>0</v>
      </c>
      <c r="S280" s="542"/>
      <c r="T280" s="445">
        <f t="shared" si="247"/>
        <v>0</v>
      </c>
      <c r="U280" s="552"/>
      <c r="V280" s="581"/>
      <c r="W280" s="582">
        <f t="shared" si="252"/>
        <v>0</v>
      </c>
      <c r="X280" s="581"/>
      <c r="Y280" s="582">
        <f t="shared" si="248"/>
        <v>0</v>
      </c>
      <c r="Z280" s="581"/>
      <c r="AA280" s="582">
        <f t="shared" si="253"/>
        <v>0</v>
      </c>
      <c r="AB280" s="581"/>
      <c r="AC280" s="582">
        <f t="shared" si="249"/>
        <v>0</v>
      </c>
      <c r="AD280" s="912"/>
      <c r="AE280" s="769">
        <f t="shared" si="242"/>
        <v>0</v>
      </c>
    </row>
    <row r="281" spans="1:31" s="595" customFormat="1" x14ac:dyDescent="0.2">
      <c r="A281" s="611" t="s">
        <v>1054</v>
      </c>
      <c r="B281" s="601" t="s">
        <v>1055</v>
      </c>
      <c r="C281" s="611" t="s">
        <v>111</v>
      </c>
      <c r="D281" s="576">
        <f t="shared" si="243"/>
        <v>10</v>
      </c>
      <c r="E281" s="577" t="e">
        <f t="shared" si="207"/>
        <v>#REF!</v>
      </c>
      <c r="F281" s="577" t="e">
        <f t="shared" si="244"/>
        <v>#REF!</v>
      </c>
      <c r="G281" s="578"/>
      <c r="H281" s="552"/>
      <c r="I281" s="597"/>
      <c r="J281" s="598" t="e">
        <f>+ROUND(E281*I281,10)</f>
        <v>#REF!</v>
      </c>
      <c r="K281" s="537"/>
      <c r="L281" s="445" t="e">
        <f>+ROUND(E281*K281,10)</f>
        <v>#REF!</v>
      </c>
      <c r="M281" s="542">
        <v>3</v>
      </c>
      <c r="N281" s="445" t="e">
        <f>+ROUND(E281*M281,10)</f>
        <v>#REF!</v>
      </c>
      <c r="O281" s="542">
        <v>7</v>
      </c>
      <c r="P281" s="445" t="e">
        <f t="shared" si="245"/>
        <v>#REF!</v>
      </c>
      <c r="Q281" s="542"/>
      <c r="R281" s="445" t="e">
        <f t="shared" si="246"/>
        <v>#REF!</v>
      </c>
      <c r="S281" s="542"/>
      <c r="T281" s="445" t="e">
        <f t="shared" si="247"/>
        <v>#REF!</v>
      </c>
      <c r="U281" s="552"/>
      <c r="V281" s="581" t="e">
        <f>+#REF!</f>
        <v>#REF!</v>
      </c>
      <c r="W281" s="582" t="e">
        <f>ROUND(V281*$D281,10)</f>
        <v>#REF!</v>
      </c>
      <c r="X281" s="581" t="e">
        <f>+#REF!</f>
        <v>#REF!</v>
      </c>
      <c r="Y281" s="582" t="e">
        <f t="shared" si="248"/>
        <v>#REF!</v>
      </c>
      <c r="Z281" s="581" t="e">
        <f>+#REF!</f>
        <v>#REF!</v>
      </c>
      <c r="AA281" s="582" t="e">
        <f>ROUND(Z281*$D281,10)</f>
        <v>#REF!</v>
      </c>
      <c r="AB281" s="581" t="e">
        <f>+#REF!</f>
        <v>#REF!</v>
      </c>
      <c r="AC281" s="582" t="e">
        <f t="shared" si="249"/>
        <v>#REF!</v>
      </c>
      <c r="AD281" s="912"/>
      <c r="AE281" s="769" t="e">
        <f t="shared" si="242"/>
        <v>#REF!</v>
      </c>
    </row>
    <row r="282" spans="1:31" s="595" customFormat="1" ht="27" customHeight="1" x14ac:dyDescent="0.2">
      <c r="A282" s="572" t="s">
        <v>1056</v>
      </c>
      <c r="B282" s="573" t="s">
        <v>1057</v>
      </c>
      <c r="C282" s="846"/>
      <c r="D282" s="576"/>
      <c r="E282" s="577"/>
      <c r="F282" s="180" t="e">
        <f>+ROUND(SUM(F283:F293),10)</f>
        <v>#REF!</v>
      </c>
      <c r="G282" s="473"/>
      <c r="H282" s="568"/>
      <c r="I282" s="613"/>
      <c r="J282" s="440" t="e">
        <f>ROUND(SUM(J283:J293),10)</f>
        <v>#REF!</v>
      </c>
      <c r="K282" s="537"/>
      <c r="L282" s="180" t="e">
        <f>ROUND(SUM(L283:L293),10)</f>
        <v>#REF!</v>
      </c>
      <c r="M282" s="542"/>
      <c r="N282" s="180" t="e">
        <f>ROUND(SUM(N283:N293),10)</f>
        <v>#REF!</v>
      </c>
      <c r="O282" s="542"/>
      <c r="P282" s="180" t="e">
        <f>ROUND(SUM(P283:P293),10)</f>
        <v>#REF!</v>
      </c>
      <c r="Q282" s="542"/>
      <c r="R282" s="180" t="e">
        <f>ROUND(SUM(R283:R293),10)</f>
        <v>#REF!</v>
      </c>
      <c r="S282" s="542"/>
      <c r="T282" s="180" t="e">
        <f>ROUND(SUM(T283:T293),10)</f>
        <v>#REF!</v>
      </c>
      <c r="U282" s="568"/>
      <c r="V282" s="575"/>
      <c r="W282" s="570" t="e">
        <f>ROUND(SUM(W283:W293),10)</f>
        <v>#REF!</v>
      </c>
      <c r="X282" s="575"/>
      <c r="Y282" s="570" t="e">
        <f>ROUND(SUM(Y283:Y293),10)</f>
        <v>#REF!</v>
      </c>
      <c r="Z282" s="575"/>
      <c r="AA282" s="570" t="e">
        <f>ROUND(SUM(AA283:AA293),10)</f>
        <v>#REF!</v>
      </c>
      <c r="AB282" s="575"/>
      <c r="AC282" s="570" t="e">
        <f>ROUND(SUM(AC283:AC293),10)</f>
        <v>#REF!</v>
      </c>
      <c r="AD282" s="912"/>
      <c r="AE282" s="769" t="e">
        <f t="shared" si="242"/>
        <v>#REF!</v>
      </c>
    </row>
    <row r="283" spans="1:31" s="595" customFormat="1" x14ac:dyDescent="0.2">
      <c r="A283" s="611" t="s">
        <v>1058</v>
      </c>
      <c r="B283" s="601" t="s">
        <v>1059</v>
      </c>
      <c r="C283" s="611" t="s">
        <v>114</v>
      </c>
      <c r="D283" s="576">
        <f t="shared" ref="D283:D293" si="254">+I283+K283+M283+O283+Q283+S283</f>
        <v>41</v>
      </c>
      <c r="E283" s="577" t="e">
        <f t="shared" si="207"/>
        <v>#REF!</v>
      </c>
      <c r="F283" s="577" t="e">
        <f t="shared" ref="F283:F293" si="255">ROUND(D283*E283,10)</f>
        <v>#REF!</v>
      </c>
      <c r="G283" s="578"/>
      <c r="H283" s="552"/>
      <c r="I283" s="594"/>
      <c r="J283" s="580" t="e">
        <f>+ROUND(E283*I283,10)</f>
        <v>#REF!</v>
      </c>
      <c r="K283" s="537"/>
      <c r="L283" s="445" t="e">
        <f t="shared" ref="L283:L293" si="256">+ROUND(E283*K283,10)</f>
        <v>#REF!</v>
      </c>
      <c r="M283" s="542"/>
      <c r="N283" s="445" t="e">
        <f t="shared" ref="N283:N293" si="257">+ROUND(E283*M283,10)</f>
        <v>#REF!</v>
      </c>
      <c r="O283" s="542">
        <v>41</v>
      </c>
      <c r="P283" s="445" t="e">
        <f t="shared" ref="P283:P293" si="258">+ROUND(E283*O283,10)</f>
        <v>#REF!</v>
      </c>
      <c r="Q283" s="542"/>
      <c r="R283" s="445" t="e">
        <f t="shared" ref="R283:R293" si="259">+ROUND(E283*Q283,10)</f>
        <v>#REF!</v>
      </c>
      <c r="S283" s="542"/>
      <c r="T283" s="445" t="e">
        <f t="shared" ref="T283:T293" si="260">+ROUND(E283*S283,10)</f>
        <v>#REF!</v>
      </c>
      <c r="U283" s="552"/>
      <c r="V283" s="581" t="e">
        <f>+#REF!</f>
        <v>#REF!</v>
      </c>
      <c r="W283" s="582" t="e">
        <f t="shared" ref="W283:W293" si="261">ROUND(V283*$D283,10)</f>
        <v>#REF!</v>
      </c>
      <c r="X283" s="581" t="e">
        <f>+#REF!</f>
        <v>#REF!</v>
      </c>
      <c r="Y283" s="582" t="e">
        <f t="shared" ref="Y283:Y293" si="262">ROUND(X283*$D283,10)</f>
        <v>#REF!</v>
      </c>
      <c r="Z283" s="581" t="e">
        <f>+#REF!</f>
        <v>#REF!</v>
      </c>
      <c r="AA283" s="582" t="e">
        <f t="shared" ref="AA283:AA293" si="263">ROUND(Z283*$D283,10)</f>
        <v>#REF!</v>
      </c>
      <c r="AB283" s="581"/>
      <c r="AC283" s="582">
        <f t="shared" ref="AC283:AC293" si="264">ROUND(AB283*$D283,10)</f>
        <v>0</v>
      </c>
      <c r="AD283" s="912"/>
      <c r="AE283" s="769" t="e">
        <f t="shared" si="242"/>
        <v>#REF!</v>
      </c>
    </row>
    <row r="284" spans="1:31" s="595" customFormat="1" x14ac:dyDescent="0.2">
      <c r="A284" s="611" t="s">
        <v>1060</v>
      </c>
      <c r="B284" s="610" t="s">
        <v>1061</v>
      </c>
      <c r="C284" s="611" t="s">
        <v>114</v>
      </c>
      <c r="D284" s="576">
        <f t="shared" si="254"/>
        <v>36</v>
      </c>
      <c r="E284" s="577" t="e">
        <f t="shared" si="207"/>
        <v>#REF!</v>
      </c>
      <c r="F284" s="577" t="e">
        <f t="shared" si="255"/>
        <v>#REF!</v>
      </c>
      <c r="G284" s="578"/>
      <c r="H284" s="552"/>
      <c r="I284" s="584"/>
      <c r="J284" s="585" t="e">
        <f>+ROUND(E284*I284,10)</f>
        <v>#REF!</v>
      </c>
      <c r="K284" s="537"/>
      <c r="L284" s="445" t="e">
        <f t="shared" si="256"/>
        <v>#REF!</v>
      </c>
      <c r="M284" s="542"/>
      <c r="N284" s="445" t="e">
        <f t="shared" si="257"/>
        <v>#REF!</v>
      </c>
      <c r="O284" s="542">
        <v>36</v>
      </c>
      <c r="P284" s="445" t="e">
        <f t="shared" si="258"/>
        <v>#REF!</v>
      </c>
      <c r="Q284" s="542"/>
      <c r="R284" s="445" t="e">
        <f t="shared" si="259"/>
        <v>#REF!</v>
      </c>
      <c r="S284" s="542"/>
      <c r="T284" s="445" t="e">
        <f t="shared" si="260"/>
        <v>#REF!</v>
      </c>
      <c r="U284" s="552"/>
      <c r="V284" s="581" t="e">
        <f>+#REF!</f>
        <v>#REF!</v>
      </c>
      <c r="W284" s="582" t="e">
        <f t="shared" si="261"/>
        <v>#REF!</v>
      </c>
      <c r="X284" s="581" t="e">
        <f>+#REF!</f>
        <v>#REF!</v>
      </c>
      <c r="Y284" s="582" t="e">
        <f t="shared" si="262"/>
        <v>#REF!</v>
      </c>
      <c r="Z284" s="581" t="e">
        <f>+#REF!</f>
        <v>#REF!</v>
      </c>
      <c r="AA284" s="582" t="e">
        <f t="shared" si="263"/>
        <v>#REF!</v>
      </c>
      <c r="AB284" s="581"/>
      <c r="AC284" s="582">
        <f t="shared" si="264"/>
        <v>0</v>
      </c>
      <c r="AD284" s="912"/>
      <c r="AE284" s="769" t="e">
        <f t="shared" si="242"/>
        <v>#REF!</v>
      </c>
    </row>
    <row r="285" spans="1:31" s="595" customFormat="1" x14ac:dyDescent="0.2">
      <c r="A285" s="611" t="s">
        <v>1062</v>
      </c>
      <c r="B285" s="610" t="s">
        <v>1063</v>
      </c>
      <c r="C285" s="611" t="s">
        <v>114</v>
      </c>
      <c r="D285" s="576">
        <f t="shared" si="254"/>
        <v>97.5</v>
      </c>
      <c r="E285" s="577" t="e">
        <f t="shared" si="207"/>
        <v>#REF!</v>
      </c>
      <c r="F285" s="577" t="e">
        <f t="shared" si="255"/>
        <v>#REF!</v>
      </c>
      <c r="G285" s="578"/>
      <c r="H285" s="552"/>
      <c r="I285" s="584"/>
      <c r="J285" s="585" t="e">
        <f>+ROUND(E285*I285,10)</f>
        <v>#REF!</v>
      </c>
      <c r="K285" s="537"/>
      <c r="L285" s="445" t="e">
        <f t="shared" si="256"/>
        <v>#REF!</v>
      </c>
      <c r="M285" s="542"/>
      <c r="N285" s="445" t="e">
        <f t="shared" si="257"/>
        <v>#REF!</v>
      </c>
      <c r="O285" s="542">
        <v>97.5</v>
      </c>
      <c r="P285" s="445" t="e">
        <f t="shared" si="258"/>
        <v>#REF!</v>
      </c>
      <c r="Q285" s="542"/>
      <c r="R285" s="445" t="e">
        <f t="shared" si="259"/>
        <v>#REF!</v>
      </c>
      <c r="S285" s="542"/>
      <c r="T285" s="445" t="e">
        <f t="shared" si="260"/>
        <v>#REF!</v>
      </c>
      <c r="U285" s="552"/>
      <c r="V285" s="581" t="e">
        <f>+#REF!</f>
        <v>#REF!</v>
      </c>
      <c r="W285" s="582" t="e">
        <f t="shared" si="261"/>
        <v>#REF!</v>
      </c>
      <c r="X285" s="581" t="e">
        <f>+#REF!</f>
        <v>#REF!</v>
      </c>
      <c r="Y285" s="582" t="e">
        <f t="shared" si="262"/>
        <v>#REF!</v>
      </c>
      <c r="Z285" s="581" t="e">
        <f>+#REF!</f>
        <v>#REF!</v>
      </c>
      <c r="AA285" s="582" t="e">
        <f t="shared" si="263"/>
        <v>#REF!</v>
      </c>
      <c r="AB285" s="581"/>
      <c r="AC285" s="582">
        <f t="shared" si="264"/>
        <v>0</v>
      </c>
      <c r="AD285" s="912"/>
      <c r="AE285" s="769" t="e">
        <f t="shared" si="242"/>
        <v>#REF!</v>
      </c>
    </row>
    <row r="286" spans="1:31" s="595" customFormat="1" ht="15" hidden="1" customHeight="1" x14ac:dyDescent="0.2">
      <c r="A286" s="611" t="s">
        <v>1064</v>
      </c>
      <c r="B286" s="610" t="s">
        <v>1065</v>
      </c>
      <c r="C286" s="611" t="s">
        <v>114</v>
      </c>
      <c r="D286" s="576">
        <f t="shared" si="254"/>
        <v>0</v>
      </c>
      <c r="E286" s="577" t="e">
        <f t="shared" si="207"/>
        <v>#REF!</v>
      </c>
      <c r="F286" s="577" t="e">
        <f t="shared" si="255"/>
        <v>#REF!</v>
      </c>
      <c r="G286" s="578"/>
      <c r="H286" s="552"/>
      <c r="I286" s="584"/>
      <c r="J286" s="585" t="e">
        <f>+ROUND(E286*I286,10)</f>
        <v>#REF!</v>
      </c>
      <c r="K286" s="537"/>
      <c r="L286" s="445" t="e">
        <f t="shared" si="256"/>
        <v>#REF!</v>
      </c>
      <c r="M286" s="542"/>
      <c r="N286" s="445" t="e">
        <f t="shared" si="257"/>
        <v>#REF!</v>
      </c>
      <c r="O286" s="542"/>
      <c r="P286" s="445" t="e">
        <f t="shared" si="258"/>
        <v>#REF!</v>
      </c>
      <c r="Q286" s="542"/>
      <c r="R286" s="445" t="e">
        <f t="shared" si="259"/>
        <v>#REF!</v>
      </c>
      <c r="S286" s="542"/>
      <c r="T286" s="445" t="e">
        <f t="shared" si="260"/>
        <v>#REF!</v>
      </c>
      <c r="U286" s="552"/>
      <c r="V286" s="581" t="e">
        <f>+'7,1,6,4 Acometida 1 14'!I20</f>
        <v>#REF!</v>
      </c>
      <c r="W286" s="582" t="e">
        <f t="shared" si="261"/>
        <v>#REF!</v>
      </c>
      <c r="X286" s="581">
        <f>+'7,1,6,4 Acometida 1 14'!I51</f>
        <v>2868.08</v>
      </c>
      <c r="Y286" s="582">
        <f t="shared" si="262"/>
        <v>0</v>
      </c>
      <c r="Z286" s="581">
        <f>+'7,1,6,4 Acometida 1 14'!I31</f>
        <v>154.58000000000001</v>
      </c>
      <c r="AA286" s="582">
        <f t="shared" si="263"/>
        <v>0</v>
      </c>
      <c r="AB286" s="581"/>
      <c r="AC286" s="582">
        <f t="shared" si="264"/>
        <v>0</v>
      </c>
      <c r="AD286" s="912"/>
      <c r="AE286" s="769" t="e">
        <f t="shared" si="242"/>
        <v>#REF!</v>
      </c>
    </row>
    <row r="287" spans="1:31" s="595" customFormat="1" x14ac:dyDescent="0.2">
      <c r="A287" s="611" t="s">
        <v>1066</v>
      </c>
      <c r="B287" s="610" t="s">
        <v>1067</v>
      </c>
      <c r="C287" s="611" t="s">
        <v>114</v>
      </c>
      <c r="D287" s="576">
        <f t="shared" si="254"/>
        <v>159.5</v>
      </c>
      <c r="E287" s="577" t="e">
        <f t="shared" si="207"/>
        <v>#REF!</v>
      </c>
      <c r="F287" s="577" t="e">
        <f t="shared" si="255"/>
        <v>#REF!</v>
      </c>
      <c r="G287" s="578"/>
      <c r="H287" s="552"/>
      <c r="I287" s="597"/>
      <c r="J287" s="598"/>
      <c r="K287" s="537"/>
      <c r="L287" s="445" t="e">
        <f t="shared" si="256"/>
        <v>#REF!</v>
      </c>
      <c r="M287" s="542"/>
      <c r="N287" s="445" t="e">
        <f t="shared" si="257"/>
        <v>#REF!</v>
      </c>
      <c r="O287" s="542">
        <v>159.5</v>
      </c>
      <c r="P287" s="445" t="e">
        <f t="shared" si="258"/>
        <v>#REF!</v>
      </c>
      <c r="Q287" s="542"/>
      <c r="R287" s="445" t="e">
        <f t="shared" si="259"/>
        <v>#REF!</v>
      </c>
      <c r="S287" s="542"/>
      <c r="T287" s="445" t="e">
        <f t="shared" si="260"/>
        <v>#REF!</v>
      </c>
      <c r="U287" s="552"/>
      <c r="V287" s="581" t="e">
        <f>+#REF!</f>
        <v>#REF!</v>
      </c>
      <c r="W287" s="582" t="e">
        <f t="shared" si="261"/>
        <v>#REF!</v>
      </c>
      <c r="X287" s="581" t="e">
        <f>+#REF!</f>
        <v>#REF!</v>
      </c>
      <c r="Y287" s="582" t="e">
        <f t="shared" si="262"/>
        <v>#REF!</v>
      </c>
      <c r="Z287" s="581" t="e">
        <f>+#REF!</f>
        <v>#REF!</v>
      </c>
      <c r="AA287" s="582" t="e">
        <f t="shared" si="263"/>
        <v>#REF!</v>
      </c>
      <c r="AB287" s="581" t="e">
        <f>+#REF!</f>
        <v>#REF!</v>
      </c>
      <c r="AC287" s="582" t="e">
        <f t="shared" si="264"/>
        <v>#REF!</v>
      </c>
      <c r="AD287" s="912"/>
      <c r="AE287" s="769" t="e">
        <f t="shared" si="242"/>
        <v>#REF!</v>
      </c>
    </row>
    <row r="288" spans="1:31" s="595" customFormat="1" x14ac:dyDescent="0.2">
      <c r="A288" s="611" t="s">
        <v>1068</v>
      </c>
      <c r="B288" s="601" t="s">
        <v>1069</v>
      </c>
      <c r="C288" s="611" t="s">
        <v>114</v>
      </c>
      <c r="D288" s="576">
        <f t="shared" si="254"/>
        <v>4</v>
      </c>
      <c r="E288" s="577" t="e">
        <f t="shared" si="207"/>
        <v>#REF!</v>
      </c>
      <c r="F288" s="577" t="e">
        <f t="shared" si="255"/>
        <v>#REF!</v>
      </c>
      <c r="G288" s="578"/>
      <c r="H288" s="552"/>
      <c r="I288" s="597"/>
      <c r="J288" s="598"/>
      <c r="K288" s="537"/>
      <c r="L288" s="445" t="e">
        <f t="shared" si="256"/>
        <v>#REF!</v>
      </c>
      <c r="M288" s="542"/>
      <c r="N288" s="445" t="e">
        <f t="shared" si="257"/>
        <v>#REF!</v>
      </c>
      <c r="O288" s="542">
        <v>4</v>
      </c>
      <c r="P288" s="445" t="e">
        <f t="shared" si="258"/>
        <v>#REF!</v>
      </c>
      <c r="Q288" s="542"/>
      <c r="R288" s="445" t="e">
        <f t="shared" si="259"/>
        <v>#REF!</v>
      </c>
      <c r="S288" s="542"/>
      <c r="T288" s="445" t="e">
        <f t="shared" si="260"/>
        <v>#REF!</v>
      </c>
      <c r="U288" s="552"/>
      <c r="V288" s="581" t="e">
        <f>+'7,1,6,6 Acometida 2'!I20</f>
        <v>#REF!</v>
      </c>
      <c r="W288" s="582" t="e">
        <f t="shared" si="261"/>
        <v>#REF!</v>
      </c>
      <c r="X288" s="581">
        <f>+'7,1,6,6 Acometida 2'!I51</f>
        <v>2868.08</v>
      </c>
      <c r="Y288" s="582">
        <f t="shared" si="262"/>
        <v>11472.32</v>
      </c>
      <c r="Z288" s="581">
        <f>+'7,1,6,6 Acometida 2'!I31</f>
        <v>154.58000000000001</v>
      </c>
      <c r="AA288" s="582">
        <f t="shared" si="263"/>
        <v>618.32000000000005</v>
      </c>
      <c r="AB288" s="581"/>
      <c r="AC288" s="582">
        <f t="shared" si="264"/>
        <v>0</v>
      </c>
      <c r="AD288" s="912"/>
      <c r="AE288" s="769" t="e">
        <f t="shared" si="242"/>
        <v>#REF!</v>
      </c>
    </row>
    <row r="289" spans="1:31" s="595" customFormat="1" ht="15" hidden="1" customHeight="1" x14ac:dyDescent="0.2">
      <c r="A289" s="611" t="s">
        <v>1070</v>
      </c>
      <c r="B289" s="610" t="s">
        <v>1071</v>
      </c>
      <c r="C289" s="611" t="s">
        <v>111</v>
      </c>
      <c r="D289" s="576">
        <f t="shared" si="254"/>
        <v>0</v>
      </c>
      <c r="E289" s="577" t="e">
        <f t="shared" si="207"/>
        <v>#REF!</v>
      </c>
      <c r="F289" s="577" t="e">
        <f t="shared" si="255"/>
        <v>#REF!</v>
      </c>
      <c r="G289" s="578"/>
      <c r="H289" s="552"/>
      <c r="I289" s="597"/>
      <c r="J289" s="598"/>
      <c r="K289" s="537"/>
      <c r="L289" s="445" t="e">
        <f t="shared" si="256"/>
        <v>#REF!</v>
      </c>
      <c r="M289" s="542"/>
      <c r="N289" s="445" t="e">
        <f t="shared" si="257"/>
        <v>#REF!</v>
      </c>
      <c r="O289" s="542"/>
      <c r="P289" s="445" t="e">
        <f t="shared" si="258"/>
        <v>#REF!</v>
      </c>
      <c r="Q289" s="542"/>
      <c r="R289" s="445" t="e">
        <f t="shared" si="259"/>
        <v>#REF!</v>
      </c>
      <c r="S289" s="542"/>
      <c r="T289" s="445" t="e">
        <f t="shared" si="260"/>
        <v>#REF!</v>
      </c>
      <c r="U289" s="552"/>
      <c r="V289" s="581" t="e">
        <f>+'7,1,6,7 Tubo UZ 2"'!I20</f>
        <v>#REF!</v>
      </c>
      <c r="W289" s="582" t="e">
        <f t="shared" si="261"/>
        <v>#REF!</v>
      </c>
      <c r="X289" s="581">
        <f>+'7,1,6,7 Tubo UZ 2"'!I51</f>
        <v>14802.720000000001</v>
      </c>
      <c r="Y289" s="582">
        <f t="shared" si="262"/>
        <v>0</v>
      </c>
      <c r="Z289" s="581">
        <f>+'7,1,6,7 Tubo UZ 2"'!I31</f>
        <v>381.6</v>
      </c>
      <c r="AA289" s="582">
        <f t="shared" si="263"/>
        <v>0</v>
      </c>
      <c r="AB289" s="581"/>
      <c r="AC289" s="582">
        <f t="shared" si="264"/>
        <v>0</v>
      </c>
      <c r="AD289" s="912"/>
      <c r="AE289" s="769" t="e">
        <f t="shared" si="242"/>
        <v>#REF!</v>
      </c>
    </row>
    <row r="290" spans="1:31" s="595" customFormat="1" ht="15" hidden="1" customHeight="1" x14ac:dyDescent="0.2">
      <c r="A290" s="611" t="s">
        <v>1072</v>
      </c>
      <c r="B290" s="610" t="s">
        <v>1073</v>
      </c>
      <c r="C290" s="611" t="s">
        <v>114</v>
      </c>
      <c r="D290" s="576">
        <f t="shared" si="254"/>
        <v>0</v>
      </c>
      <c r="E290" s="577" t="e">
        <f>V290+X290+Z290+AB290</f>
        <v>#REF!</v>
      </c>
      <c r="F290" s="577" t="e">
        <f t="shared" si="255"/>
        <v>#REF!</v>
      </c>
      <c r="G290" s="578"/>
      <c r="H290" s="552"/>
      <c r="I290" s="597"/>
      <c r="J290" s="598"/>
      <c r="K290" s="537"/>
      <c r="L290" s="445" t="e">
        <f t="shared" si="256"/>
        <v>#REF!</v>
      </c>
      <c r="M290" s="542"/>
      <c r="N290" s="445" t="e">
        <f t="shared" si="257"/>
        <v>#REF!</v>
      </c>
      <c r="O290" s="542"/>
      <c r="P290" s="445" t="e">
        <f t="shared" si="258"/>
        <v>#REF!</v>
      </c>
      <c r="Q290" s="542"/>
      <c r="R290" s="445" t="e">
        <f t="shared" si="259"/>
        <v>#REF!</v>
      </c>
      <c r="S290" s="542"/>
      <c r="T290" s="445" t="e">
        <f t="shared" si="260"/>
        <v>#REF!</v>
      </c>
      <c r="U290" s="552"/>
      <c r="V290" s="581" t="e">
        <f>+'7,1,6,8 Acometida 1 12'!I20</f>
        <v>#REF!</v>
      </c>
      <c r="W290" s="582" t="e">
        <f t="shared" si="261"/>
        <v>#REF!</v>
      </c>
      <c r="X290" s="581">
        <f>+'7,1,6,8 Acometida 1 12'!I51</f>
        <v>9296.01</v>
      </c>
      <c r="Y290" s="582">
        <f t="shared" si="262"/>
        <v>0</v>
      </c>
      <c r="Z290" s="581">
        <f>+'7,1,6,8 Acometida 1 12'!I31</f>
        <v>387.78</v>
      </c>
      <c r="AA290" s="582">
        <f t="shared" si="263"/>
        <v>0</v>
      </c>
      <c r="AB290" s="581"/>
      <c r="AC290" s="582">
        <f t="shared" si="264"/>
        <v>0</v>
      </c>
      <c r="AD290" s="912"/>
      <c r="AE290" s="769" t="e">
        <f t="shared" si="242"/>
        <v>#REF!</v>
      </c>
    </row>
    <row r="291" spans="1:31" s="595" customFormat="1" ht="15" hidden="1" customHeight="1" x14ac:dyDescent="0.2">
      <c r="A291" s="611" t="s">
        <v>1074</v>
      </c>
      <c r="B291" s="610" t="s">
        <v>1075</v>
      </c>
      <c r="C291" s="611" t="s">
        <v>111</v>
      </c>
      <c r="D291" s="576">
        <f t="shared" si="254"/>
        <v>0</v>
      </c>
      <c r="E291" s="577" t="e">
        <f t="shared" si="207"/>
        <v>#REF!</v>
      </c>
      <c r="F291" s="577" t="e">
        <f t="shared" si="255"/>
        <v>#REF!</v>
      </c>
      <c r="G291" s="578"/>
      <c r="H291" s="552"/>
      <c r="I291" s="597"/>
      <c r="J291" s="598"/>
      <c r="K291" s="537"/>
      <c r="L291" s="445" t="e">
        <f t="shared" si="256"/>
        <v>#REF!</v>
      </c>
      <c r="M291" s="542"/>
      <c r="N291" s="445" t="e">
        <f t="shared" si="257"/>
        <v>#REF!</v>
      </c>
      <c r="O291" s="542"/>
      <c r="P291" s="445" t="e">
        <f t="shared" si="258"/>
        <v>#REF!</v>
      </c>
      <c r="Q291" s="542"/>
      <c r="R291" s="445" t="e">
        <f t="shared" si="259"/>
        <v>#REF!</v>
      </c>
      <c r="S291" s="542"/>
      <c r="T291" s="445" t="e">
        <f t="shared" si="260"/>
        <v>#REF!</v>
      </c>
      <c r="U291" s="552"/>
      <c r="V291" s="581" t="e">
        <f>+'7,1,6,9 Tuberia UZ 3"'!I20</f>
        <v>#REF!</v>
      </c>
      <c r="W291" s="582" t="e">
        <f t="shared" si="261"/>
        <v>#REF!</v>
      </c>
      <c r="X291" s="581">
        <f>+'7,1,6,9 Tuberia UZ 3"'!I51</f>
        <v>16896.419999999998</v>
      </c>
      <c r="Y291" s="582">
        <f t="shared" si="262"/>
        <v>0</v>
      </c>
      <c r="Z291" s="581">
        <f>+'7,1,6,9 Tuberia UZ 3"'!I31</f>
        <v>161.30000000000001</v>
      </c>
      <c r="AA291" s="582">
        <f t="shared" si="263"/>
        <v>0</v>
      </c>
      <c r="AB291" s="581"/>
      <c r="AC291" s="582">
        <f t="shared" si="264"/>
        <v>0</v>
      </c>
      <c r="AD291" s="912"/>
      <c r="AE291" s="769" t="e">
        <f t="shared" si="242"/>
        <v>#REF!</v>
      </c>
    </row>
    <row r="292" spans="1:31" s="595" customFormat="1" ht="15" hidden="1" customHeight="1" x14ac:dyDescent="0.2">
      <c r="A292" s="611" t="s">
        <v>1076</v>
      </c>
      <c r="B292" s="610" t="s">
        <v>1077</v>
      </c>
      <c r="C292" s="611" t="s">
        <v>114</v>
      </c>
      <c r="D292" s="576">
        <f t="shared" si="254"/>
        <v>0</v>
      </c>
      <c r="E292" s="577" t="e">
        <f t="shared" si="207"/>
        <v>#REF!</v>
      </c>
      <c r="F292" s="577" t="e">
        <f t="shared" si="255"/>
        <v>#REF!</v>
      </c>
      <c r="G292" s="578"/>
      <c r="H292" s="552"/>
      <c r="I292" s="597"/>
      <c r="J292" s="598"/>
      <c r="K292" s="537"/>
      <c r="L292" s="445" t="e">
        <f t="shared" si="256"/>
        <v>#REF!</v>
      </c>
      <c r="M292" s="542"/>
      <c r="N292" s="445" t="e">
        <f t="shared" si="257"/>
        <v>#REF!</v>
      </c>
      <c r="O292" s="542"/>
      <c r="P292" s="445" t="e">
        <f t="shared" si="258"/>
        <v>#REF!</v>
      </c>
      <c r="Q292" s="542"/>
      <c r="R292" s="445" t="e">
        <f t="shared" si="259"/>
        <v>#REF!</v>
      </c>
      <c r="S292" s="542"/>
      <c r="T292" s="445" t="e">
        <f t="shared" si="260"/>
        <v>#REF!</v>
      </c>
      <c r="U292" s="552"/>
      <c r="V292" s="581" t="e">
        <f>+'7,1,6,10 Accesorio UZ  2"'!I20</f>
        <v>#REF!</v>
      </c>
      <c r="W292" s="582" t="e">
        <f t="shared" si="261"/>
        <v>#REF!</v>
      </c>
      <c r="X292" s="581">
        <f>+'7,1,6,10 Accesorio UZ  2"'!I51</f>
        <v>4667.8999999999996</v>
      </c>
      <c r="Y292" s="582">
        <f t="shared" si="262"/>
        <v>0</v>
      </c>
      <c r="Z292" s="581">
        <f>+'7,1,6,10 Accesorio UZ  2"'!I31</f>
        <v>154.58000000000001</v>
      </c>
      <c r="AA292" s="582">
        <f t="shared" si="263"/>
        <v>0</v>
      </c>
      <c r="AB292" s="581"/>
      <c r="AC292" s="582">
        <f t="shared" si="264"/>
        <v>0</v>
      </c>
      <c r="AD292" s="912"/>
      <c r="AE292" s="769" t="e">
        <f t="shared" si="242"/>
        <v>#REF!</v>
      </c>
    </row>
    <row r="293" spans="1:31" s="595" customFormat="1" ht="15" hidden="1" customHeight="1" x14ac:dyDescent="0.2">
      <c r="A293" s="611" t="s">
        <v>1078</v>
      </c>
      <c r="B293" s="610" t="s">
        <v>1079</v>
      </c>
      <c r="C293" s="611" t="s">
        <v>111</v>
      </c>
      <c r="D293" s="576">
        <f t="shared" si="254"/>
        <v>0</v>
      </c>
      <c r="E293" s="577" t="e">
        <f>V293+X293+Z293+AB293</f>
        <v>#REF!</v>
      </c>
      <c r="F293" s="577" t="e">
        <f t="shared" si="255"/>
        <v>#REF!</v>
      </c>
      <c r="G293" s="578"/>
      <c r="H293" s="552"/>
      <c r="I293" s="597"/>
      <c r="J293" s="598" t="e">
        <f>+ROUND(E293*I293,10)</f>
        <v>#REF!</v>
      </c>
      <c r="K293" s="537"/>
      <c r="L293" s="445" t="e">
        <f t="shared" si="256"/>
        <v>#REF!</v>
      </c>
      <c r="M293" s="542"/>
      <c r="N293" s="445" t="e">
        <f t="shared" si="257"/>
        <v>#REF!</v>
      </c>
      <c r="O293" s="542"/>
      <c r="P293" s="445" t="e">
        <f t="shared" si="258"/>
        <v>#REF!</v>
      </c>
      <c r="Q293" s="542"/>
      <c r="R293" s="445" t="e">
        <f t="shared" si="259"/>
        <v>#REF!</v>
      </c>
      <c r="S293" s="542"/>
      <c r="T293" s="445" t="e">
        <f t="shared" si="260"/>
        <v>#REF!</v>
      </c>
      <c r="U293" s="552"/>
      <c r="V293" s="581" t="e">
        <f>+'7,1,6,11 Accesorio UZ 3"'!I20</f>
        <v>#REF!</v>
      </c>
      <c r="W293" s="582" t="e">
        <f t="shared" si="261"/>
        <v>#REF!</v>
      </c>
      <c r="X293" s="581">
        <f>+'7,1,6,11 Accesorio UZ 3"'!I51</f>
        <v>4667.8999999999996</v>
      </c>
      <c r="Y293" s="582">
        <f t="shared" si="262"/>
        <v>0</v>
      </c>
      <c r="Z293" s="581">
        <f>+'7,1,6,11 Accesorio UZ 3"'!I31</f>
        <v>161.30000000000001</v>
      </c>
      <c r="AA293" s="582">
        <f t="shared" si="263"/>
        <v>0</v>
      </c>
      <c r="AB293" s="581"/>
      <c r="AC293" s="582">
        <f t="shared" si="264"/>
        <v>0</v>
      </c>
      <c r="AD293" s="912"/>
      <c r="AE293" s="769" t="e">
        <f t="shared" si="242"/>
        <v>#REF!</v>
      </c>
    </row>
    <row r="294" spans="1:31" ht="15" hidden="1" customHeight="1" x14ac:dyDescent="0.2">
      <c r="A294" s="572" t="s">
        <v>1080</v>
      </c>
      <c r="B294" s="573" t="s">
        <v>1081</v>
      </c>
      <c r="C294" s="846"/>
      <c r="D294" s="576"/>
      <c r="E294" s="577"/>
      <c r="F294" s="180" t="e">
        <f>+ROUND(SUM(F295:F301),10)</f>
        <v>#REF!</v>
      </c>
      <c r="G294" s="473"/>
      <c r="H294" s="568"/>
      <c r="I294" s="613"/>
      <c r="J294" s="440" t="e">
        <f>ROUND(SUM(J295:J301),10)</f>
        <v>#REF!</v>
      </c>
      <c r="K294" s="537"/>
      <c r="L294" s="180" t="e">
        <f>ROUND(SUM(L295:L301),10)</f>
        <v>#REF!</v>
      </c>
      <c r="M294" s="542"/>
      <c r="N294" s="180" t="e">
        <f>ROUND(SUM(N295:N301),10)</f>
        <v>#REF!</v>
      </c>
      <c r="O294" s="542"/>
      <c r="P294" s="180" t="e">
        <f>ROUND(SUM(P295:P301),10)</f>
        <v>#REF!</v>
      </c>
      <c r="Q294" s="542"/>
      <c r="R294" s="180" t="e">
        <f>ROUND(SUM(R295:R301),10)</f>
        <v>#REF!</v>
      </c>
      <c r="S294" s="542"/>
      <c r="T294" s="180" t="e">
        <f>ROUND(SUM(T295:T301),10)</f>
        <v>#REF!</v>
      </c>
      <c r="U294" s="568"/>
      <c r="V294" s="575"/>
      <c r="W294" s="570" t="e">
        <f>ROUND(SUM(W295:W301),10)</f>
        <v>#REF!</v>
      </c>
      <c r="X294" s="575"/>
      <c r="Y294" s="570">
        <f>ROUND(SUM(Y295:Y301),10)</f>
        <v>0</v>
      </c>
      <c r="Z294" s="575"/>
      <c r="AA294" s="570">
        <f>ROUND(SUM(AA295:AA301),10)</f>
        <v>0</v>
      </c>
      <c r="AB294" s="575"/>
      <c r="AC294" s="570">
        <f>ROUND(SUM(AC295:AC301),10)</f>
        <v>0</v>
      </c>
      <c r="AE294" s="769" t="e">
        <f t="shared" si="242"/>
        <v>#REF!</v>
      </c>
    </row>
    <row r="295" spans="1:31" ht="15" hidden="1" customHeight="1" x14ac:dyDescent="0.2">
      <c r="A295" s="611" t="s">
        <v>1082</v>
      </c>
      <c r="B295" s="601" t="s">
        <v>1083</v>
      </c>
      <c r="C295" s="611" t="s">
        <v>114</v>
      </c>
      <c r="D295" s="576">
        <f t="shared" ref="D295:D301" si="265">+I295+K295+M295+O295+Q295+S295</f>
        <v>0</v>
      </c>
      <c r="E295" s="577" t="e">
        <f t="shared" si="207"/>
        <v>#REF!</v>
      </c>
      <c r="F295" s="577" t="e">
        <f t="shared" ref="F295:F301" si="266">ROUND(D295*E295,10)</f>
        <v>#REF!</v>
      </c>
      <c r="G295" s="578"/>
      <c r="I295" s="594"/>
      <c r="J295" s="580" t="e">
        <f t="shared" ref="J295:J301" si="267">+ROUND(E295*I295,10)</f>
        <v>#REF!</v>
      </c>
      <c r="K295" s="537"/>
      <c r="L295" s="445" t="e">
        <f t="shared" ref="L295:L301" si="268">+ROUND(E295*K295,10)</f>
        <v>#REF!</v>
      </c>
      <c r="M295" s="542"/>
      <c r="N295" s="445" t="e">
        <f t="shared" ref="N295:N301" si="269">+ROUND(E295*M295,10)</f>
        <v>#REF!</v>
      </c>
      <c r="O295" s="542"/>
      <c r="P295" s="445" t="e">
        <f t="shared" ref="P295:P301" si="270">+ROUND(E295*O295,10)</f>
        <v>#REF!</v>
      </c>
      <c r="Q295" s="542"/>
      <c r="R295" s="445" t="e">
        <f t="shared" ref="R295:R301" si="271">+ROUND(E295*Q295,10)</f>
        <v>#REF!</v>
      </c>
      <c r="S295" s="542"/>
      <c r="T295" s="445" t="e">
        <f t="shared" ref="T295:T301" si="272">+ROUND(E295*S295,10)</f>
        <v>#REF!</v>
      </c>
      <c r="V295" s="581" t="e">
        <f>+'7,1,7,1 Tuberia H.G. 1.2"'!I20</f>
        <v>#REF!</v>
      </c>
      <c r="W295" s="582" t="e">
        <f t="shared" ref="W295:W301" si="273">ROUND(V295*$D295,10)</f>
        <v>#REF!</v>
      </c>
      <c r="X295" s="581">
        <f>+'7,1,7,1 Tuberia H.G. 1.2"'!I51</f>
        <v>5509.73</v>
      </c>
      <c r="Y295" s="582">
        <f t="shared" ref="Y295:Y301" si="274">ROUND(X295*$D295,10)</f>
        <v>0</v>
      </c>
      <c r="Z295" s="581">
        <f>+'7,1,7,1 Tuberia H.G. 1.2"'!I31</f>
        <v>148.4</v>
      </c>
      <c r="AA295" s="582">
        <f t="shared" ref="AA295:AA301" si="275">ROUND(Z295*$D295,10)</f>
        <v>0</v>
      </c>
      <c r="AB295" s="581">
        <f>+'7,1,7,1 Tuberia H.G. 1.2"'!I42</f>
        <v>0</v>
      </c>
      <c r="AC295" s="582">
        <f t="shared" ref="AC295:AC301" si="276">ROUND(AB295*$D295,10)</f>
        <v>0</v>
      </c>
      <c r="AE295" s="769" t="e">
        <f t="shared" si="242"/>
        <v>#REF!</v>
      </c>
    </row>
    <row r="296" spans="1:31" ht="15" hidden="1" customHeight="1" x14ac:dyDescent="0.2">
      <c r="A296" s="611" t="s">
        <v>1084</v>
      </c>
      <c r="B296" s="601" t="s">
        <v>1085</v>
      </c>
      <c r="C296" s="611" t="s">
        <v>111</v>
      </c>
      <c r="D296" s="576">
        <f t="shared" si="265"/>
        <v>0</v>
      </c>
      <c r="E296" s="577" t="e">
        <f t="shared" si="207"/>
        <v>#REF!</v>
      </c>
      <c r="F296" s="577" t="e">
        <f t="shared" si="266"/>
        <v>#REF!</v>
      </c>
      <c r="G296" s="578"/>
      <c r="I296" s="584"/>
      <c r="J296" s="585" t="e">
        <f t="shared" si="267"/>
        <v>#REF!</v>
      </c>
      <c r="K296" s="537"/>
      <c r="L296" s="445" t="e">
        <f t="shared" si="268"/>
        <v>#REF!</v>
      </c>
      <c r="M296" s="542"/>
      <c r="N296" s="445" t="e">
        <f t="shared" si="269"/>
        <v>#REF!</v>
      </c>
      <c r="O296" s="542"/>
      <c r="P296" s="445" t="e">
        <f t="shared" si="270"/>
        <v>#REF!</v>
      </c>
      <c r="Q296" s="542"/>
      <c r="R296" s="445" t="e">
        <f t="shared" si="271"/>
        <v>#REF!</v>
      </c>
      <c r="S296" s="542"/>
      <c r="T296" s="445" t="e">
        <f t="shared" si="272"/>
        <v>#REF!</v>
      </c>
      <c r="V296" s="581" t="e">
        <f>+'7,1,7,2  Accesorio H.G.1.2"'!I20</f>
        <v>#REF!</v>
      </c>
      <c r="W296" s="582" t="e">
        <f t="shared" si="273"/>
        <v>#REF!</v>
      </c>
      <c r="X296" s="581">
        <f>+'7,1,7,2  Accesorio H.G.1.2"'!I51</f>
        <v>418.74</v>
      </c>
      <c r="Y296" s="582">
        <f t="shared" si="274"/>
        <v>0</v>
      </c>
      <c r="Z296" s="581">
        <f>+'7,1,7,2  Accesorio H.G.1.2"'!I31</f>
        <v>148.4</v>
      </c>
      <c r="AA296" s="582">
        <f t="shared" si="275"/>
        <v>0</v>
      </c>
      <c r="AB296" s="581">
        <f>+'7,1,7,2  Accesorio H.G.1.2"'!I42</f>
        <v>0</v>
      </c>
      <c r="AC296" s="582">
        <f t="shared" si="276"/>
        <v>0</v>
      </c>
      <c r="AE296" s="769" t="e">
        <f t="shared" si="242"/>
        <v>#REF!</v>
      </c>
    </row>
    <row r="297" spans="1:31" ht="15" hidden="1" customHeight="1" x14ac:dyDescent="0.2">
      <c r="A297" s="611" t="s">
        <v>1086</v>
      </c>
      <c r="B297" s="601" t="s">
        <v>1087</v>
      </c>
      <c r="C297" s="611" t="s">
        <v>111</v>
      </c>
      <c r="D297" s="576">
        <f t="shared" si="265"/>
        <v>0</v>
      </c>
      <c r="E297" s="577" t="e">
        <f t="shared" si="207"/>
        <v>#REF!</v>
      </c>
      <c r="F297" s="577" t="e">
        <f t="shared" si="266"/>
        <v>#REF!</v>
      </c>
      <c r="G297" s="578"/>
      <c r="I297" s="584"/>
      <c r="J297" s="585" t="e">
        <f t="shared" si="267"/>
        <v>#REF!</v>
      </c>
      <c r="K297" s="537"/>
      <c r="L297" s="445" t="e">
        <f t="shared" si="268"/>
        <v>#REF!</v>
      </c>
      <c r="M297" s="542"/>
      <c r="N297" s="445" t="e">
        <f t="shared" si="269"/>
        <v>#REF!</v>
      </c>
      <c r="O297" s="542"/>
      <c r="P297" s="445" t="e">
        <f t="shared" si="270"/>
        <v>#REF!</v>
      </c>
      <c r="Q297" s="542"/>
      <c r="R297" s="445" t="e">
        <f t="shared" si="271"/>
        <v>#REF!</v>
      </c>
      <c r="S297" s="542"/>
      <c r="T297" s="445" t="e">
        <f t="shared" si="272"/>
        <v>#REF!</v>
      </c>
      <c r="V297" s="581" t="e">
        <f>+'7,1,7,3 Registro Corte 1.2" '!I20</f>
        <v>#REF!</v>
      </c>
      <c r="W297" s="582" t="e">
        <f t="shared" si="273"/>
        <v>#REF!</v>
      </c>
      <c r="X297" s="581">
        <f>+'7,1,7,3 Registro Corte 1.2" '!I51</f>
        <v>6978.99</v>
      </c>
      <c r="Y297" s="582">
        <f t="shared" si="274"/>
        <v>0</v>
      </c>
      <c r="Z297" s="581"/>
      <c r="AA297" s="582">
        <f t="shared" si="275"/>
        <v>0</v>
      </c>
      <c r="AB297" s="581"/>
      <c r="AC297" s="582">
        <f t="shared" si="276"/>
        <v>0</v>
      </c>
      <c r="AE297" s="769" t="e">
        <f t="shared" si="242"/>
        <v>#REF!</v>
      </c>
    </row>
    <row r="298" spans="1:31" ht="15" hidden="1" customHeight="1" x14ac:dyDescent="0.2">
      <c r="A298" s="611" t="s">
        <v>1088</v>
      </c>
      <c r="B298" s="601" t="s">
        <v>1089</v>
      </c>
      <c r="C298" s="611" t="s">
        <v>111</v>
      </c>
      <c r="D298" s="576">
        <f t="shared" si="265"/>
        <v>0</v>
      </c>
      <c r="E298" s="577" t="e">
        <f t="shared" si="207"/>
        <v>#REF!</v>
      </c>
      <c r="F298" s="577" t="e">
        <f t="shared" si="266"/>
        <v>#REF!</v>
      </c>
      <c r="G298" s="578"/>
      <c r="I298" s="584"/>
      <c r="J298" s="585" t="e">
        <f t="shared" si="267"/>
        <v>#REF!</v>
      </c>
      <c r="K298" s="537"/>
      <c r="L298" s="445" t="e">
        <f t="shared" si="268"/>
        <v>#REF!</v>
      </c>
      <c r="M298" s="542"/>
      <c r="N298" s="445" t="e">
        <f t="shared" si="269"/>
        <v>#REF!</v>
      </c>
      <c r="O298" s="542"/>
      <c r="P298" s="445" t="e">
        <f t="shared" si="270"/>
        <v>#REF!</v>
      </c>
      <c r="Q298" s="542"/>
      <c r="R298" s="445" t="e">
        <f t="shared" si="271"/>
        <v>#REF!</v>
      </c>
      <c r="S298" s="542"/>
      <c r="T298" s="445" t="e">
        <f t="shared" si="272"/>
        <v>#REF!</v>
      </c>
      <c r="V298" s="581" t="e">
        <f>+'7,1,7,4 Registro 1.2"'!I20</f>
        <v>#REF!</v>
      </c>
      <c r="W298" s="582" t="e">
        <f t="shared" si="273"/>
        <v>#REF!</v>
      </c>
      <c r="X298" s="581">
        <f>+'7,1,7,4 Registro 1.2"'!I51</f>
        <v>7477.49</v>
      </c>
      <c r="Y298" s="582">
        <f t="shared" si="274"/>
        <v>0</v>
      </c>
      <c r="Z298" s="581">
        <f>+'7,1,7,4 Registro 1.2"'!I31</f>
        <v>154.58000000000001</v>
      </c>
      <c r="AA298" s="582">
        <f t="shared" si="275"/>
        <v>0</v>
      </c>
      <c r="AB298" s="581">
        <f>+'7,1,7,4 Registro 1.2"'!I42</f>
        <v>0</v>
      </c>
      <c r="AC298" s="582">
        <f t="shared" si="276"/>
        <v>0</v>
      </c>
      <c r="AE298" s="769" t="e">
        <f t="shared" si="242"/>
        <v>#REF!</v>
      </c>
    </row>
    <row r="299" spans="1:31" ht="15" hidden="1" customHeight="1" x14ac:dyDescent="0.2">
      <c r="A299" s="611" t="s">
        <v>1090</v>
      </c>
      <c r="B299" s="601" t="s">
        <v>1091</v>
      </c>
      <c r="C299" s="611" t="s">
        <v>111</v>
      </c>
      <c r="D299" s="576">
        <f t="shared" si="265"/>
        <v>0</v>
      </c>
      <c r="E299" s="577" t="e">
        <f t="shared" si="207"/>
        <v>#REF!</v>
      </c>
      <c r="F299" s="577" t="e">
        <f t="shared" si="266"/>
        <v>#REF!</v>
      </c>
      <c r="G299" s="578"/>
      <c r="I299" s="584"/>
      <c r="J299" s="585" t="e">
        <f t="shared" si="267"/>
        <v>#REF!</v>
      </c>
      <c r="K299" s="537"/>
      <c r="L299" s="445" t="e">
        <f t="shared" si="268"/>
        <v>#REF!</v>
      </c>
      <c r="M299" s="542"/>
      <c r="N299" s="445" t="e">
        <f t="shared" si="269"/>
        <v>#REF!</v>
      </c>
      <c r="O299" s="542"/>
      <c r="P299" s="445" t="e">
        <f t="shared" si="270"/>
        <v>#REF!</v>
      </c>
      <c r="Q299" s="542"/>
      <c r="R299" s="445" t="e">
        <f t="shared" si="271"/>
        <v>#REF!</v>
      </c>
      <c r="S299" s="542"/>
      <c r="T299" s="445" t="e">
        <f t="shared" si="272"/>
        <v>#REF!</v>
      </c>
      <c r="V299" s="581" t="e">
        <f>+'7,1,7,5 Caja para medidor'!I20</f>
        <v>#REF!</v>
      </c>
      <c r="W299" s="582" t="e">
        <f t="shared" si="273"/>
        <v>#REF!</v>
      </c>
      <c r="X299" s="581">
        <f>+'7,1,7,5 Caja para medidor'!I51</f>
        <v>18291.61</v>
      </c>
      <c r="Y299" s="582">
        <f t="shared" si="274"/>
        <v>0</v>
      </c>
      <c r="Z299" s="581">
        <f>+'7,1,7,5 Caja para medidor'!I31</f>
        <v>154.58000000000001</v>
      </c>
      <c r="AA299" s="582">
        <f t="shared" si="275"/>
        <v>0</v>
      </c>
      <c r="AB299" s="581">
        <f>+'7,1,7,5 Caja para medidor'!I42</f>
        <v>0</v>
      </c>
      <c r="AC299" s="582">
        <f t="shared" si="276"/>
        <v>0</v>
      </c>
      <c r="AE299" s="769" t="e">
        <f t="shared" si="242"/>
        <v>#REF!</v>
      </c>
    </row>
    <row r="300" spans="1:31" ht="15" hidden="1" customHeight="1" x14ac:dyDescent="0.2">
      <c r="A300" s="611" t="s">
        <v>1092</v>
      </c>
      <c r="B300" s="601" t="s">
        <v>1093</v>
      </c>
      <c r="C300" s="611" t="s">
        <v>111</v>
      </c>
      <c r="D300" s="576">
        <f t="shared" si="265"/>
        <v>0</v>
      </c>
      <c r="E300" s="577">
        <f t="shared" si="207"/>
        <v>0</v>
      </c>
      <c r="F300" s="577">
        <f t="shared" si="266"/>
        <v>0</v>
      </c>
      <c r="G300" s="578"/>
      <c r="I300" s="584"/>
      <c r="J300" s="585">
        <f t="shared" si="267"/>
        <v>0</v>
      </c>
      <c r="K300" s="537"/>
      <c r="L300" s="445">
        <f t="shared" si="268"/>
        <v>0</v>
      </c>
      <c r="M300" s="542"/>
      <c r="N300" s="445">
        <f t="shared" si="269"/>
        <v>0</v>
      </c>
      <c r="O300" s="542"/>
      <c r="P300" s="445">
        <f t="shared" si="270"/>
        <v>0</v>
      </c>
      <c r="Q300" s="542"/>
      <c r="R300" s="445">
        <f t="shared" si="271"/>
        <v>0</v>
      </c>
      <c r="S300" s="542"/>
      <c r="T300" s="445">
        <f t="shared" si="272"/>
        <v>0</v>
      </c>
      <c r="V300" s="581"/>
      <c r="W300" s="582">
        <f t="shared" si="273"/>
        <v>0</v>
      </c>
      <c r="X300" s="581"/>
      <c r="Y300" s="582">
        <f t="shared" si="274"/>
        <v>0</v>
      </c>
      <c r="Z300" s="581"/>
      <c r="AA300" s="582">
        <f t="shared" si="275"/>
        <v>0</v>
      </c>
      <c r="AB300" s="581"/>
      <c r="AC300" s="582">
        <f t="shared" si="276"/>
        <v>0</v>
      </c>
      <c r="AE300" s="769">
        <f t="shared" si="242"/>
        <v>0</v>
      </c>
    </row>
    <row r="301" spans="1:31" ht="15" hidden="1" customHeight="1" x14ac:dyDescent="0.2">
      <c r="A301" s="611" t="s">
        <v>1094</v>
      </c>
      <c r="B301" s="601" t="s">
        <v>1095</v>
      </c>
      <c r="C301" s="611" t="s">
        <v>111</v>
      </c>
      <c r="D301" s="576">
        <f t="shared" si="265"/>
        <v>0</v>
      </c>
      <c r="E301" s="577">
        <f t="shared" si="207"/>
        <v>0</v>
      </c>
      <c r="F301" s="577">
        <f t="shared" si="266"/>
        <v>0</v>
      </c>
      <c r="G301" s="578"/>
      <c r="I301" s="597"/>
      <c r="J301" s="598">
        <f t="shared" si="267"/>
        <v>0</v>
      </c>
      <c r="K301" s="537"/>
      <c r="L301" s="445">
        <f t="shared" si="268"/>
        <v>0</v>
      </c>
      <c r="M301" s="542"/>
      <c r="N301" s="445">
        <f t="shared" si="269"/>
        <v>0</v>
      </c>
      <c r="O301" s="542"/>
      <c r="P301" s="445">
        <f t="shared" si="270"/>
        <v>0</v>
      </c>
      <c r="Q301" s="542"/>
      <c r="R301" s="445">
        <f t="shared" si="271"/>
        <v>0</v>
      </c>
      <c r="S301" s="542"/>
      <c r="T301" s="445">
        <f t="shared" si="272"/>
        <v>0</v>
      </c>
      <c r="V301" s="581"/>
      <c r="W301" s="582">
        <f t="shared" si="273"/>
        <v>0</v>
      </c>
      <c r="X301" s="581"/>
      <c r="Y301" s="582">
        <f t="shared" si="274"/>
        <v>0</v>
      </c>
      <c r="Z301" s="581"/>
      <c r="AA301" s="582">
        <f t="shared" si="275"/>
        <v>0</v>
      </c>
      <c r="AB301" s="581"/>
      <c r="AC301" s="582">
        <f t="shared" si="276"/>
        <v>0</v>
      </c>
      <c r="AE301" s="769">
        <f t="shared" si="242"/>
        <v>0</v>
      </c>
    </row>
    <row r="302" spans="1:31" ht="15" customHeight="1" x14ac:dyDescent="0.2">
      <c r="A302" s="572" t="s">
        <v>1096</v>
      </c>
      <c r="B302" s="573" t="s">
        <v>1097</v>
      </c>
      <c r="C302" s="846"/>
      <c r="D302" s="576"/>
      <c r="E302" s="577"/>
      <c r="F302" s="626" t="e">
        <f>+ROUND(SUM(F303:F315),10)</f>
        <v>#REF!</v>
      </c>
      <c r="G302" s="473"/>
      <c r="H302" s="568"/>
      <c r="I302" s="613"/>
      <c r="J302" s="440" t="e">
        <f>ROUND(SUM(J303:J315),10)</f>
        <v>#REF!</v>
      </c>
      <c r="K302" s="537"/>
      <c r="L302" s="180" t="e">
        <f>ROUND(SUM(L303:L315),10)</f>
        <v>#REF!</v>
      </c>
      <c r="M302" s="542"/>
      <c r="N302" s="180" t="e">
        <f>ROUND(SUM(N303:N315),10)</f>
        <v>#REF!</v>
      </c>
      <c r="O302" s="542"/>
      <c r="P302" s="180" t="e">
        <f>ROUND(SUM(P303:P315),10)</f>
        <v>#REF!</v>
      </c>
      <c r="Q302" s="542"/>
      <c r="R302" s="180" t="e">
        <f>ROUND(SUM(R303:R315),10)</f>
        <v>#REF!</v>
      </c>
      <c r="S302" s="542"/>
      <c r="T302" s="180" t="e">
        <f>ROUND(SUM(T303:T315),10)</f>
        <v>#REF!</v>
      </c>
      <c r="U302" s="568"/>
      <c r="V302" s="575"/>
      <c r="W302" s="570" t="e">
        <f>ROUND(SUM(W303:W315),10)</f>
        <v>#REF!</v>
      </c>
      <c r="X302" s="575"/>
      <c r="Y302" s="570" t="e">
        <f>ROUND(SUM(Y303:Y315),10)</f>
        <v>#REF!</v>
      </c>
      <c r="Z302" s="575"/>
      <c r="AA302" s="570" t="e">
        <f>ROUND(SUM(AA303:AA315),10)</f>
        <v>#REF!</v>
      </c>
      <c r="AB302" s="575"/>
      <c r="AC302" s="570">
        <f>ROUND(SUM(AC303:AC315),10)</f>
        <v>0</v>
      </c>
      <c r="AE302" s="769" t="e">
        <f t="shared" si="242"/>
        <v>#REF!</v>
      </c>
    </row>
    <row r="303" spans="1:31" ht="25.5" x14ac:dyDescent="0.2">
      <c r="A303" s="611" t="s">
        <v>1098</v>
      </c>
      <c r="B303" s="601" t="s">
        <v>1099</v>
      </c>
      <c r="C303" s="611" t="s">
        <v>111</v>
      </c>
      <c r="D303" s="576">
        <f t="shared" ref="D303:D315" si="277">+I303+K303+M303+O303+Q303+S303</f>
        <v>47</v>
      </c>
      <c r="E303" s="577" t="e">
        <f t="shared" si="207"/>
        <v>#REF!</v>
      </c>
      <c r="F303" s="577" t="e">
        <f t="shared" ref="F303:F315" si="278">ROUND(D303*E303,10)</f>
        <v>#REF!</v>
      </c>
      <c r="G303" s="578"/>
      <c r="I303" s="594"/>
      <c r="J303" s="580" t="e">
        <f t="shared" ref="J303:J315" si="279">+ROUND(E303*I303,10)</f>
        <v>#REF!</v>
      </c>
      <c r="K303" s="537"/>
      <c r="L303" s="445" t="e">
        <f t="shared" ref="L303:L315" si="280">+ROUND(E303*K303,10)</f>
        <v>#REF!</v>
      </c>
      <c r="M303" s="542"/>
      <c r="N303" s="445" t="e">
        <f t="shared" ref="N303:N315" si="281">+ROUND(E303*M303,10)</f>
        <v>#REF!</v>
      </c>
      <c r="O303" s="542">
        <v>47</v>
      </c>
      <c r="P303" s="445" t="e">
        <f t="shared" ref="P303:P315" si="282">+ROUND(E303*O303,10)</f>
        <v>#REF!</v>
      </c>
      <c r="Q303" s="542"/>
      <c r="R303" s="445" t="e">
        <f t="shared" ref="R303:R315" si="283">+ROUND(E303*Q303,10)</f>
        <v>#REF!</v>
      </c>
      <c r="S303" s="542"/>
      <c r="T303" s="445" t="e">
        <f t="shared" ref="T303:T315" si="284">+ROUND(E303*S303,10)</f>
        <v>#REF!</v>
      </c>
      <c r="V303" s="581" t="e">
        <f>+#REF!</f>
        <v>#REF!</v>
      </c>
      <c r="W303" s="582" t="e">
        <f t="shared" ref="W303:W315" si="285">ROUND(V303*$D303,10)</f>
        <v>#REF!</v>
      </c>
      <c r="X303" s="581" t="e">
        <f>+#REF!</f>
        <v>#REF!</v>
      </c>
      <c r="Y303" s="582" t="e">
        <f t="shared" ref="Y303:Y315" si="286">ROUND(X303*$D303,10)</f>
        <v>#REF!</v>
      </c>
      <c r="Z303" s="581" t="e">
        <f>+#REF!</f>
        <v>#REF!</v>
      </c>
      <c r="AA303" s="582" t="e">
        <f t="shared" ref="AA303:AA315" si="287">ROUND(Z303*$D303,10)</f>
        <v>#REF!</v>
      </c>
      <c r="AB303" s="581"/>
      <c r="AC303" s="582">
        <f t="shared" ref="AC303:AC315" si="288">ROUND(AB303*$D303,10)</f>
        <v>0</v>
      </c>
      <c r="AE303" s="769" t="e">
        <f t="shared" si="242"/>
        <v>#REF!</v>
      </c>
    </row>
    <row r="304" spans="1:31" ht="15" hidden="1" customHeight="1" x14ac:dyDescent="0.2">
      <c r="A304" s="611" t="s">
        <v>1100</v>
      </c>
      <c r="B304" s="601" t="s">
        <v>1101</v>
      </c>
      <c r="C304" s="611" t="s">
        <v>111</v>
      </c>
      <c r="D304" s="576">
        <f t="shared" si="277"/>
        <v>0</v>
      </c>
      <c r="E304" s="577" t="e">
        <f t="shared" si="207"/>
        <v>#REF!</v>
      </c>
      <c r="F304" s="577" t="e">
        <f t="shared" si="278"/>
        <v>#REF!</v>
      </c>
      <c r="G304" s="578"/>
      <c r="I304" s="584"/>
      <c r="J304" s="585" t="e">
        <f t="shared" si="279"/>
        <v>#REF!</v>
      </c>
      <c r="K304" s="537"/>
      <c r="L304" s="445" t="e">
        <f t="shared" si="280"/>
        <v>#REF!</v>
      </c>
      <c r="M304" s="542"/>
      <c r="N304" s="445" t="e">
        <f t="shared" si="281"/>
        <v>#REF!</v>
      </c>
      <c r="O304" s="542"/>
      <c r="P304" s="445" t="e">
        <f t="shared" si="282"/>
        <v>#REF!</v>
      </c>
      <c r="Q304" s="542"/>
      <c r="R304" s="445" t="e">
        <f t="shared" si="283"/>
        <v>#REF!</v>
      </c>
      <c r="S304" s="542"/>
      <c r="T304" s="445" t="e">
        <f t="shared" si="284"/>
        <v>#REF!</v>
      </c>
      <c r="V304" s="581" t="e">
        <f>+'7,1,8,2 Punto  Agua Fria 1 1.2"'!I20</f>
        <v>#REF!</v>
      </c>
      <c r="W304" s="582" t="e">
        <f t="shared" si="285"/>
        <v>#REF!</v>
      </c>
      <c r="X304" s="581">
        <f>+'7,1,8,2 Punto  Agua Fria 1 1.2"'!I51</f>
        <v>26171.23</v>
      </c>
      <c r="Y304" s="582">
        <f t="shared" si="286"/>
        <v>0</v>
      </c>
      <c r="Z304" s="581">
        <f>+'7,1,8,2 Punto  Agua Fria 1 1.2"'!I31</f>
        <v>3710</v>
      </c>
      <c r="AA304" s="582">
        <f t="shared" si="287"/>
        <v>0</v>
      </c>
      <c r="AB304" s="581">
        <f>+'7,1,8,2 Punto  Agua Fria 1 1.2"'!I42</f>
        <v>0</v>
      </c>
      <c r="AC304" s="582">
        <f t="shared" si="288"/>
        <v>0</v>
      </c>
      <c r="AE304" s="769" t="e">
        <f t="shared" si="242"/>
        <v>#REF!</v>
      </c>
    </row>
    <row r="305" spans="1:31" ht="15" hidden="1" customHeight="1" x14ac:dyDescent="0.2">
      <c r="A305" s="611" t="s">
        <v>1102</v>
      </c>
      <c r="B305" s="601" t="s">
        <v>1103</v>
      </c>
      <c r="C305" s="611" t="s">
        <v>111</v>
      </c>
      <c r="D305" s="576">
        <f t="shared" si="277"/>
        <v>0</v>
      </c>
      <c r="E305" s="577" t="e">
        <f t="shared" si="207"/>
        <v>#REF!</v>
      </c>
      <c r="F305" s="577" t="e">
        <f t="shared" si="278"/>
        <v>#REF!</v>
      </c>
      <c r="G305" s="578"/>
      <c r="I305" s="584"/>
      <c r="J305" s="585" t="e">
        <f t="shared" si="279"/>
        <v>#REF!</v>
      </c>
      <c r="K305" s="537"/>
      <c r="L305" s="445" t="e">
        <f t="shared" si="280"/>
        <v>#REF!</v>
      </c>
      <c r="M305" s="542"/>
      <c r="N305" s="445" t="e">
        <f t="shared" si="281"/>
        <v>#REF!</v>
      </c>
      <c r="O305" s="542"/>
      <c r="P305" s="445" t="e">
        <f t="shared" si="282"/>
        <v>#REF!</v>
      </c>
      <c r="Q305" s="542"/>
      <c r="R305" s="445" t="e">
        <f t="shared" si="283"/>
        <v>#REF!</v>
      </c>
      <c r="S305" s="542"/>
      <c r="T305" s="445" t="e">
        <f t="shared" si="284"/>
        <v>#REF!</v>
      </c>
      <c r="V305" s="581" t="e">
        <f>+'7,1,8,3 P Agua Fria Sanitarios'!I21</f>
        <v>#REF!</v>
      </c>
      <c r="W305" s="582" t="e">
        <f t="shared" si="285"/>
        <v>#REF!</v>
      </c>
      <c r="X305" s="581">
        <f>+'7,1,8,3 P Agua Fria Sanitarios'!I52</f>
        <v>23263.32</v>
      </c>
      <c r="Y305" s="582">
        <f t="shared" si="286"/>
        <v>0</v>
      </c>
      <c r="Z305" s="581">
        <f>+'7,1,8,3 P Agua Fria Sanitarios'!I32</f>
        <v>3710</v>
      </c>
      <c r="AA305" s="582">
        <f t="shared" si="287"/>
        <v>0</v>
      </c>
      <c r="AB305" s="581"/>
      <c r="AC305" s="582">
        <f t="shared" si="288"/>
        <v>0</v>
      </c>
      <c r="AE305" s="769" t="e">
        <f t="shared" si="242"/>
        <v>#REF!</v>
      </c>
    </row>
    <row r="306" spans="1:31" ht="15" hidden="1" customHeight="1" x14ac:dyDescent="0.2">
      <c r="A306" s="611" t="s">
        <v>1104</v>
      </c>
      <c r="B306" s="601" t="s">
        <v>1105</v>
      </c>
      <c r="C306" s="611" t="s">
        <v>111</v>
      </c>
      <c r="D306" s="576">
        <f t="shared" si="277"/>
        <v>0</v>
      </c>
      <c r="E306" s="577" t="e">
        <f t="shared" si="207"/>
        <v>#REF!</v>
      </c>
      <c r="F306" s="577" t="e">
        <f t="shared" si="278"/>
        <v>#REF!</v>
      </c>
      <c r="G306" s="578"/>
      <c r="I306" s="584"/>
      <c r="J306" s="585" t="e">
        <f t="shared" si="279"/>
        <v>#REF!</v>
      </c>
      <c r="K306" s="537"/>
      <c r="L306" s="445" t="e">
        <f t="shared" si="280"/>
        <v>#REF!</v>
      </c>
      <c r="M306" s="542"/>
      <c r="N306" s="445" t="e">
        <f t="shared" si="281"/>
        <v>#REF!</v>
      </c>
      <c r="O306" s="542"/>
      <c r="P306" s="445" t="e">
        <f t="shared" si="282"/>
        <v>#REF!</v>
      </c>
      <c r="Q306" s="542"/>
      <c r="R306" s="445" t="e">
        <f t="shared" si="283"/>
        <v>#REF!</v>
      </c>
      <c r="S306" s="542"/>
      <c r="T306" s="445" t="e">
        <f t="shared" si="284"/>
        <v>#REF!</v>
      </c>
      <c r="V306" s="581" t="e">
        <f>+'7,1,8,4 P Agua Fria Orinales'!I21</f>
        <v>#REF!</v>
      </c>
      <c r="W306" s="582" t="e">
        <f t="shared" si="285"/>
        <v>#REF!</v>
      </c>
      <c r="X306" s="581">
        <f>+'7,1,8,4 P Agua Fria Orinales'!I52</f>
        <v>23263.32</v>
      </c>
      <c r="Y306" s="582">
        <f t="shared" si="286"/>
        <v>0</v>
      </c>
      <c r="Z306" s="581">
        <f>+'7,1,8,4 P Agua Fria Orinales'!I32</f>
        <v>3710</v>
      </c>
      <c r="AA306" s="582">
        <f t="shared" si="287"/>
        <v>0</v>
      </c>
      <c r="AB306" s="581"/>
      <c r="AC306" s="582">
        <f t="shared" si="288"/>
        <v>0</v>
      </c>
      <c r="AE306" s="769" t="e">
        <f t="shared" si="242"/>
        <v>#REF!</v>
      </c>
    </row>
    <row r="307" spans="1:31" ht="15" hidden="1" customHeight="1" x14ac:dyDescent="0.2">
      <c r="A307" s="611" t="s">
        <v>1106</v>
      </c>
      <c r="B307" s="601" t="s">
        <v>1107</v>
      </c>
      <c r="C307" s="611" t="s">
        <v>111</v>
      </c>
      <c r="D307" s="576">
        <f t="shared" si="277"/>
        <v>0</v>
      </c>
      <c r="E307" s="577" t="e">
        <f t="shared" si="207"/>
        <v>#REF!</v>
      </c>
      <c r="F307" s="577" t="e">
        <f t="shared" si="278"/>
        <v>#REF!</v>
      </c>
      <c r="G307" s="578"/>
      <c r="I307" s="584"/>
      <c r="J307" s="585" t="e">
        <f t="shared" si="279"/>
        <v>#REF!</v>
      </c>
      <c r="K307" s="537"/>
      <c r="L307" s="445" t="e">
        <f t="shared" si="280"/>
        <v>#REF!</v>
      </c>
      <c r="M307" s="542"/>
      <c r="N307" s="445" t="e">
        <f t="shared" si="281"/>
        <v>#REF!</v>
      </c>
      <c r="O307" s="542"/>
      <c r="P307" s="445" t="e">
        <f t="shared" si="282"/>
        <v>#REF!</v>
      </c>
      <c r="Q307" s="542"/>
      <c r="R307" s="445" t="e">
        <f t="shared" si="283"/>
        <v>#REF!</v>
      </c>
      <c r="S307" s="542"/>
      <c r="T307" s="445" t="e">
        <f t="shared" si="284"/>
        <v>#REF!</v>
      </c>
      <c r="V307" s="581" t="e">
        <f>+'7,1,8,5 P Agua Fria pocetas lab'!I21</f>
        <v>#REF!</v>
      </c>
      <c r="W307" s="582" t="e">
        <f t="shared" si="285"/>
        <v>#REF!</v>
      </c>
      <c r="X307" s="581">
        <f>+'7,1,8,5 P Agua Fria pocetas lab'!I52</f>
        <v>23263.32</v>
      </c>
      <c r="Y307" s="582">
        <f t="shared" si="286"/>
        <v>0</v>
      </c>
      <c r="Z307" s="581">
        <f>+'7,1,8,5 P Agua Fria pocetas lab'!I32</f>
        <v>3710</v>
      </c>
      <c r="AA307" s="582">
        <f t="shared" si="287"/>
        <v>0</v>
      </c>
      <c r="AB307" s="581">
        <f>+'7,1,8,5 P Agua Fria pocetas lab'!I43</f>
        <v>0</v>
      </c>
      <c r="AC307" s="582">
        <f t="shared" si="288"/>
        <v>0</v>
      </c>
      <c r="AE307" s="769" t="e">
        <f t="shared" si="242"/>
        <v>#REF!</v>
      </c>
    </row>
    <row r="308" spans="1:31" ht="15" hidden="1" customHeight="1" x14ac:dyDescent="0.2">
      <c r="A308" s="611" t="s">
        <v>1108</v>
      </c>
      <c r="B308" s="601" t="s">
        <v>1109</v>
      </c>
      <c r="C308" s="611" t="s">
        <v>111</v>
      </c>
      <c r="D308" s="576">
        <f t="shared" si="277"/>
        <v>0</v>
      </c>
      <c r="E308" s="577" t="e">
        <f t="shared" si="207"/>
        <v>#REF!</v>
      </c>
      <c r="F308" s="577" t="e">
        <f t="shared" si="278"/>
        <v>#REF!</v>
      </c>
      <c r="G308" s="578"/>
      <c r="I308" s="584"/>
      <c r="J308" s="585" t="e">
        <f t="shared" si="279"/>
        <v>#REF!</v>
      </c>
      <c r="K308" s="537"/>
      <c r="L308" s="445" t="e">
        <f t="shared" si="280"/>
        <v>#REF!</v>
      </c>
      <c r="M308" s="542"/>
      <c r="N308" s="445" t="e">
        <f t="shared" si="281"/>
        <v>#REF!</v>
      </c>
      <c r="O308" s="542"/>
      <c r="P308" s="445" t="e">
        <f t="shared" si="282"/>
        <v>#REF!</v>
      </c>
      <c r="Q308" s="542"/>
      <c r="R308" s="445" t="e">
        <f t="shared" si="283"/>
        <v>#REF!</v>
      </c>
      <c r="S308" s="542"/>
      <c r="T308" s="445" t="e">
        <f t="shared" si="284"/>
        <v>#REF!</v>
      </c>
      <c r="V308" s="581" t="e">
        <f>+'7,1,8,6 P Agua Fria Ducha'!I21</f>
        <v>#REF!</v>
      </c>
      <c r="W308" s="582" t="e">
        <f t="shared" si="285"/>
        <v>#REF!</v>
      </c>
      <c r="X308" s="581">
        <f>+'7,1,8,6 P Agua Fria Ducha'!I52</f>
        <v>23263.32</v>
      </c>
      <c r="Y308" s="582">
        <f t="shared" si="286"/>
        <v>0</v>
      </c>
      <c r="Z308" s="581">
        <f>+'7,1,8,6 P Agua Fria Ducha'!I32</f>
        <v>3710</v>
      </c>
      <c r="AA308" s="582">
        <f t="shared" si="287"/>
        <v>0</v>
      </c>
      <c r="AB308" s="581">
        <f>+'7,1,8,6 P Agua Fria Ducha'!I43</f>
        <v>0</v>
      </c>
      <c r="AC308" s="582">
        <f t="shared" si="288"/>
        <v>0</v>
      </c>
      <c r="AE308" s="769" t="e">
        <f t="shared" si="242"/>
        <v>#REF!</v>
      </c>
    </row>
    <row r="309" spans="1:31" ht="15" hidden="1" customHeight="1" x14ac:dyDescent="0.2">
      <c r="A309" s="611" t="s">
        <v>1110</v>
      </c>
      <c r="B309" s="601" t="s">
        <v>1111</v>
      </c>
      <c r="C309" s="611" t="s">
        <v>111</v>
      </c>
      <c r="D309" s="576">
        <f t="shared" si="277"/>
        <v>0</v>
      </c>
      <c r="E309" s="577" t="e">
        <f t="shared" si="207"/>
        <v>#REF!</v>
      </c>
      <c r="F309" s="577" t="e">
        <f t="shared" si="278"/>
        <v>#REF!</v>
      </c>
      <c r="G309" s="578"/>
      <c r="I309" s="584"/>
      <c r="J309" s="585" t="e">
        <f t="shared" si="279"/>
        <v>#REF!</v>
      </c>
      <c r="K309" s="537"/>
      <c r="L309" s="445" t="e">
        <f t="shared" si="280"/>
        <v>#REF!</v>
      </c>
      <c r="M309" s="542"/>
      <c r="N309" s="445" t="e">
        <f t="shared" si="281"/>
        <v>#REF!</v>
      </c>
      <c r="O309" s="542"/>
      <c r="P309" s="445" t="e">
        <f t="shared" si="282"/>
        <v>#REF!</v>
      </c>
      <c r="Q309" s="542"/>
      <c r="R309" s="445" t="e">
        <f t="shared" si="283"/>
        <v>#REF!</v>
      </c>
      <c r="S309" s="542"/>
      <c r="T309" s="445" t="e">
        <f t="shared" si="284"/>
        <v>#REF!</v>
      </c>
      <c r="V309" s="581" t="e">
        <f>+'7,1,8,7 P Agua Fria Pocetas'!I20</f>
        <v>#REF!</v>
      </c>
      <c r="W309" s="582" t="e">
        <f t="shared" si="285"/>
        <v>#REF!</v>
      </c>
      <c r="X309" s="581">
        <f>+'7,1,8,7 P Agua Fria Pocetas'!I51</f>
        <v>23263.32</v>
      </c>
      <c r="Y309" s="582">
        <f t="shared" si="286"/>
        <v>0</v>
      </c>
      <c r="Z309" s="581">
        <f>+'7,1,8,7 P Agua Fria Pocetas'!I31</f>
        <v>74.2</v>
      </c>
      <c r="AA309" s="582">
        <f t="shared" si="287"/>
        <v>0</v>
      </c>
      <c r="AB309" s="581"/>
      <c r="AC309" s="582">
        <f t="shared" si="288"/>
        <v>0</v>
      </c>
      <c r="AE309" s="769" t="e">
        <f t="shared" si="242"/>
        <v>#REF!</v>
      </c>
    </row>
    <row r="310" spans="1:31" ht="15" hidden="1" customHeight="1" x14ac:dyDescent="0.2">
      <c r="A310" s="611" t="s">
        <v>1112</v>
      </c>
      <c r="B310" s="601" t="s">
        <v>1113</v>
      </c>
      <c r="C310" s="611" t="s">
        <v>111</v>
      </c>
      <c r="D310" s="576">
        <f t="shared" si="277"/>
        <v>0</v>
      </c>
      <c r="E310" s="577" t="e">
        <f t="shared" ref="E310:E372" si="289">V310+X310+Z310+AB310</f>
        <v>#REF!</v>
      </c>
      <c r="F310" s="577" t="e">
        <f t="shared" si="278"/>
        <v>#REF!</v>
      </c>
      <c r="G310" s="578"/>
      <c r="I310" s="584"/>
      <c r="J310" s="585" t="e">
        <f t="shared" si="279"/>
        <v>#REF!</v>
      </c>
      <c r="K310" s="537"/>
      <c r="L310" s="445" t="e">
        <f t="shared" si="280"/>
        <v>#REF!</v>
      </c>
      <c r="M310" s="542"/>
      <c r="N310" s="445" t="e">
        <f t="shared" si="281"/>
        <v>#REF!</v>
      </c>
      <c r="O310" s="542"/>
      <c r="P310" s="445" t="e">
        <f t="shared" si="282"/>
        <v>#REF!</v>
      </c>
      <c r="Q310" s="542"/>
      <c r="R310" s="445" t="e">
        <f t="shared" si="283"/>
        <v>#REF!</v>
      </c>
      <c r="S310" s="542"/>
      <c r="T310" s="445" t="e">
        <f t="shared" si="284"/>
        <v>#REF!</v>
      </c>
      <c r="V310" s="581" t="e">
        <f>+'7,1,8,8 Llave  Manguera 1.2"'!I20</f>
        <v>#REF!</v>
      </c>
      <c r="W310" s="582" t="e">
        <f t="shared" si="285"/>
        <v>#REF!</v>
      </c>
      <c r="X310" s="581">
        <f>+'7,1,8,8 Llave  Manguera 1.2"'!I51</f>
        <v>4187.3999999999996</v>
      </c>
      <c r="Y310" s="582">
        <f t="shared" si="286"/>
        <v>0</v>
      </c>
      <c r="Z310" s="581">
        <f>+'7,1,8,8 Llave  Manguera 1.2"'!I31</f>
        <v>154.58000000000001</v>
      </c>
      <c r="AA310" s="582">
        <f t="shared" si="287"/>
        <v>0</v>
      </c>
      <c r="AB310" s="581">
        <f>+'7,1,8,8 Llave  Manguera 1.2"'!I42</f>
        <v>0</v>
      </c>
      <c r="AC310" s="582">
        <f t="shared" si="288"/>
        <v>0</v>
      </c>
      <c r="AE310" s="769" t="e">
        <f t="shared" si="242"/>
        <v>#REF!</v>
      </c>
    </row>
    <row r="311" spans="1:31" ht="15" hidden="1" customHeight="1" x14ac:dyDescent="0.2">
      <c r="A311" s="611" t="s">
        <v>1114</v>
      </c>
      <c r="B311" s="601" t="s">
        <v>1115</v>
      </c>
      <c r="C311" s="611" t="s">
        <v>111</v>
      </c>
      <c r="D311" s="576">
        <f t="shared" si="277"/>
        <v>0</v>
      </c>
      <c r="E311" s="577">
        <f t="shared" si="289"/>
        <v>0</v>
      </c>
      <c r="F311" s="577">
        <f t="shared" si="278"/>
        <v>0</v>
      </c>
      <c r="G311" s="578"/>
      <c r="I311" s="584"/>
      <c r="J311" s="585">
        <f t="shared" si="279"/>
        <v>0</v>
      </c>
      <c r="K311" s="537"/>
      <c r="L311" s="445">
        <f t="shared" si="280"/>
        <v>0</v>
      </c>
      <c r="M311" s="542"/>
      <c r="N311" s="445">
        <f t="shared" si="281"/>
        <v>0</v>
      </c>
      <c r="O311" s="542"/>
      <c r="P311" s="445">
        <f t="shared" si="282"/>
        <v>0</v>
      </c>
      <c r="Q311" s="542"/>
      <c r="R311" s="445">
        <f t="shared" si="283"/>
        <v>0</v>
      </c>
      <c r="S311" s="542"/>
      <c r="T311" s="445">
        <f t="shared" si="284"/>
        <v>0</v>
      </c>
      <c r="V311" s="581"/>
      <c r="W311" s="582">
        <f t="shared" si="285"/>
        <v>0</v>
      </c>
      <c r="X311" s="581"/>
      <c r="Y311" s="582">
        <f t="shared" si="286"/>
        <v>0</v>
      </c>
      <c r="Z311" s="581"/>
      <c r="AA311" s="582">
        <f t="shared" si="287"/>
        <v>0</v>
      </c>
      <c r="AB311" s="581"/>
      <c r="AC311" s="582">
        <f t="shared" si="288"/>
        <v>0</v>
      </c>
      <c r="AE311" s="769">
        <f t="shared" si="242"/>
        <v>0</v>
      </c>
    </row>
    <row r="312" spans="1:31" ht="15" hidden="1" customHeight="1" x14ac:dyDescent="0.2">
      <c r="A312" s="611" t="s">
        <v>1116</v>
      </c>
      <c r="B312" s="601" t="s">
        <v>1117</v>
      </c>
      <c r="C312" s="611" t="s">
        <v>111</v>
      </c>
      <c r="D312" s="576">
        <f t="shared" si="277"/>
        <v>0</v>
      </c>
      <c r="E312" s="577" t="e">
        <f t="shared" si="289"/>
        <v>#REF!</v>
      </c>
      <c r="F312" s="577" t="e">
        <f t="shared" si="278"/>
        <v>#REF!</v>
      </c>
      <c r="G312" s="578"/>
      <c r="I312" s="584"/>
      <c r="J312" s="585" t="e">
        <f t="shared" si="279"/>
        <v>#REF!</v>
      </c>
      <c r="K312" s="537"/>
      <c r="L312" s="445" t="e">
        <f t="shared" si="280"/>
        <v>#REF!</v>
      </c>
      <c r="M312" s="542"/>
      <c r="N312" s="445" t="e">
        <f t="shared" si="281"/>
        <v>#REF!</v>
      </c>
      <c r="O312" s="542"/>
      <c r="P312" s="445" t="e">
        <f t="shared" si="282"/>
        <v>#REF!</v>
      </c>
      <c r="Q312" s="542"/>
      <c r="R312" s="445" t="e">
        <f t="shared" si="283"/>
        <v>#REF!</v>
      </c>
      <c r="S312" s="542"/>
      <c r="T312" s="445" t="e">
        <f t="shared" si="284"/>
        <v>#REF!</v>
      </c>
      <c r="V312" s="581" t="e">
        <f>'7,1,8,10  Tapòn H.G.1.2"'!I19</f>
        <v>#REF!</v>
      </c>
      <c r="W312" s="582" t="e">
        <f t="shared" si="285"/>
        <v>#REF!</v>
      </c>
      <c r="X312" s="581">
        <f>'7,1,8,10  Tapòn H.G.1.2"'!I50</f>
        <v>418.74</v>
      </c>
      <c r="Y312" s="582">
        <f t="shared" si="286"/>
        <v>0</v>
      </c>
      <c r="Z312" s="581">
        <f>'7,1,8,10  Tapòn H.G.1.2"'!I30</f>
        <v>148.4</v>
      </c>
      <c r="AA312" s="582">
        <f t="shared" si="287"/>
        <v>0</v>
      </c>
      <c r="AB312" s="581">
        <f>'7,1,8,10  Tapòn H.G.1.2"'!I41</f>
        <v>0</v>
      </c>
      <c r="AC312" s="582">
        <f t="shared" si="288"/>
        <v>0</v>
      </c>
      <c r="AE312" s="769" t="e">
        <f t="shared" si="242"/>
        <v>#REF!</v>
      </c>
    </row>
    <row r="313" spans="1:31" ht="15" hidden="1" customHeight="1" x14ac:dyDescent="0.2">
      <c r="A313" s="611" t="s">
        <v>1118</v>
      </c>
      <c r="B313" s="601" t="s">
        <v>1119</v>
      </c>
      <c r="C313" s="611" t="s">
        <v>111</v>
      </c>
      <c r="D313" s="576">
        <f t="shared" si="277"/>
        <v>0</v>
      </c>
      <c r="E313" s="577" t="e">
        <f t="shared" si="289"/>
        <v>#REF!</v>
      </c>
      <c r="F313" s="577" t="e">
        <f t="shared" si="278"/>
        <v>#REF!</v>
      </c>
      <c r="G313" s="578"/>
      <c r="I313" s="584"/>
      <c r="J313" s="585" t="e">
        <f t="shared" si="279"/>
        <v>#REF!</v>
      </c>
      <c r="K313" s="537"/>
      <c r="L313" s="445" t="e">
        <f t="shared" si="280"/>
        <v>#REF!</v>
      </c>
      <c r="M313" s="542"/>
      <c r="N313" s="445" t="e">
        <f t="shared" si="281"/>
        <v>#REF!</v>
      </c>
      <c r="O313" s="542"/>
      <c r="P313" s="445" t="e">
        <f t="shared" si="282"/>
        <v>#REF!</v>
      </c>
      <c r="Q313" s="542"/>
      <c r="R313" s="445" t="e">
        <f t="shared" si="283"/>
        <v>#REF!</v>
      </c>
      <c r="S313" s="542"/>
      <c r="T313" s="445" t="e">
        <f t="shared" si="284"/>
        <v>#REF!</v>
      </c>
      <c r="V313" s="581" t="e">
        <f>'7,1,8,11  Tapòn P.V.C.1.2" '!I19</f>
        <v>#REF!</v>
      </c>
      <c r="W313" s="582" t="e">
        <f t="shared" si="285"/>
        <v>#REF!</v>
      </c>
      <c r="X313" s="581">
        <f>'7,1,8,11  Tapòn P.V.C.1.2" '!I50</f>
        <v>418.74</v>
      </c>
      <c r="Y313" s="582">
        <f t="shared" si="286"/>
        <v>0</v>
      </c>
      <c r="Z313" s="581">
        <f>'7,1,8,11  Tapòn P.V.C.1.2" '!I30</f>
        <v>148.4</v>
      </c>
      <c r="AA313" s="582">
        <f t="shared" si="287"/>
        <v>0</v>
      </c>
      <c r="AB313" s="581">
        <f>'7,1,8,11  Tapòn P.V.C.1.2" '!I41</f>
        <v>0</v>
      </c>
      <c r="AC313" s="582">
        <f t="shared" si="288"/>
        <v>0</v>
      </c>
      <c r="AE313" s="769" t="e">
        <f t="shared" si="242"/>
        <v>#REF!</v>
      </c>
    </row>
    <row r="314" spans="1:31" ht="15" hidden="1" customHeight="1" x14ac:dyDescent="0.2">
      <c r="A314" s="611" t="s">
        <v>1120</v>
      </c>
      <c r="B314" s="601" t="s">
        <v>1121</v>
      </c>
      <c r="C314" s="611" t="s">
        <v>111</v>
      </c>
      <c r="D314" s="576">
        <f t="shared" si="277"/>
        <v>0</v>
      </c>
      <c r="E314" s="577" t="e">
        <f t="shared" si="289"/>
        <v>#REF!</v>
      </c>
      <c r="F314" s="577" t="e">
        <f t="shared" si="278"/>
        <v>#REF!</v>
      </c>
      <c r="G314" s="578"/>
      <c r="I314" s="584"/>
      <c r="J314" s="585" t="e">
        <f t="shared" si="279"/>
        <v>#REF!</v>
      </c>
      <c r="K314" s="537"/>
      <c r="L314" s="445" t="e">
        <f t="shared" si="280"/>
        <v>#REF!</v>
      </c>
      <c r="M314" s="542"/>
      <c r="N314" s="445" t="e">
        <f t="shared" si="281"/>
        <v>#REF!</v>
      </c>
      <c r="O314" s="542"/>
      <c r="P314" s="445" t="e">
        <f t="shared" si="282"/>
        <v>#REF!</v>
      </c>
      <c r="Q314" s="542"/>
      <c r="R314" s="445" t="e">
        <f t="shared" si="283"/>
        <v>#REF!</v>
      </c>
      <c r="S314" s="542"/>
      <c r="T314" s="445" t="e">
        <f t="shared" si="284"/>
        <v>#REF!</v>
      </c>
      <c r="V314" s="581" t="e">
        <f>+'7,1,8,12  Camara aire H.G.1.2"'!I19</f>
        <v>#REF!</v>
      </c>
      <c r="W314" s="582" t="e">
        <f t="shared" si="285"/>
        <v>#REF!</v>
      </c>
      <c r="X314" s="581">
        <f>+'7,1,8,12  Camara aire H.G.1.2"'!I50</f>
        <v>8374.7900000000009</v>
      </c>
      <c r="Y314" s="582">
        <f t="shared" si="286"/>
        <v>0</v>
      </c>
      <c r="Z314" s="581">
        <f>+'7,1,8,12  Camara aire H.G.1.2"'!I30</f>
        <v>148.4</v>
      </c>
      <c r="AA314" s="582">
        <f t="shared" si="287"/>
        <v>0</v>
      </c>
      <c r="AB314" s="581">
        <f>+'7,1,8,12  Camara aire H.G.1.2"'!I41</f>
        <v>0</v>
      </c>
      <c r="AC314" s="582">
        <f t="shared" si="288"/>
        <v>0</v>
      </c>
      <c r="AE314" s="769" t="e">
        <f t="shared" si="242"/>
        <v>#REF!</v>
      </c>
    </row>
    <row r="315" spans="1:31" ht="15" hidden="1" customHeight="1" x14ac:dyDescent="0.2">
      <c r="A315" s="611" t="s">
        <v>1122</v>
      </c>
      <c r="B315" s="601" t="s">
        <v>1123</v>
      </c>
      <c r="C315" s="611" t="s">
        <v>111</v>
      </c>
      <c r="D315" s="576">
        <f t="shared" si="277"/>
        <v>0</v>
      </c>
      <c r="E315" s="577" t="e">
        <f t="shared" si="289"/>
        <v>#REF!</v>
      </c>
      <c r="F315" s="577" t="e">
        <f t="shared" si="278"/>
        <v>#REF!</v>
      </c>
      <c r="G315" s="578"/>
      <c r="I315" s="584"/>
      <c r="J315" s="585" t="e">
        <f t="shared" si="279"/>
        <v>#REF!</v>
      </c>
      <c r="K315" s="537"/>
      <c r="L315" s="445" t="e">
        <f t="shared" si="280"/>
        <v>#REF!</v>
      </c>
      <c r="M315" s="542"/>
      <c r="N315" s="445" t="e">
        <f t="shared" si="281"/>
        <v>#REF!</v>
      </c>
      <c r="O315" s="542"/>
      <c r="P315" s="445" t="e">
        <f t="shared" si="282"/>
        <v>#REF!</v>
      </c>
      <c r="Q315" s="542"/>
      <c r="R315" s="445" t="e">
        <f t="shared" si="283"/>
        <v>#REF!</v>
      </c>
      <c r="S315" s="542"/>
      <c r="T315" s="445" t="e">
        <f t="shared" si="284"/>
        <v>#REF!</v>
      </c>
      <c r="V315" s="581" t="e">
        <f>+'7,1,8,13  Camara aire P.V.C.P '!I19</f>
        <v>#REF!</v>
      </c>
      <c r="W315" s="582" t="e">
        <f t="shared" si="285"/>
        <v>#REF!</v>
      </c>
      <c r="X315" s="581">
        <f>+'7,1,8,13  Camara aire P.V.C.P '!I50</f>
        <v>8374.7900000000009</v>
      </c>
      <c r="Y315" s="582">
        <f t="shared" si="286"/>
        <v>0</v>
      </c>
      <c r="Z315" s="581">
        <f>+'7,1,8,13  Camara aire P.V.C.P '!I30</f>
        <v>148.4</v>
      </c>
      <c r="AA315" s="582">
        <f t="shared" si="287"/>
        <v>0</v>
      </c>
      <c r="AB315" s="581">
        <f>+'7,1,8,13  Camara aire P.V.C.P '!I41</f>
        <v>0</v>
      </c>
      <c r="AC315" s="582">
        <f t="shared" si="288"/>
        <v>0</v>
      </c>
      <c r="AE315" s="769" t="e">
        <f t="shared" si="242"/>
        <v>#REF!</v>
      </c>
    </row>
    <row r="316" spans="1:31" ht="15" customHeight="1" x14ac:dyDescent="0.2">
      <c r="A316" s="572" t="s">
        <v>1124</v>
      </c>
      <c r="B316" s="573" t="s">
        <v>1125</v>
      </c>
      <c r="C316" s="846"/>
      <c r="D316" s="576"/>
      <c r="E316" s="577"/>
      <c r="F316" s="626" t="e">
        <f>+ROUND(SUM(F317:F325),10)</f>
        <v>#REF!</v>
      </c>
      <c r="G316" s="473"/>
      <c r="H316" s="568"/>
      <c r="I316" s="613"/>
      <c r="J316" s="440" t="e">
        <f>ROUND(SUM(J317:J325),10)</f>
        <v>#REF!</v>
      </c>
      <c r="K316" s="537"/>
      <c r="L316" s="180" t="e">
        <f>ROUND(SUM(L317:L325),10)</f>
        <v>#REF!</v>
      </c>
      <c r="M316" s="542"/>
      <c r="N316" s="180" t="e">
        <f>ROUND(SUM(N317:N325),10)</f>
        <v>#REF!</v>
      </c>
      <c r="O316" s="542"/>
      <c r="P316" s="180" t="e">
        <f>ROUND(SUM(P317:P325),10)</f>
        <v>#REF!</v>
      </c>
      <c r="Q316" s="542"/>
      <c r="R316" s="180" t="e">
        <f>ROUND(SUM(R317:R325),10)</f>
        <v>#REF!</v>
      </c>
      <c r="S316" s="542"/>
      <c r="T316" s="180" t="e">
        <f>ROUND(SUM(T317:T325),10)</f>
        <v>#REF!</v>
      </c>
      <c r="U316" s="568"/>
      <c r="V316" s="575"/>
      <c r="W316" s="570" t="e">
        <f>ROUND(SUM(W317:W325),10)</f>
        <v>#REF!</v>
      </c>
      <c r="X316" s="575"/>
      <c r="Y316" s="570" t="e">
        <f>ROUND(SUM(Y317:Y325),10)</f>
        <v>#REF!</v>
      </c>
      <c r="Z316" s="575"/>
      <c r="AA316" s="570" t="e">
        <f>ROUND(SUM(AA317:AA325),10)</f>
        <v>#REF!</v>
      </c>
      <c r="AB316" s="575"/>
      <c r="AC316" s="570" t="e">
        <f>ROUND(SUM(AC317:AC325),10)</f>
        <v>#REF!</v>
      </c>
      <c r="AE316" s="769" t="e">
        <f t="shared" si="242"/>
        <v>#REF!</v>
      </c>
    </row>
    <row r="317" spans="1:31" ht="15" customHeight="1" x14ac:dyDescent="0.2">
      <c r="A317" s="611" t="s">
        <v>1126</v>
      </c>
      <c r="B317" s="601" t="s">
        <v>1127</v>
      </c>
      <c r="C317" s="611" t="s">
        <v>111</v>
      </c>
      <c r="D317" s="576">
        <f t="shared" ref="D317:D327" si="290">+I317+K317+M317+O317+Q317+S317</f>
        <v>30</v>
      </c>
      <c r="E317" s="577" t="e">
        <f t="shared" si="289"/>
        <v>#REF!</v>
      </c>
      <c r="F317" s="577" t="e">
        <f t="shared" ref="F317:F327" si="291">ROUND(D317*E317,10)</f>
        <v>#REF!</v>
      </c>
      <c r="G317" s="578"/>
      <c r="I317" s="594"/>
      <c r="J317" s="580" t="e">
        <f t="shared" ref="J317:J325" si="292">+ROUND(E317*I317,10)</f>
        <v>#REF!</v>
      </c>
      <c r="K317" s="537"/>
      <c r="L317" s="445" t="e">
        <f t="shared" ref="L317:L325" si="293">+ROUND(E317*K317,10)</f>
        <v>#REF!</v>
      </c>
      <c r="M317" s="542"/>
      <c r="N317" s="445" t="e">
        <f t="shared" ref="N317:N325" si="294">+ROUND(E317*M317,10)</f>
        <v>#REF!</v>
      </c>
      <c r="O317" s="542">
        <v>30</v>
      </c>
      <c r="P317" s="445" t="e">
        <f t="shared" ref="P317:P325" si="295">+ROUND(E317*O317,10)</f>
        <v>#REF!</v>
      </c>
      <c r="Q317" s="542"/>
      <c r="R317" s="445" t="e">
        <f t="shared" ref="R317:R325" si="296">+ROUND(E317*Q317,10)</f>
        <v>#REF!</v>
      </c>
      <c r="S317" s="542"/>
      <c r="T317" s="445" t="e">
        <f t="shared" ref="T317:T325" si="297">+ROUND(E317*S317,10)</f>
        <v>#REF!</v>
      </c>
      <c r="V317" s="581" t="e">
        <f>+#REF!</f>
        <v>#REF!</v>
      </c>
      <c r="W317" s="582" t="e">
        <f t="shared" ref="W317:W325" si="298">ROUND(V317*$D317,10)</f>
        <v>#REF!</v>
      </c>
      <c r="X317" s="581" t="e">
        <f>+#REF!</f>
        <v>#REF!</v>
      </c>
      <c r="Y317" s="582" t="e">
        <f t="shared" ref="Y317:Y325" si="299">ROUND(X317*$D317,10)</f>
        <v>#REF!</v>
      </c>
      <c r="Z317" s="581" t="e">
        <f>+#REF!</f>
        <v>#REF!</v>
      </c>
      <c r="AA317" s="582" t="e">
        <f t="shared" ref="AA317:AA325" si="300">ROUND(Z317*$D317,10)</f>
        <v>#REF!</v>
      </c>
      <c r="AB317" s="581"/>
      <c r="AC317" s="582">
        <f t="shared" ref="AC317:AC325" si="301">ROUND(AB317*$D317,10)</f>
        <v>0</v>
      </c>
      <c r="AE317" s="769" t="e">
        <f t="shared" si="242"/>
        <v>#REF!</v>
      </c>
    </row>
    <row r="318" spans="1:31" ht="15" customHeight="1" x14ac:dyDescent="0.2">
      <c r="A318" s="611" t="s">
        <v>1128</v>
      </c>
      <c r="B318" s="601" t="s">
        <v>1129</v>
      </c>
      <c r="C318" s="611" t="s">
        <v>111</v>
      </c>
      <c r="D318" s="576">
        <f t="shared" si="290"/>
        <v>17</v>
      </c>
      <c r="E318" s="577" t="e">
        <f t="shared" si="289"/>
        <v>#REF!</v>
      </c>
      <c r="F318" s="577" t="e">
        <f t="shared" si="291"/>
        <v>#REF!</v>
      </c>
      <c r="G318" s="578"/>
      <c r="I318" s="584"/>
      <c r="J318" s="585" t="e">
        <f t="shared" si="292"/>
        <v>#REF!</v>
      </c>
      <c r="K318" s="537"/>
      <c r="L318" s="445" t="e">
        <f t="shared" si="293"/>
        <v>#REF!</v>
      </c>
      <c r="M318" s="542"/>
      <c r="N318" s="445" t="e">
        <f t="shared" si="294"/>
        <v>#REF!</v>
      </c>
      <c r="O318" s="542">
        <v>17</v>
      </c>
      <c r="P318" s="445" t="e">
        <f t="shared" si="295"/>
        <v>#REF!</v>
      </c>
      <c r="Q318" s="542"/>
      <c r="R318" s="445" t="e">
        <f t="shared" si="296"/>
        <v>#REF!</v>
      </c>
      <c r="S318" s="542"/>
      <c r="T318" s="445" t="e">
        <f t="shared" si="297"/>
        <v>#REF!</v>
      </c>
      <c r="V318" s="581" t="e">
        <f>+#REF!</f>
        <v>#REF!</v>
      </c>
      <c r="W318" s="582" t="e">
        <f t="shared" si="298"/>
        <v>#REF!</v>
      </c>
      <c r="X318" s="581" t="e">
        <f>+#REF!</f>
        <v>#REF!</v>
      </c>
      <c r="Y318" s="582" t="e">
        <f t="shared" si="299"/>
        <v>#REF!</v>
      </c>
      <c r="Z318" s="581" t="e">
        <f>+#REF!</f>
        <v>#REF!</v>
      </c>
      <c r="AA318" s="582" t="e">
        <f t="shared" si="300"/>
        <v>#REF!</v>
      </c>
      <c r="AB318" s="581"/>
      <c r="AC318" s="582">
        <f t="shared" si="301"/>
        <v>0</v>
      </c>
      <c r="AE318" s="769" t="e">
        <f t="shared" si="242"/>
        <v>#REF!</v>
      </c>
    </row>
    <row r="319" spans="1:31" ht="15" customHeight="1" x14ac:dyDescent="0.2">
      <c r="A319" s="611" t="s">
        <v>1130</v>
      </c>
      <c r="B319" s="601" t="s">
        <v>1131</v>
      </c>
      <c r="C319" s="611" t="s">
        <v>111</v>
      </c>
      <c r="D319" s="576">
        <f t="shared" si="290"/>
        <v>6</v>
      </c>
      <c r="E319" s="577" t="e">
        <f t="shared" si="289"/>
        <v>#REF!</v>
      </c>
      <c r="F319" s="577" t="e">
        <f t="shared" si="291"/>
        <v>#REF!</v>
      </c>
      <c r="G319" s="578"/>
      <c r="I319" s="584"/>
      <c r="J319" s="585" t="e">
        <f t="shared" si="292"/>
        <v>#REF!</v>
      </c>
      <c r="K319" s="537"/>
      <c r="L319" s="445" t="e">
        <f t="shared" si="293"/>
        <v>#REF!</v>
      </c>
      <c r="M319" s="542"/>
      <c r="N319" s="445" t="e">
        <f t="shared" si="294"/>
        <v>#REF!</v>
      </c>
      <c r="O319" s="542">
        <v>6</v>
      </c>
      <c r="P319" s="445" t="e">
        <f t="shared" si="295"/>
        <v>#REF!</v>
      </c>
      <c r="Q319" s="542"/>
      <c r="R319" s="445" t="e">
        <f t="shared" si="296"/>
        <v>#REF!</v>
      </c>
      <c r="S319" s="542"/>
      <c r="T319" s="445" t="e">
        <f t="shared" si="297"/>
        <v>#REF!</v>
      </c>
      <c r="V319" s="581" t="e">
        <f>+#REF!</f>
        <v>#REF!</v>
      </c>
      <c r="W319" s="582" t="e">
        <f t="shared" si="298"/>
        <v>#REF!</v>
      </c>
      <c r="X319" s="581" t="e">
        <f>+#REF!</f>
        <v>#REF!</v>
      </c>
      <c r="Y319" s="582" t="e">
        <f t="shared" si="299"/>
        <v>#REF!</v>
      </c>
      <c r="Z319" s="581" t="e">
        <f>+#REF!</f>
        <v>#REF!</v>
      </c>
      <c r="AA319" s="582" t="e">
        <f t="shared" si="300"/>
        <v>#REF!</v>
      </c>
      <c r="AB319" s="581"/>
      <c r="AC319" s="582">
        <f t="shared" si="301"/>
        <v>0</v>
      </c>
      <c r="AE319" s="769" t="e">
        <f t="shared" si="242"/>
        <v>#REF!</v>
      </c>
    </row>
    <row r="320" spans="1:31" ht="15" hidden="1" customHeight="1" x14ac:dyDescent="0.2">
      <c r="A320" s="611" t="s">
        <v>1132</v>
      </c>
      <c r="B320" s="601" t="s">
        <v>1133</v>
      </c>
      <c r="C320" s="611" t="s">
        <v>111</v>
      </c>
      <c r="D320" s="576">
        <f t="shared" si="290"/>
        <v>0</v>
      </c>
      <c r="E320" s="577" t="e">
        <f t="shared" si="289"/>
        <v>#REF!</v>
      </c>
      <c r="F320" s="577" t="e">
        <f t="shared" si="291"/>
        <v>#REF!</v>
      </c>
      <c r="G320" s="578"/>
      <c r="I320" s="584"/>
      <c r="J320" s="585" t="e">
        <f t="shared" si="292"/>
        <v>#REF!</v>
      </c>
      <c r="K320" s="537"/>
      <c r="L320" s="445" t="e">
        <f t="shared" si="293"/>
        <v>#REF!</v>
      </c>
      <c r="M320" s="542"/>
      <c r="N320" s="445" t="e">
        <f t="shared" si="294"/>
        <v>#REF!</v>
      </c>
      <c r="O320" s="542"/>
      <c r="P320" s="445" t="e">
        <f t="shared" si="295"/>
        <v>#REF!</v>
      </c>
      <c r="Q320" s="542"/>
      <c r="R320" s="445" t="e">
        <f t="shared" si="296"/>
        <v>#REF!</v>
      </c>
      <c r="S320" s="542"/>
      <c r="T320" s="445" t="e">
        <f t="shared" si="297"/>
        <v>#REF!</v>
      </c>
      <c r="V320" s="581" t="e">
        <f>'7,1,9,5  P Sifòn PVC-S 4"'!I20</f>
        <v>#REF!</v>
      </c>
      <c r="W320" s="582" t="e">
        <f t="shared" si="298"/>
        <v>#REF!</v>
      </c>
      <c r="X320" s="581">
        <f>'7,1,9,5  P Sifòn PVC-S 4"'!I51</f>
        <v>20936.98</v>
      </c>
      <c r="Y320" s="582">
        <f t="shared" si="299"/>
        <v>0</v>
      </c>
      <c r="Z320" s="581">
        <f>'7,1,9,5  P Sifòn PVC-S 4"'!I31</f>
        <v>3710</v>
      </c>
      <c r="AA320" s="582">
        <f t="shared" si="300"/>
        <v>0</v>
      </c>
      <c r="AB320" s="581">
        <f>'7,1,9,5  P Sifòn PVC-S 4"'!I42</f>
        <v>0</v>
      </c>
      <c r="AC320" s="582">
        <f t="shared" si="301"/>
        <v>0</v>
      </c>
      <c r="AE320" s="769" t="e">
        <f t="shared" si="242"/>
        <v>#REF!</v>
      </c>
    </row>
    <row r="321" spans="1:31" ht="15" customHeight="1" x14ac:dyDescent="0.2">
      <c r="A321" s="611" t="s">
        <v>1134</v>
      </c>
      <c r="B321" s="601" t="s">
        <v>1135</v>
      </c>
      <c r="C321" s="611" t="s">
        <v>111</v>
      </c>
      <c r="D321" s="576">
        <f t="shared" si="290"/>
        <v>1</v>
      </c>
      <c r="E321" s="577" t="e">
        <f t="shared" si="289"/>
        <v>#REF!</v>
      </c>
      <c r="F321" s="577" t="e">
        <f t="shared" si="291"/>
        <v>#REF!</v>
      </c>
      <c r="G321" s="578"/>
      <c r="I321" s="584"/>
      <c r="J321" s="585" t="e">
        <f t="shared" si="292"/>
        <v>#REF!</v>
      </c>
      <c r="K321" s="537"/>
      <c r="L321" s="445" t="e">
        <f t="shared" si="293"/>
        <v>#REF!</v>
      </c>
      <c r="M321" s="542"/>
      <c r="N321" s="445" t="e">
        <f t="shared" si="294"/>
        <v>#REF!</v>
      </c>
      <c r="O321" s="542">
        <v>1</v>
      </c>
      <c r="P321" s="445" t="e">
        <f t="shared" si="295"/>
        <v>#REF!</v>
      </c>
      <c r="Q321" s="542"/>
      <c r="R321" s="445" t="e">
        <f t="shared" si="296"/>
        <v>#REF!</v>
      </c>
      <c r="S321" s="542"/>
      <c r="T321" s="445" t="e">
        <f t="shared" si="297"/>
        <v>#REF!</v>
      </c>
      <c r="V321" s="581" t="e">
        <f>#REF!</f>
        <v>#REF!</v>
      </c>
      <c r="W321" s="582" t="e">
        <f t="shared" si="298"/>
        <v>#REF!</v>
      </c>
      <c r="X321" s="581" t="e">
        <f>#REF!</f>
        <v>#REF!</v>
      </c>
      <c r="Y321" s="582" t="e">
        <f t="shared" si="299"/>
        <v>#REF!</v>
      </c>
      <c r="Z321" s="581" t="e">
        <f>#REF!</f>
        <v>#REF!</v>
      </c>
      <c r="AA321" s="582" t="e">
        <f t="shared" si="300"/>
        <v>#REF!</v>
      </c>
      <c r="AB321" s="581" t="e">
        <f>#REF!</f>
        <v>#REF!</v>
      </c>
      <c r="AC321" s="582" t="e">
        <f t="shared" si="301"/>
        <v>#REF!</v>
      </c>
      <c r="AE321" s="769" t="e">
        <f t="shared" si="242"/>
        <v>#REF!</v>
      </c>
    </row>
    <row r="322" spans="1:31" ht="15" customHeight="1" x14ac:dyDescent="0.2">
      <c r="A322" s="611" t="s">
        <v>1136</v>
      </c>
      <c r="B322" s="601" t="s">
        <v>1137</v>
      </c>
      <c r="C322" s="611" t="s">
        <v>111</v>
      </c>
      <c r="D322" s="576">
        <f t="shared" si="290"/>
        <v>12</v>
      </c>
      <c r="E322" s="577" t="e">
        <f t="shared" si="289"/>
        <v>#REF!</v>
      </c>
      <c r="F322" s="577" t="e">
        <f t="shared" si="291"/>
        <v>#REF!</v>
      </c>
      <c r="G322" s="578"/>
      <c r="I322" s="584"/>
      <c r="J322" s="585" t="e">
        <f t="shared" si="292"/>
        <v>#REF!</v>
      </c>
      <c r="K322" s="537"/>
      <c r="L322" s="445" t="e">
        <f t="shared" si="293"/>
        <v>#REF!</v>
      </c>
      <c r="M322" s="542">
        <v>12</v>
      </c>
      <c r="N322" s="445" t="e">
        <f t="shared" si="294"/>
        <v>#REF!</v>
      </c>
      <c r="O322" s="542"/>
      <c r="P322" s="445" t="e">
        <f t="shared" si="295"/>
        <v>#REF!</v>
      </c>
      <c r="Q322" s="542"/>
      <c r="R322" s="445" t="e">
        <f t="shared" si="296"/>
        <v>#REF!</v>
      </c>
      <c r="S322" s="542"/>
      <c r="T322" s="445" t="e">
        <f t="shared" si="297"/>
        <v>#REF!</v>
      </c>
      <c r="V322" s="581" t="e">
        <f>+#REF!</f>
        <v>#REF!</v>
      </c>
      <c r="W322" s="582" t="e">
        <f t="shared" si="298"/>
        <v>#REF!</v>
      </c>
      <c r="X322" s="581" t="e">
        <f>+#REF!</f>
        <v>#REF!</v>
      </c>
      <c r="Y322" s="582" t="e">
        <f t="shared" si="299"/>
        <v>#REF!</v>
      </c>
      <c r="Z322" s="581" t="e">
        <f>+#REF!</f>
        <v>#REF!</v>
      </c>
      <c r="AA322" s="582" t="e">
        <f t="shared" si="300"/>
        <v>#REF!</v>
      </c>
      <c r="AB322" s="581"/>
      <c r="AC322" s="582">
        <f t="shared" si="301"/>
        <v>0</v>
      </c>
      <c r="AE322" s="769" t="e">
        <f t="shared" si="242"/>
        <v>#REF!</v>
      </c>
    </row>
    <row r="323" spans="1:31" ht="15" hidden="1" customHeight="1" x14ac:dyDescent="0.2">
      <c r="A323" s="611" t="s">
        <v>1138</v>
      </c>
      <c r="B323" s="601" t="s">
        <v>1115</v>
      </c>
      <c r="C323" s="611" t="s">
        <v>111</v>
      </c>
      <c r="D323" s="576">
        <f t="shared" si="290"/>
        <v>0</v>
      </c>
      <c r="E323" s="577">
        <f t="shared" si="289"/>
        <v>0</v>
      </c>
      <c r="F323" s="577">
        <f t="shared" si="291"/>
        <v>0</v>
      </c>
      <c r="G323" s="578"/>
      <c r="I323" s="584"/>
      <c r="J323" s="585">
        <f t="shared" si="292"/>
        <v>0</v>
      </c>
      <c r="K323" s="537"/>
      <c r="L323" s="445">
        <f t="shared" si="293"/>
        <v>0</v>
      </c>
      <c r="M323" s="542"/>
      <c r="N323" s="445">
        <f t="shared" si="294"/>
        <v>0</v>
      </c>
      <c r="O323" s="542"/>
      <c r="P323" s="445">
        <f t="shared" si="295"/>
        <v>0</v>
      </c>
      <c r="Q323" s="542"/>
      <c r="R323" s="445">
        <f t="shared" si="296"/>
        <v>0</v>
      </c>
      <c r="S323" s="542"/>
      <c r="T323" s="445">
        <f t="shared" si="297"/>
        <v>0</v>
      </c>
      <c r="V323" s="581"/>
      <c r="W323" s="582">
        <f t="shared" si="298"/>
        <v>0</v>
      </c>
      <c r="X323" s="581"/>
      <c r="Y323" s="582">
        <f t="shared" si="299"/>
        <v>0</v>
      </c>
      <c r="Z323" s="581"/>
      <c r="AA323" s="582">
        <f t="shared" si="300"/>
        <v>0</v>
      </c>
      <c r="AB323" s="581"/>
      <c r="AC323" s="582">
        <f t="shared" si="301"/>
        <v>0</v>
      </c>
      <c r="AE323" s="769">
        <f t="shared" si="242"/>
        <v>0</v>
      </c>
    </row>
    <row r="324" spans="1:31" ht="15" customHeight="1" x14ac:dyDescent="0.2">
      <c r="A324" s="611" t="s">
        <v>1139</v>
      </c>
      <c r="B324" s="610" t="s">
        <v>1140</v>
      </c>
      <c r="C324" s="611" t="s">
        <v>111</v>
      </c>
      <c r="D324" s="576">
        <f t="shared" si="290"/>
        <v>10</v>
      </c>
      <c r="E324" s="577" t="e">
        <f t="shared" si="289"/>
        <v>#REF!</v>
      </c>
      <c r="F324" s="577" t="e">
        <f t="shared" si="291"/>
        <v>#REF!</v>
      </c>
      <c r="G324" s="578"/>
      <c r="I324" s="584"/>
      <c r="J324" s="585" t="e">
        <f t="shared" si="292"/>
        <v>#REF!</v>
      </c>
      <c r="K324" s="537">
        <v>10</v>
      </c>
      <c r="L324" s="445" t="e">
        <f t="shared" si="293"/>
        <v>#REF!</v>
      </c>
      <c r="M324" s="542"/>
      <c r="N324" s="445" t="e">
        <f t="shared" si="294"/>
        <v>#REF!</v>
      </c>
      <c r="O324" s="542"/>
      <c r="P324" s="445" t="e">
        <f t="shared" si="295"/>
        <v>#REF!</v>
      </c>
      <c r="Q324" s="542"/>
      <c r="R324" s="445" t="e">
        <f t="shared" si="296"/>
        <v>#REF!</v>
      </c>
      <c r="S324" s="542"/>
      <c r="T324" s="445" t="e">
        <f t="shared" si="297"/>
        <v>#REF!</v>
      </c>
      <c r="V324" s="581" t="e">
        <f>+#REF!</f>
        <v>#REF!</v>
      </c>
      <c r="W324" s="582" t="e">
        <f t="shared" si="298"/>
        <v>#REF!</v>
      </c>
      <c r="X324" s="581" t="e">
        <f>+#REF!</f>
        <v>#REF!</v>
      </c>
      <c r="Y324" s="582" t="e">
        <f t="shared" si="299"/>
        <v>#REF!</v>
      </c>
      <c r="Z324" s="581" t="e">
        <f>+#REF!</f>
        <v>#REF!</v>
      </c>
      <c r="AA324" s="582" t="e">
        <f t="shared" si="300"/>
        <v>#REF!</v>
      </c>
      <c r="AB324" s="581"/>
      <c r="AC324" s="582">
        <f t="shared" si="301"/>
        <v>0</v>
      </c>
      <c r="AE324" s="769" t="e">
        <f t="shared" si="242"/>
        <v>#REF!</v>
      </c>
    </row>
    <row r="325" spans="1:31" ht="15" hidden="1" customHeight="1" x14ac:dyDescent="0.2">
      <c r="A325" s="611" t="s">
        <v>1141</v>
      </c>
      <c r="B325" s="601" t="s">
        <v>1142</v>
      </c>
      <c r="C325" s="611" t="s">
        <v>111</v>
      </c>
      <c r="D325" s="576">
        <f t="shared" si="290"/>
        <v>0</v>
      </c>
      <c r="E325" s="577">
        <f t="shared" si="289"/>
        <v>0</v>
      </c>
      <c r="F325" s="577">
        <f t="shared" si="291"/>
        <v>0</v>
      </c>
      <c r="G325" s="578"/>
      <c r="I325" s="584"/>
      <c r="J325" s="585">
        <f t="shared" si="292"/>
        <v>0</v>
      </c>
      <c r="K325" s="537"/>
      <c r="L325" s="445">
        <f t="shared" si="293"/>
        <v>0</v>
      </c>
      <c r="M325" s="542"/>
      <c r="N325" s="445">
        <f t="shared" si="294"/>
        <v>0</v>
      </c>
      <c r="O325" s="542"/>
      <c r="P325" s="445">
        <f t="shared" si="295"/>
        <v>0</v>
      </c>
      <c r="Q325" s="542"/>
      <c r="R325" s="445">
        <f t="shared" si="296"/>
        <v>0</v>
      </c>
      <c r="S325" s="542"/>
      <c r="T325" s="445">
        <f t="shared" si="297"/>
        <v>0</v>
      </c>
      <c r="V325" s="581"/>
      <c r="W325" s="582">
        <f t="shared" si="298"/>
        <v>0</v>
      </c>
      <c r="X325" s="581"/>
      <c r="Y325" s="582">
        <f t="shared" si="299"/>
        <v>0</v>
      </c>
      <c r="Z325" s="581"/>
      <c r="AA325" s="582">
        <f t="shared" si="300"/>
        <v>0</v>
      </c>
      <c r="AB325" s="581"/>
      <c r="AC325" s="582">
        <f t="shared" si="301"/>
        <v>0</v>
      </c>
      <c r="AE325" s="769">
        <f t="shared" si="242"/>
        <v>0</v>
      </c>
    </row>
    <row r="326" spans="1:31" ht="15" hidden="1" customHeight="1" x14ac:dyDescent="0.2">
      <c r="A326" s="611" t="s">
        <v>1143</v>
      </c>
      <c r="B326" s="601" t="s">
        <v>1144</v>
      </c>
      <c r="C326" s="611" t="s">
        <v>111</v>
      </c>
      <c r="D326" s="576">
        <f t="shared" si="290"/>
        <v>0</v>
      </c>
      <c r="E326" s="577">
        <f t="shared" si="289"/>
        <v>0</v>
      </c>
      <c r="F326" s="577">
        <f t="shared" si="291"/>
        <v>0</v>
      </c>
      <c r="G326" s="578"/>
      <c r="I326" s="633"/>
      <c r="J326" s="648"/>
      <c r="K326" s="537"/>
      <c r="L326" s="445"/>
      <c r="M326" s="542"/>
      <c r="N326" s="445"/>
      <c r="O326" s="542"/>
      <c r="P326" s="445"/>
      <c r="Q326" s="542"/>
      <c r="R326" s="445"/>
      <c r="S326" s="542"/>
      <c r="T326" s="445"/>
      <c r="V326" s="581"/>
      <c r="W326" s="582"/>
      <c r="X326" s="581"/>
      <c r="Y326" s="582"/>
      <c r="Z326" s="581"/>
      <c r="AA326" s="582"/>
      <c r="AB326" s="581"/>
      <c r="AC326" s="582"/>
      <c r="AE326" s="769">
        <f t="shared" si="242"/>
        <v>0</v>
      </c>
    </row>
    <row r="327" spans="1:31" ht="15" hidden="1" customHeight="1" x14ac:dyDescent="0.2">
      <c r="A327" s="611" t="s">
        <v>1145</v>
      </c>
      <c r="B327" s="601" t="s">
        <v>1146</v>
      </c>
      <c r="C327" s="611" t="s">
        <v>111</v>
      </c>
      <c r="D327" s="576">
        <f t="shared" si="290"/>
        <v>0</v>
      </c>
      <c r="E327" s="577">
        <f t="shared" si="289"/>
        <v>0</v>
      </c>
      <c r="F327" s="577">
        <f t="shared" si="291"/>
        <v>0</v>
      </c>
      <c r="G327" s="578"/>
      <c r="I327" s="633"/>
      <c r="J327" s="648"/>
      <c r="K327" s="537"/>
      <c r="L327" s="445"/>
      <c r="M327" s="542"/>
      <c r="N327" s="445"/>
      <c r="O327" s="542"/>
      <c r="P327" s="445"/>
      <c r="Q327" s="542"/>
      <c r="R327" s="445"/>
      <c r="S327" s="542"/>
      <c r="T327" s="445"/>
      <c r="V327" s="581"/>
      <c r="W327" s="582"/>
      <c r="X327" s="581"/>
      <c r="Y327" s="582"/>
      <c r="Z327" s="581"/>
      <c r="AA327" s="582"/>
      <c r="AB327" s="581"/>
      <c r="AC327" s="582"/>
      <c r="AE327" s="769">
        <f t="shared" si="242"/>
        <v>0</v>
      </c>
    </row>
    <row r="328" spans="1:31" ht="33.75" customHeight="1" x14ac:dyDescent="0.2">
      <c r="A328" s="572" t="s">
        <v>1147</v>
      </c>
      <c r="B328" s="573" t="s">
        <v>1148</v>
      </c>
      <c r="C328" s="846"/>
      <c r="D328" s="576"/>
      <c r="E328" s="577"/>
      <c r="F328" s="626" t="e">
        <f>+ROUND(SUM(F329:F334),10)</f>
        <v>#REF!</v>
      </c>
      <c r="G328" s="473"/>
      <c r="H328" s="568"/>
      <c r="I328" s="613"/>
      <c r="J328" s="440" t="e">
        <f>ROUND(SUM(J329:J332),10)</f>
        <v>#REF!</v>
      </c>
      <c r="K328" s="537"/>
      <c r="L328" s="180" t="e">
        <f>ROUND(SUM(L329:L334),10)</f>
        <v>#REF!</v>
      </c>
      <c r="M328" s="542"/>
      <c r="N328" s="180" t="e">
        <f>ROUND(SUM(N329:N334),10)</f>
        <v>#REF!</v>
      </c>
      <c r="O328" s="542"/>
      <c r="P328" s="180" t="e">
        <f>ROUND(SUM(P329:P334),10)</f>
        <v>#REF!</v>
      </c>
      <c r="Q328" s="542"/>
      <c r="R328" s="180" t="e">
        <f>ROUND(SUM(R329:R334),10)</f>
        <v>#REF!</v>
      </c>
      <c r="S328" s="542"/>
      <c r="T328" s="180" t="e">
        <f>ROUND(SUM(T329:T334),10)</f>
        <v>#REF!</v>
      </c>
      <c r="U328" s="568"/>
      <c r="V328" s="569" t="e">
        <f>W328/$G$42</f>
        <v>#REF!</v>
      </c>
      <c r="W328" s="570" t="e">
        <f>ROUND(SUM(W329:W334),10)</f>
        <v>#REF!</v>
      </c>
      <c r="X328" s="569" t="e">
        <f>Y328/$G328</f>
        <v>#REF!</v>
      </c>
      <c r="Y328" s="570" t="e">
        <f>ROUND(SUM(Y329:Y334),10)</f>
        <v>#REF!</v>
      </c>
      <c r="Z328" s="569" t="e">
        <f>AA328/$G328</f>
        <v>#REF!</v>
      </c>
      <c r="AA328" s="570" t="e">
        <f>ROUND(SUM(AA329:AA334),10)</f>
        <v>#REF!</v>
      </c>
      <c r="AB328" s="569" t="e">
        <f>AC328/$G328</f>
        <v>#DIV/0!</v>
      </c>
      <c r="AC328" s="570">
        <f>ROUND(SUM(AC329:AC334),10)</f>
        <v>0</v>
      </c>
      <c r="AE328" s="769" t="e">
        <f t="shared" si="242"/>
        <v>#REF!</v>
      </c>
    </row>
    <row r="329" spans="1:31" ht="15" customHeight="1" x14ac:dyDescent="0.2">
      <c r="A329" s="611" t="s">
        <v>1149</v>
      </c>
      <c r="B329" s="601" t="s">
        <v>1150</v>
      </c>
      <c r="C329" s="611" t="s">
        <v>111</v>
      </c>
      <c r="D329" s="576">
        <f t="shared" ref="D329:D334" si="302">+I329+K329+M329+O329+Q329+S329</f>
        <v>12</v>
      </c>
      <c r="E329" s="577" t="e">
        <f t="shared" si="289"/>
        <v>#REF!</v>
      </c>
      <c r="F329" s="577" t="e">
        <f t="shared" ref="F329:F334" si="303">ROUND(D329*E329,10)</f>
        <v>#REF!</v>
      </c>
      <c r="G329" s="578"/>
      <c r="I329" s="594"/>
      <c r="J329" s="580" t="e">
        <f>+ROUND(E329*I329,10)</f>
        <v>#REF!</v>
      </c>
      <c r="K329" s="537"/>
      <c r="L329" s="445" t="e">
        <f t="shared" ref="L329:L334" si="304">+ROUND(E329*K329,10)</f>
        <v>#REF!</v>
      </c>
      <c r="M329" s="542"/>
      <c r="N329" s="445" t="e">
        <f t="shared" ref="N329:N334" si="305">+ROUND(E329*M329,10)</f>
        <v>#REF!</v>
      </c>
      <c r="O329" s="542">
        <v>12</v>
      </c>
      <c r="P329" s="445" t="e">
        <f t="shared" ref="P329:P334" si="306">+ROUND(E329*O329,10)</f>
        <v>#REF!</v>
      </c>
      <c r="Q329" s="542"/>
      <c r="R329" s="445" t="e">
        <f t="shared" ref="R329:R334" si="307">+ROUND(E329*Q329,10)</f>
        <v>#REF!</v>
      </c>
      <c r="S329" s="542"/>
      <c r="T329" s="445" t="e">
        <f t="shared" ref="T329:T334" si="308">+ROUND(E329*S329,10)</f>
        <v>#REF!</v>
      </c>
      <c r="V329" s="581" t="e">
        <f>+#REF!</f>
        <v>#REF!</v>
      </c>
      <c r="W329" s="582" t="e">
        <f t="shared" ref="W329:W334" si="309">ROUND(V329*$D329,10)</f>
        <v>#REF!</v>
      </c>
      <c r="X329" s="581" t="e">
        <f>+#REF!</f>
        <v>#REF!</v>
      </c>
      <c r="Y329" s="582" t="e">
        <f t="shared" ref="Y329:Y334" si="310">ROUND(X329*$D329,10)</f>
        <v>#REF!</v>
      </c>
      <c r="Z329" s="581" t="e">
        <f>+#REF!</f>
        <v>#REF!</v>
      </c>
      <c r="AA329" s="582" t="e">
        <f t="shared" ref="AA329:AA334" si="311">ROUND(Z329*$D329,10)</f>
        <v>#REF!</v>
      </c>
      <c r="AB329" s="581"/>
      <c r="AC329" s="582">
        <f t="shared" ref="AC329:AC334" si="312">ROUND(AB329*$D329,10)</f>
        <v>0</v>
      </c>
      <c r="AE329" s="769" t="e">
        <f t="shared" si="242"/>
        <v>#REF!</v>
      </c>
    </row>
    <row r="330" spans="1:31" ht="15" hidden="1" customHeight="1" x14ac:dyDescent="0.2">
      <c r="A330" s="627" t="s">
        <v>1151</v>
      </c>
      <c r="B330" s="610" t="s">
        <v>1152</v>
      </c>
      <c r="C330" s="611" t="s">
        <v>111</v>
      </c>
      <c r="D330" s="576">
        <f t="shared" si="302"/>
        <v>0</v>
      </c>
      <c r="E330" s="577" t="e">
        <f t="shared" si="289"/>
        <v>#REF!</v>
      </c>
      <c r="F330" s="577" t="e">
        <f t="shared" si="303"/>
        <v>#REF!</v>
      </c>
      <c r="G330" s="578"/>
      <c r="I330" s="594"/>
      <c r="J330" s="580"/>
      <c r="K330" s="537"/>
      <c r="L330" s="445" t="e">
        <f t="shared" si="304"/>
        <v>#REF!</v>
      </c>
      <c r="M330" s="542"/>
      <c r="N330" s="445" t="e">
        <f t="shared" si="305"/>
        <v>#REF!</v>
      </c>
      <c r="O330" s="542"/>
      <c r="P330" s="445" t="e">
        <f t="shared" si="306"/>
        <v>#REF!</v>
      </c>
      <c r="Q330" s="542"/>
      <c r="R330" s="445" t="e">
        <f t="shared" si="307"/>
        <v>#REF!</v>
      </c>
      <c r="S330" s="542"/>
      <c r="T330" s="445" t="e">
        <f t="shared" si="308"/>
        <v>#REF!</v>
      </c>
      <c r="V330" s="581" t="e">
        <f>+'7,1,10,2 Punto Vent 3"'!I19</f>
        <v>#REF!</v>
      </c>
      <c r="W330" s="582" t="e">
        <f t="shared" si="309"/>
        <v>#REF!</v>
      </c>
      <c r="X330" s="581">
        <f>+'7,1,10,2 Punto Vent 3"'!I50</f>
        <v>26171.23</v>
      </c>
      <c r="Y330" s="582">
        <f t="shared" si="310"/>
        <v>0</v>
      </c>
      <c r="Z330" s="581">
        <f>+'7,1,10,2 Punto Vent 3"'!I30</f>
        <v>927.5</v>
      </c>
      <c r="AA330" s="582">
        <f t="shared" si="311"/>
        <v>0</v>
      </c>
      <c r="AB330" s="581">
        <f>+'7,1,10,2 Punto Vent 3"'!I41</f>
        <v>0</v>
      </c>
      <c r="AC330" s="582">
        <f t="shared" si="312"/>
        <v>0</v>
      </c>
      <c r="AE330" s="769" t="e">
        <f t="shared" si="242"/>
        <v>#REF!</v>
      </c>
    </row>
    <row r="331" spans="1:31" ht="15" customHeight="1" x14ac:dyDescent="0.2">
      <c r="A331" s="611" t="s">
        <v>1153</v>
      </c>
      <c r="B331" s="610" t="s">
        <v>1154</v>
      </c>
      <c r="C331" s="611" t="s">
        <v>114</v>
      </c>
      <c r="D331" s="576">
        <f t="shared" si="302"/>
        <v>68.2</v>
      </c>
      <c r="E331" s="577" t="e">
        <f t="shared" si="289"/>
        <v>#REF!</v>
      </c>
      <c r="F331" s="577" t="e">
        <f t="shared" si="303"/>
        <v>#REF!</v>
      </c>
      <c r="G331" s="578"/>
      <c r="I331" s="584"/>
      <c r="J331" s="585" t="e">
        <f>+ROUND(E331*I331,10)</f>
        <v>#REF!</v>
      </c>
      <c r="K331" s="537"/>
      <c r="L331" s="445" t="e">
        <f t="shared" si="304"/>
        <v>#REF!</v>
      </c>
      <c r="M331" s="542">
        <v>68.2</v>
      </c>
      <c r="N331" s="445" t="e">
        <f t="shared" si="305"/>
        <v>#REF!</v>
      </c>
      <c r="O331" s="542"/>
      <c r="P331" s="445" t="e">
        <f t="shared" si="306"/>
        <v>#REF!</v>
      </c>
      <c r="Q331" s="542"/>
      <c r="R331" s="445" t="e">
        <f t="shared" si="307"/>
        <v>#REF!</v>
      </c>
      <c r="S331" s="542"/>
      <c r="T331" s="445" t="e">
        <f t="shared" si="308"/>
        <v>#REF!</v>
      </c>
      <c r="V331" s="581" t="e">
        <f>+#REF!</f>
        <v>#REF!</v>
      </c>
      <c r="W331" s="582" t="e">
        <f t="shared" si="309"/>
        <v>#REF!</v>
      </c>
      <c r="X331" s="581" t="e">
        <f>+#REF!</f>
        <v>#REF!</v>
      </c>
      <c r="Y331" s="582" t="e">
        <f t="shared" si="310"/>
        <v>#REF!</v>
      </c>
      <c r="Z331" s="581" t="e">
        <f>+#REF!</f>
        <v>#REF!</v>
      </c>
      <c r="AA331" s="582" t="e">
        <f t="shared" si="311"/>
        <v>#REF!</v>
      </c>
      <c r="AB331" s="581"/>
      <c r="AC331" s="582">
        <f t="shared" si="312"/>
        <v>0</v>
      </c>
      <c r="AE331" s="769" t="e">
        <f t="shared" si="242"/>
        <v>#REF!</v>
      </c>
    </row>
    <row r="332" spans="1:31" ht="15" customHeight="1" x14ac:dyDescent="0.2">
      <c r="A332" s="611" t="s">
        <v>1155</v>
      </c>
      <c r="B332" s="610" t="s">
        <v>1156</v>
      </c>
      <c r="C332" s="611" t="s">
        <v>114</v>
      </c>
      <c r="D332" s="576">
        <f t="shared" si="302"/>
        <v>32.5</v>
      </c>
      <c r="E332" s="577" t="e">
        <f t="shared" si="289"/>
        <v>#REF!</v>
      </c>
      <c r="F332" s="577" t="e">
        <f t="shared" si="303"/>
        <v>#REF!</v>
      </c>
      <c r="G332" s="578"/>
      <c r="I332" s="597"/>
      <c r="J332" s="598" t="e">
        <f>+ROUND(E332*I332,10)</f>
        <v>#REF!</v>
      </c>
      <c r="K332" s="537"/>
      <c r="L332" s="445" t="e">
        <f t="shared" si="304"/>
        <v>#REF!</v>
      </c>
      <c r="M332" s="542">
        <v>32.5</v>
      </c>
      <c r="N332" s="445" t="e">
        <f t="shared" si="305"/>
        <v>#REF!</v>
      </c>
      <c r="O332" s="542"/>
      <c r="P332" s="445" t="e">
        <f t="shared" si="306"/>
        <v>#REF!</v>
      </c>
      <c r="Q332" s="542"/>
      <c r="R332" s="445" t="e">
        <f t="shared" si="307"/>
        <v>#REF!</v>
      </c>
      <c r="S332" s="542"/>
      <c r="T332" s="445" t="e">
        <f t="shared" si="308"/>
        <v>#REF!</v>
      </c>
      <c r="V332" s="581" t="e">
        <f>+#REF!</f>
        <v>#REF!</v>
      </c>
      <c r="W332" s="582" t="e">
        <f t="shared" si="309"/>
        <v>#REF!</v>
      </c>
      <c r="X332" s="581" t="e">
        <f>+#REF!</f>
        <v>#REF!</v>
      </c>
      <c r="Y332" s="582" t="e">
        <f t="shared" si="310"/>
        <v>#REF!</v>
      </c>
      <c r="Z332" s="581" t="e">
        <f>+#REF!</f>
        <v>#REF!</v>
      </c>
      <c r="AA332" s="582" t="e">
        <f t="shared" si="311"/>
        <v>#REF!</v>
      </c>
      <c r="AB332" s="581"/>
      <c r="AC332" s="582">
        <f t="shared" si="312"/>
        <v>0</v>
      </c>
      <c r="AE332" s="769" t="e">
        <f t="shared" si="242"/>
        <v>#REF!</v>
      </c>
    </row>
    <row r="333" spans="1:31" ht="15" customHeight="1" x14ac:dyDescent="0.2">
      <c r="A333" s="611" t="s">
        <v>1157</v>
      </c>
      <c r="B333" s="610" t="s">
        <v>1158</v>
      </c>
      <c r="C333" s="611" t="s">
        <v>114</v>
      </c>
      <c r="D333" s="576">
        <f t="shared" si="302"/>
        <v>34.200000000000003</v>
      </c>
      <c r="E333" s="577" t="e">
        <f t="shared" si="289"/>
        <v>#REF!</v>
      </c>
      <c r="F333" s="577" t="e">
        <f t="shared" si="303"/>
        <v>#REF!</v>
      </c>
      <c r="G333" s="578"/>
      <c r="I333" s="633"/>
      <c r="J333" s="598" t="e">
        <f>+ROUND(E333*I333,10)</f>
        <v>#REF!</v>
      </c>
      <c r="K333" s="537"/>
      <c r="L333" s="445" t="e">
        <f t="shared" si="304"/>
        <v>#REF!</v>
      </c>
      <c r="M333" s="542"/>
      <c r="N333" s="445" t="e">
        <f t="shared" si="305"/>
        <v>#REF!</v>
      </c>
      <c r="O333" s="542">
        <v>34.200000000000003</v>
      </c>
      <c r="P333" s="445" t="e">
        <f t="shared" si="306"/>
        <v>#REF!</v>
      </c>
      <c r="Q333" s="542"/>
      <c r="R333" s="445" t="e">
        <f t="shared" si="307"/>
        <v>#REF!</v>
      </c>
      <c r="S333" s="542"/>
      <c r="T333" s="445" t="e">
        <f t="shared" si="308"/>
        <v>#REF!</v>
      </c>
      <c r="V333" s="581" t="e">
        <f>+#REF!</f>
        <v>#REF!</v>
      </c>
      <c r="W333" s="582" t="e">
        <f t="shared" si="309"/>
        <v>#REF!</v>
      </c>
      <c r="X333" s="581" t="e">
        <f>+#REF!</f>
        <v>#REF!</v>
      </c>
      <c r="Y333" s="582" t="e">
        <f t="shared" si="310"/>
        <v>#REF!</v>
      </c>
      <c r="Z333" s="581" t="e">
        <f>+#REF!</f>
        <v>#REF!</v>
      </c>
      <c r="AA333" s="582" t="e">
        <f t="shared" si="311"/>
        <v>#REF!</v>
      </c>
      <c r="AB333" s="581"/>
      <c r="AC333" s="582">
        <f t="shared" si="312"/>
        <v>0</v>
      </c>
      <c r="AE333" s="769" t="e">
        <f t="shared" ref="AE333:AE396" si="313">SUM(AC333,AA333,Y333,W333)-SUM(T333,R333,P333,N333,L333)</f>
        <v>#REF!</v>
      </c>
    </row>
    <row r="334" spans="1:31" ht="15" hidden="1" customHeight="1" x14ac:dyDescent="0.2">
      <c r="A334" s="611" t="s">
        <v>1159</v>
      </c>
      <c r="B334" s="610" t="s">
        <v>1160</v>
      </c>
      <c r="C334" s="611" t="s">
        <v>114</v>
      </c>
      <c r="D334" s="576">
        <f t="shared" si="302"/>
        <v>0</v>
      </c>
      <c r="E334" s="577" t="e">
        <f t="shared" si="289"/>
        <v>#REF!</v>
      </c>
      <c r="F334" s="577" t="e">
        <f t="shared" si="303"/>
        <v>#REF!</v>
      </c>
      <c r="G334" s="578"/>
      <c r="I334" s="633"/>
      <c r="J334" s="598" t="e">
        <f>+ROUND(E334*I334,10)</f>
        <v>#REF!</v>
      </c>
      <c r="K334" s="537"/>
      <c r="L334" s="445" t="e">
        <f t="shared" si="304"/>
        <v>#REF!</v>
      </c>
      <c r="M334" s="542"/>
      <c r="N334" s="445" t="e">
        <f t="shared" si="305"/>
        <v>#REF!</v>
      </c>
      <c r="O334" s="542"/>
      <c r="P334" s="445" t="e">
        <f t="shared" si="306"/>
        <v>#REF!</v>
      </c>
      <c r="Q334" s="542"/>
      <c r="R334" s="445" t="e">
        <f t="shared" si="307"/>
        <v>#REF!</v>
      </c>
      <c r="S334" s="542"/>
      <c r="T334" s="445" t="e">
        <f t="shared" si="308"/>
        <v>#REF!</v>
      </c>
      <c r="V334" s="581" t="e">
        <f>+'3,1,1 Novafort A.LL. 4" 110mm '!I19</f>
        <v>#REF!</v>
      </c>
      <c r="W334" s="582" t="e">
        <f t="shared" si="309"/>
        <v>#REF!</v>
      </c>
      <c r="X334" s="581">
        <f>+'3,1,1 Novafort A.LL. 4" 110mm '!I50</f>
        <v>13804.82</v>
      </c>
      <c r="Y334" s="582">
        <f t="shared" si="310"/>
        <v>0</v>
      </c>
      <c r="Z334" s="581">
        <f>+'3,1,1 Novafort A.LL. 4" 110mm '!I30</f>
        <v>3375.26</v>
      </c>
      <c r="AA334" s="582">
        <f t="shared" si="311"/>
        <v>0</v>
      </c>
      <c r="AB334" s="581">
        <f>+'3,1,1 Novafort A.LL. 4" 110mm '!I41</f>
        <v>0</v>
      </c>
      <c r="AC334" s="582">
        <f t="shared" si="312"/>
        <v>0</v>
      </c>
      <c r="AE334" s="769" t="e">
        <f t="shared" si="313"/>
        <v>#REF!</v>
      </c>
    </row>
    <row r="335" spans="1:31" s="595" customFormat="1" ht="18" customHeight="1" x14ac:dyDescent="0.2">
      <c r="A335" s="572" t="s">
        <v>1161</v>
      </c>
      <c r="B335" s="573" t="s">
        <v>1162</v>
      </c>
      <c r="C335" s="846"/>
      <c r="D335" s="576"/>
      <c r="E335" s="577"/>
      <c r="F335" s="180" t="e">
        <f>+ROUND(SUM(F336:F340),10)</f>
        <v>#REF!</v>
      </c>
      <c r="G335" s="473"/>
      <c r="H335" s="568"/>
      <c r="I335" s="613"/>
      <c r="J335" s="440" t="e">
        <f>ROUND(SUM(J336:J340),10)</f>
        <v>#REF!</v>
      </c>
      <c r="K335" s="537"/>
      <c r="L335" s="180" t="e">
        <f>ROUND(SUM(L336:L340),10)</f>
        <v>#REF!</v>
      </c>
      <c r="M335" s="542"/>
      <c r="N335" s="180" t="e">
        <f>ROUND(SUM(N336:N340),10)</f>
        <v>#REF!</v>
      </c>
      <c r="O335" s="542"/>
      <c r="P335" s="180" t="e">
        <f>ROUND(SUM(P336:P340),10)</f>
        <v>#REF!</v>
      </c>
      <c r="Q335" s="542"/>
      <c r="R335" s="180" t="e">
        <f>ROUND(SUM(R336:R340),10)</f>
        <v>#REF!</v>
      </c>
      <c r="S335" s="542"/>
      <c r="T335" s="180" t="e">
        <f>ROUND(SUM(T336:T340),10)</f>
        <v>#REF!</v>
      </c>
      <c r="U335" s="568"/>
      <c r="V335" s="575"/>
      <c r="W335" s="570" t="e">
        <f>ROUND(SUM(W336:W340),10)</f>
        <v>#REF!</v>
      </c>
      <c r="X335" s="575"/>
      <c r="Y335" s="570" t="e">
        <f>ROUND(SUM(Y336:Y340),10)</f>
        <v>#REF!</v>
      </c>
      <c r="Z335" s="575"/>
      <c r="AA335" s="570" t="e">
        <f>ROUND(SUM(AA336:AA340),10)</f>
        <v>#REF!</v>
      </c>
      <c r="AB335" s="575"/>
      <c r="AC335" s="570" t="e">
        <f>ROUND(SUM(AC336:AC340),10)</f>
        <v>#REF!</v>
      </c>
      <c r="AD335" s="912"/>
      <c r="AE335" s="769" t="e">
        <f t="shared" si="313"/>
        <v>#REF!</v>
      </c>
    </row>
    <row r="336" spans="1:31" s="595" customFormat="1" x14ac:dyDescent="0.2">
      <c r="A336" s="611" t="s">
        <v>1163</v>
      </c>
      <c r="B336" s="610" t="s">
        <v>1164</v>
      </c>
      <c r="C336" s="611" t="s">
        <v>114</v>
      </c>
      <c r="D336" s="576">
        <f>+I336+K336+M336+O336+Q336+S336</f>
        <v>8</v>
      </c>
      <c r="E336" s="577" t="e">
        <f t="shared" si="289"/>
        <v>#REF!</v>
      </c>
      <c r="F336" s="577" t="e">
        <f>ROUND(D336*E336,10)</f>
        <v>#REF!</v>
      </c>
      <c r="G336" s="578"/>
      <c r="H336" s="552"/>
      <c r="I336" s="594"/>
      <c r="J336" s="580" t="e">
        <f>+ROUND(E336*I336,10)</f>
        <v>#REF!</v>
      </c>
      <c r="K336" s="537"/>
      <c r="L336" s="445" t="e">
        <f>+ROUND(E336*K336,10)</f>
        <v>#REF!</v>
      </c>
      <c r="M336" s="542"/>
      <c r="N336" s="445" t="e">
        <f>+ROUND(E336*M336,10)</f>
        <v>#REF!</v>
      </c>
      <c r="O336" s="542">
        <v>8</v>
      </c>
      <c r="P336" s="445" t="e">
        <f>+ROUND(E336*O336,10)</f>
        <v>#REF!</v>
      </c>
      <c r="Q336" s="542"/>
      <c r="R336" s="445" t="e">
        <f>+ROUND(E336*Q336,10)</f>
        <v>#REF!</v>
      </c>
      <c r="S336" s="542"/>
      <c r="T336" s="445" t="e">
        <f>+ROUND(E336*S336,10)</f>
        <v>#REF!</v>
      </c>
      <c r="U336" s="552"/>
      <c r="V336" s="581" t="e">
        <f>+#REF!</f>
        <v>#REF!</v>
      </c>
      <c r="W336" s="582" t="e">
        <f>ROUND(V336*$D336,10)</f>
        <v>#REF!</v>
      </c>
      <c r="X336" s="581" t="e">
        <f>+#REF!</f>
        <v>#REF!</v>
      </c>
      <c r="Y336" s="582" t="e">
        <f>ROUND(X336*$D336,10)</f>
        <v>#REF!</v>
      </c>
      <c r="Z336" s="581" t="e">
        <f>+#REF!</f>
        <v>#REF!</v>
      </c>
      <c r="AA336" s="582" t="e">
        <f>ROUND(Z336*$D336,10)</f>
        <v>#REF!</v>
      </c>
      <c r="AB336" s="581"/>
      <c r="AC336" s="582">
        <f>ROUND(AB336*$D336,10)</f>
        <v>0</v>
      </c>
      <c r="AD336" s="912"/>
      <c r="AE336" s="769" t="e">
        <f t="shared" si="313"/>
        <v>#REF!</v>
      </c>
    </row>
    <row r="337" spans="1:31" s="595" customFormat="1" x14ac:dyDescent="0.2">
      <c r="A337" s="611" t="s">
        <v>1165</v>
      </c>
      <c r="B337" s="610" t="s">
        <v>1166</v>
      </c>
      <c r="C337" s="611" t="s">
        <v>114</v>
      </c>
      <c r="D337" s="576">
        <f>+I337+K337+M337+O337+Q337+S337</f>
        <v>40.299999999999997</v>
      </c>
      <c r="E337" s="577" t="e">
        <f t="shared" si="289"/>
        <v>#REF!</v>
      </c>
      <c r="F337" s="577" t="e">
        <f>ROUND(D337*E337,10)</f>
        <v>#REF!</v>
      </c>
      <c r="G337" s="578"/>
      <c r="H337" s="552"/>
      <c r="I337" s="584"/>
      <c r="J337" s="585" t="e">
        <f>+ROUND(E337*I337,10)</f>
        <v>#REF!</v>
      </c>
      <c r="K337" s="537"/>
      <c r="L337" s="445" t="e">
        <f>+ROUND(E337*K337,10)</f>
        <v>#REF!</v>
      </c>
      <c r="M337" s="542"/>
      <c r="N337" s="445" t="e">
        <f>+ROUND(E337*M337,10)</f>
        <v>#REF!</v>
      </c>
      <c r="O337" s="542">
        <v>40.299999999999997</v>
      </c>
      <c r="P337" s="445" t="e">
        <f>+ROUND(E337*O337,10)</f>
        <v>#REF!</v>
      </c>
      <c r="Q337" s="542"/>
      <c r="R337" s="445" t="e">
        <f>+ROUND(E337*Q337,10)</f>
        <v>#REF!</v>
      </c>
      <c r="S337" s="542"/>
      <c r="T337" s="445" t="e">
        <f>+ROUND(E337*S337,10)</f>
        <v>#REF!</v>
      </c>
      <c r="U337" s="552"/>
      <c r="V337" s="581" t="e">
        <f>+#REF!</f>
        <v>#REF!</v>
      </c>
      <c r="W337" s="582" t="e">
        <f>ROUND(V337*$D337,10)</f>
        <v>#REF!</v>
      </c>
      <c r="X337" s="581" t="e">
        <f>+#REF!</f>
        <v>#REF!</v>
      </c>
      <c r="Y337" s="582" t="e">
        <f>ROUND(X337*$D337,10)</f>
        <v>#REF!</v>
      </c>
      <c r="Z337" s="581" t="e">
        <f>+#REF!</f>
        <v>#REF!</v>
      </c>
      <c r="AA337" s="582" t="e">
        <f>ROUND(Z337*$D337,10)</f>
        <v>#REF!</v>
      </c>
      <c r="AB337" s="581"/>
      <c r="AC337" s="582">
        <f>ROUND(AB337*$D337,10)</f>
        <v>0</v>
      </c>
      <c r="AD337" s="912"/>
      <c r="AE337" s="769" t="e">
        <f t="shared" si="313"/>
        <v>#REF!</v>
      </c>
    </row>
    <row r="338" spans="1:31" s="595" customFormat="1" x14ac:dyDescent="0.2">
      <c r="A338" s="611" t="s">
        <v>1167</v>
      </c>
      <c r="B338" s="610" t="s">
        <v>1168</v>
      </c>
      <c r="C338" s="611" t="s">
        <v>114</v>
      </c>
      <c r="D338" s="576">
        <f>+I338+K338+M338+O338+Q338+S338</f>
        <v>12</v>
      </c>
      <c r="E338" s="577" t="e">
        <f t="shared" si="289"/>
        <v>#REF!</v>
      </c>
      <c r="F338" s="577" t="e">
        <f>ROUND(D338*E338,10)</f>
        <v>#REF!</v>
      </c>
      <c r="G338" s="578"/>
      <c r="H338" s="552"/>
      <c r="I338" s="584"/>
      <c r="J338" s="585" t="e">
        <f>+ROUND(E338*I338,10)</f>
        <v>#REF!</v>
      </c>
      <c r="K338" s="537"/>
      <c r="L338" s="445" t="e">
        <f>+ROUND(E338*K338,10)</f>
        <v>#REF!</v>
      </c>
      <c r="M338" s="542"/>
      <c r="N338" s="445" t="e">
        <f>+ROUND(E338*M338,10)</f>
        <v>#REF!</v>
      </c>
      <c r="O338" s="542">
        <v>12</v>
      </c>
      <c r="P338" s="445" t="e">
        <f>+ROUND(E338*O338,10)</f>
        <v>#REF!</v>
      </c>
      <c r="Q338" s="542"/>
      <c r="R338" s="445" t="e">
        <f>+ROUND(E338*Q338,10)</f>
        <v>#REF!</v>
      </c>
      <c r="S338" s="542"/>
      <c r="T338" s="445" t="e">
        <f>+ROUND(E338*S338,10)</f>
        <v>#REF!</v>
      </c>
      <c r="U338" s="552"/>
      <c r="V338" s="581" t="e">
        <f>+#REF!</f>
        <v>#REF!</v>
      </c>
      <c r="W338" s="582" t="e">
        <f>ROUND(V338*$D338,10)</f>
        <v>#REF!</v>
      </c>
      <c r="X338" s="581" t="e">
        <f>+#REF!</f>
        <v>#REF!</v>
      </c>
      <c r="Y338" s="582" t="e">
        <f>ROUND(X338*$D338,10)</f>
        <v>#REF!</v>
      </c>
      <c r="Z338" s="581" t="e">
        <f>+#REF!</f>
        <v>#REF!</v>
      </c>
      <c r="AA338" s="582" t="e">
        <f>ROUND(Z338*$D338,10)</f>
        <v>#REF!</v>
      </c>
      <c r="AB338" s="581" t="e">
        <f>+#REF!</f>
        <v>#REF!</v>
      </c>
      <c r="AC338" s="582" t="e">
        <f>ROUND(AB338*$D338,10)</f>
        <v>#REF!</v>
      </c>
      <c r="AD338" s="912"/>
      <c r="AE338" s="769" t="e">
        <f t="shared" si="313"/>
        <v>#REF!</v>
      </c>
    </row>
    <row r="339" spans="1:31" s="595" customFormat="1" ht="15" hidden="1" customHeight="1" x14ac:dyDescent="0.2">
      <c r="A339" s="611" t="s">
        <v>1169</v>
      </c>
      <c r="B339" s="610" t="s">
        <v>1170</v>
      </c>
      <c r="C339" s="611" t="s">
        <v>114</v>
      </c>
      <c r="D339" s="576">
        <f>+I339+K339+M339+O339+Q339+S339</f>
        <v>0</v>
      </c>
      <c r="E339" s="577" t="e">
        <f>V339+X339+Z339+AB339</f>
        <v>#REF!</v>
      </c>
      <c r="F339" s="577" t="e">
        <f>ROUND(D339*E339,10)</f>
        <v>#REF!</v>
      </c>
      <c r="G339" s="578"/>
      <c r="H339" s="552"/>
      <c r="I339" s="597"/>
      <c r="J339" s="585" t="e">
        <f>+ROUND(E339*I339,10)</f>
        <v>#REF!</v>
      </c>
      <c r="K339" s="537"/>
      <c r="L339" s="445" t="e">
        <f>+ROUND(E339*K339,10)</f>
        <v>#REF!</v>
      </c>
      <c r="M339" s="542"/>
      <c r="N339" s="445" t="e">
        <f>+ROUND(E339*M339,10)</f>
        <v>#REF!</v>
      </c>
      <c r="O339" s="542"/>
      <c r="P339" s="445" t="e">
        <f>+ROUND(E339*O339,10)</f>
        <v>#REF!</v>
      </c>
      <c r="Q339" s="542"/>
      <c r="R339" s="445" t="e">
        <f>+ROUND(E339*Q339,10)</f>
        <v>#REF!</v>
      </c>
      <c r="S339" s="542"/>
      <c r="T339" s="445" t="e">
        <f>+ROUND(E339*S339,10)</f>
        <v>#REF!</v>
      </c>
      <c r="U339" s="552"/>
      <c r="V339" s="581" t="e">
        <f>+'7,1,11,4"'!I19</f>
        <v>#REF!</v>
      </c>
      <c r="W339" s="582" t="e">
        <f>ROUND(V339*$D339,10)</f>
        <v>#REF!</v>
      </c>
      <c r="X339" s="581">
        <f>+'7,1,11,4"'!I50</f>
        <v>4187.3999999999996</v>
      </c>
      <c r="Y339" s="582">
        <f>ROUND(X339*$D339,10)</f>
        <v>0</v>
      </c>
      <c r="Z339" s="581">
        <f>+'7,1,11,4"'!I30</f>
        <v>195.26</v>
      </c>
      <c r="AA339" s="582">
        <f>ROUND(Z339*$D339,10)</f>
        <v>0</v>
      </c>
      <c r="AB339" s="581">
        <f>+'7,1,11,4"'!I41</f>
        <v>0</v>
      </c>
      <c r="AC339" s="582">
        <f>ROUND(AB339*$D339,10)</f>
        <v>0</v>
      </c>
      <c r="AD339" s="912"/>
      <c r="AE339" s="769" t="e">
        <f t="shared" si="313"/>
        <v>#REF!</v>
      </c>
    </row>
    <row r="340" spans="1:31" s="595" customFormat="1" ht="15" hidden="1" customHeight="1" x14ac:dyDescent="0.2">
      <c r="A340" s="611" t="s">
        <v>1171</v>
      </c>
      <c r="B340" s="601" t="s">
        <v>1172</v>
      </c>
      <c r="C340" s="611" t="s">
        <v>144</v>
      </c>
      <c r="D340" s="576">
        <f>+I340+K340+M340+O340+Q340+S340</f>
        <v>0</v>
      </c>
      <c r="E340" s="577" t="e">
        <f t="shared" si="289"/>
        <v>#REF!</v>
      </c>
      <c r="F340" s="577" t="e">
        <f>ROUND(D340*E340,10)</f>
        <v>#REF!</v>
      </c>
      <c r="G340" s="578"/>
      <c r="H340" s="552"/>
      <c r="I340" s="597"/>
      <c r="J340" s="598" t="e">
        <f>+ROUND(E340*I340,10)</f>
        <v>#REF!</v>
      </c>
      <c r="K340" s="537"/>
      <c r="L340" s="445" t="e">
        <f>+ROUND(E340*K340,10)</f>
        <v>#REF!</v>
      </c>
      <c r="M340" s="542"/>
      <c r="N340" s="445" t="e">
        <f>+ROUND(E340*M340,10)</f>
        <v>#REF!</v>
      </c>
      <c r="O340" s="542"/>
      <c r="P340" s="445" t="e">
        <f>+ROUND(E340*O340,10)</f>
        <v>#REF!</v>
      </c>
      <c r="Q340" s="542"/>
      <c r="R340" s="445" t="e">
        <f>+ROUND(E340*Q340,10)</f>
        <v>#REF!</v>
      </c>
      <c r="S340" s="542"/>
      <c r="T340" s="445" t="e">
        <f>+ROUND(E340*S340,10)</f>
        <v>#REF!</v>
      </c>
      <c r="U340" s="552"/>
      <c r="V340" s="581" t="e">
        <f>+'7,1,11,5 Bajante PVC '!I19</f>
        <v>#REF!</v>
      </c>
      <c r="W340" s="582" t="e">
        <f>ROUND(V340*$D340,10)</f>
        <v>#REF!</v>
      </c>
      <c r="X340" s="581">
        <f>+'7,1,11,5 Bajante PVC '!I50</f>
        <v>11758.89</v>
      </c>
      <c r="Y340" s="582">
        <f>ROUND(X340*$D340,10)</f>
        <v>0</v>
      </c>
      <c r="Z340" s="581">
        <f>+'7,1,11,5 Bajante PVC '!I30</f>
        <v>846.89</v>
      </c>
      <c r="AA340" s="582">
        <f>ROUND(Z340*$D340,10)</f>
        <v>0</v>
      </c>
      <c r="AB340" s="581"/>
      <c r="AC340" s="582">
        <f>ROUND(AB340*$D340,10)</f>
        <v>0</v>
      </c>
      <c r="AD340" s="912"/>
      <c r="AE340" s="769" t="e">
        <f t="shared" si="313"/>
        <v>#REF!</v>
      </c>
    </row>
    <row r="341" spans="1:31" ht="15" customHeight="1" x14ac:dyDescent="0.2">
      <c r="A341" s="572" t="s">
        <v>1173</v>
      </c>
      <c r="B341" s="573" t="s">
        <v>1174</v>
      </c>
      <c r="C341" s="846"/>
      <c r="D341" s="576"/>
      <c r="E341" s="577"/>
      <c r="F341" s="626" t="e">
        <f>+ROUND(SUM(F342:F356),10)</f>
        <v>#REF!</v>
      </c>
      <c r="G341" s="473"/>
      <c r="H341" s="568"/>
      <c r="I341" s="613"/>
      <c r="J341" s="440" t="e">
        <f>ROUND(SUM(J342:J350),10)</f>
        <v>#REF!</v>
      </c>
      <c r="K341" s="537"/>
      <c r="L341" s="180" t="e">
        <f>ROUND(SUM(L342:L356),10)</f>
        <v>#REF!</v>
      </c>
      <c r="M341" s="542"/>
      <c r="N341" s="180" t="e">
        <f>ROUND(SUM(N342:N356),10)</f>
        <v>#REF!</v>
      </c>
      <c r="O341" s="542"/>
      <c r="P341" s="180" t="e">
        <f>ROUND(SUM(P342:P356),10)</f>
        <v>#REF!</v>
      </c>
      <c r="Q341" s="542"/>
      <c r="R341" s="180" t="e">
        <f>ROUND(SUM(R342:R356),10)</f>
        <v>#REF!</v>
      </c>
      <c r="S341" s="542"/>
      <c r="T341" s="180" t="e">
        <f>ROUND(SUM(T342:T356),10)</f>
        <v>#REF!</v>
      </c>
      <c r="U341" s="568"/>
      <c r="V341" s="646"/>
      <c r="W341" s="570" t="e">
        <f>ROUND(SUM(W342:W356),10)</f>
        <v>#REF!</v>
      </c>
      <c r="X341" s="646"/>
      <c r="Y341" s="570" t="e">
        <f>ROUND(SUM(Y342:Y356),10)</f>
        <v>#REF!</v>
      </c>
      <c r="Z341" s="646"/>
      <c r="AA341" s="570" t="e">
        <f>ROUND(SUM(AA342:AA356),10)</f>
        <v>#REF!</v>
      </c>
      <c r="AB341" s="646"/>
      <c r="AC341" s="570" t="e">
        <f>ROUND(SUM(AC342:AC356),10)</f>
        <v>#REF!</v>
      </c>
      <c r="AE341" s="769" t="e">
        <f t="shared" si="313"/>
        <v>#REF!</v>
      </c>
    </row>
    <row r="342" spans="1:31" ht="15" hidden="1" customHeight="1" x14ac:dyDescent="0.2">
      <c r="A342" s="611" t="s">
        <v>1175</v>
      </c>
      <c r="B342" s="601" t="s">
        <v>1176</v>
      </c>
      <c r="C342" s="611" t="s">
        <v>111</v>
      </c>
      <c r="D342" s="576">
        <f t="shared" ref="D342:D353" si="314">+I342+K342+M342+O342+Q342+S342</f>
        <v>0</v>
      </c>
      <c r="E342" s="577" t="e">
        <f t="shared" si="289"/>
        <v>#REF!</v>
      </c>
      <c r="F342" s="577" t="e">
        <f t="shared" ref="F342:F353" si="315">ROUND(D342*E342,10)</f>
        <v>#REF!</v>
      </c>
      <c r="G342" s="578"/>
      <c r="I342" s="594"/>
      <c r="J342" s="580" t="e">
        <f t="shared" ref="J342:J353" si="316">+ROUND(E342*I342,10)</f>
        <v>#REF!</v>
      </c>
      <c r="K342" s="537"/>
      <c r="L342" s="445" t="e">
        <f t="shared" ref="L342:L353" si="317">+ROUND(E342*K342,10)</f>
        <v>#REF!</v>
      </c>
      <c r="M342" s="542"/>
      <c r="N342" s="445" t="e">
        <f t="shared" ref="N342:N353" si="318">+ROUND(E342*M342,10)</f>
        <v>#REF!</v>
      </c>
      <c r="O342" s="542"/>
      <c r="P342" s="445" t="e">
        <f t="shared" ref="P342:P353" si="319">+ROUND(E342*O342,10)</f>
        <v>#REF!</v>
      </c>
      <c r="Q342" s="542"/>
      <c r="R342" s="445" t="e">
        <f t="shared" ref="R342:R353" si="320">+ROUND(E342*Q342,10)</f>
        <v>#REF!</v>
      </c>
      <c r="S342" s="542"/>
      <c r="T342" s="445" t="e">
        <f t="shared" ref="T342:T353" si="321">+ROUND(E342*S342,10)</f>
        <v>#REF!</v>
      </c>
      <c r="V342" s="581" t="e">
        <f>'7,1,12,1 Instalaciòn Lavamanos'!I20</f>
        <v>#REF!</v>
      </c>
      <c r="W342" s="582" t="e">
        <f t="shared" ref="W342:W353" si="322">ROUND(V342*$D342,10)</f>
        <v>#REF!</v>
      </c>
      <c r="X342" s="581">
        <f>'7,1,12,1 Instalaciòn Lavamanos'!I51</f>
        <v>26171.23</v>
      </c>
      <c r="Y342" s="582">
        <f t="shared" ref="Y342:Y353" si="323">ROUND(X342*$D342,10)</f>
        <v>0</v>
      </c>
      <c r="Z342" s="581">
        <f>'7,1,12,1 Instalaciòn Lavamanos'!I31</f>
        <v>154.58000000000001</v>
      </c>
      <c r="AA342" s="582">
        <f t="shared" ref="AA342:AA353" si="324">ROUND(Z342*$D342,10)</f>
        <v>0</v>
      </c>
      <c r="AB342" s="581">
        <f>'7,1,12,1 Instalaciòn Lavamanos'!I42</f>
        <v>0</v>
      </c>
      <c r="AC342" s="582">
        <f t="shared" ref="AC342:AC353" si="325">ROUND(AB342*$D342,10)</f>
        <v>0</v>
      </c>
      <c r="AE342" s="769" t="e">
        <f t="shared" si="313"/>
        <v>#REF!</v>
      </c>
    </row>
    <row r="343" spans="1:31" ht="15" hidden="1" customHeight="1" x14ac:dyDescent="0.2">
      <c r="A343" s="611" t="s">
        <v>1177</v>
      </c>
      <c r="B343" s="601" t="s">
        <v>1178</v>
      </c>
      <c r="C343" s="611" t="s">
        <v>111</v>
      </c>
      <c r="D343" s="576">
        <f t="shared" si="314"/>
        <v>0</v>
      </c>
      <c r="E343" s="577" t="e">
        <f t="shared" si="289"/>
        <v>#REF!</v>
      </c>
      <c r="F343" s="577" t="e">
        <f t="shared" si="315"/>
        <v>#REF!</v>
      </c>
      <c r="G343" s="578"/>
      <c r="I343" s="584"/>
      <c r="J343" s="585" t="e">
        <f t="shared" si="316"/>
        <v>#REF!</v>
      </c>
      <c r="K343" s="537"/>
      <c r="L343" s="445" t="e">
        <f t="shared" si="317"/>
        <v>#REF!</v>
      </c>
      <c r="M343" s="542"/>
      <c r="N343" s="445" t="e">
        <f t="shared" si="318"/>
        <v>#REF!</v>
      </c>
      <c r="O343" s="542"/>
      <c r="P343" s="445" t="e">
        <f t="shared" si="319"/>
        <v>#REF!</v>
      </c>
      <c r="Q343" s="542"/>
      <c r="R343" s="445" t="e">
        <f t="shared" si="320"/>
        <v>#REF!</v>
      </c>
      <c r="S343" s="542"/>
      <c r="T343" s="445" t="e">
        <f t="shared" si="321"/>
        <v>#REF!</v>
      </c>
      <c r="V343" s="581" t="e">
        <f>'7,1,12,2 Instalaciòn Sanitario '!I20</f>
        <v>#REF!</v>
      </c>
      <c r="W343" s="582" t="e">
        <f t="shared" si="322"/>
        <v>#REF!</v>
      </c>
      <c r="X343" s="581">
        <f>'7,1,12,2 Instalaciòn Sanitario '!I51</f>
        <v>34894.97</v>
      </c>
      <c r="Y343" s="582">
        <f t="shared" si="323"/>
        <v>0</v>
      </c>
      <c r="Z343" s="581">
        <f>'7,1,12,2 Instalaciòn Sanitario '!I31</f>
        <v>154.58000000000001</v>
      </c>
      <c r="AA343" s="582">
        <f t="shared" si="324"/>
        <v>0</v>
      </c>
      <c r="AB343" s="581">
        <f>'7,1,12,2 Instalaciòn Sanitario '!I42</f>
        <v>0</v>
      </c>
      <c r="AC343" s="582">
        <f t="shared" si="325"/>
        <v>0</v>
      </c>
      <c r="AE343" s="769" t="e">
        <f t="shared" si="313"/>
        <v>#REF!</v>
      </c>
    </row>
    <row r="344" spans="1:31" ht="15" hidden="1" customHeight="1" x14ac:dyDescent="0.2">
      <c r="A344" s="611" t="s">
        <v>1179</v>
      </c>
      <c r="B344" s="649" t="s">
        <v>1180</v>
      </c>
      <c r="C344" s="611" t="s">
        <v>111</v>
      </c>
      <c r="D344" s="576">
        <f t="shared" si="314"/>
        <v>0</v>
      </c>
      <c r="E344" s="577">
        <f t="shared" si="289"/>
        <v>0</v>
      </c>
      <c r="F344" s="577">
        <f t="shared" si="315"/>
        <v>0</v>
      </c>
      <c r="G344" s="578"/>
      <c r="I344" s="584"/>
      <c r="J344" s="585">
        <f t="shared" si="316"/>
        <v>0</v>
      </c>
      <c r="K344" s="537"/>
      <c r="L344" s="445">
        <f t="shared" si="317"/>
        <v>0</v>
      </c>
      <c r="M344" s="542"/>
      <c r="N344" s="445">
        <f t="shared" si="318"/>
        <v>0</v>
      </c>
      <c r="O344" s="542"/>
      <c r="P344" s="445">
        <f t="shared" si="319"/>
        <v>0</v>
      </c>
      <c r="Q344" s="542"/>
      <c r="R344" s="445">
        <f t="shared" si="320"/>
        <v>0</v>
      </c>
      <c r="S344" s="542"/>
      <c r="T344" s="445">
        <f t="shared" si="321"/>
        <v>0</v>
      </c>
      <c r="V344" s="581"/>
      <c r="W344" s="582">
        <f t="shared" si="322"/>
        <v>0</v>
      </c>
      <c r="X344" s="581"/>
      <c r="Y344" s="582">
        <f t="shared" si="323"/>
        <v>0</v>
      </c>
      <c r="Z344" s="581"/>
      <c r="AA344" s="582">
        <f t="shared" si="324"/>
        <v>0</v>
      </c>
      <c r="AB344" s="581"/>
      <c r="AC344" s="582">
        <f t="shared" si="325"/>
        <v>0</v>
      </c>
      <c r="AE344" s="769">
        <f t="shared" si="313"/>
        <v>0</v>
      </c>
    </row>
    <row r="345" spans="1:31" ht="15" hidden="1" customHeight="1" x14ac:dyDescent="0.2">
      <c r="A345" s="611" t="s">
        <v>1181</v>
      </c>
      <c r="B345" s="649" t="s">
        <v>1182</v>
      </c>
      <c r="C345" s="611" t="s">
        <v>111</v>
      </c>
      <c r="D345" s="576">
        <f t="shared" si="314"/>
        <v>0</v>
      </c>
      <c r="E345" s="577">
        <f t="shared" si="289"/>
        <v>0</v>
      </c>
      <c r="F345" s="577">
        <f t="shared" si="315"/>
        <v>0</v>
      </c>
      <c r="G345" s="578"/>
      <c r="I345" s="584"/>
      <c r="J345" s="585">
        <f t="shared" si="316"/>
        <v>0</v>
      </c>
      <c r="K345" s="537"/>
      <c r="L345" s="445">
        <f t="shared" si="317"/>
        <v>0</v>
      </c>
      <c r="M345" s="542"/>
      <c r="N345" s="445">
        <f t="shared" si="318"/>
        <v>0</v>
      </c>
      <c r="O345" s="542"/>
      <c r="P345" s="445">
        <f t="shared" si="319"/>
        <v>0</v>
      </c>
      <c r="Q345" s="542"/>
      <c r="R345" s="445">
        <f t="shared" si="320"/>
        <v>0</v>
      </c>
      <c r="S345" s="542"/>
      <c r="T345" s="445">
        <f t="shared" si="321"/>
        <v>0</v>
      </c>
      <c r="V345" s="645"/>
      <c r="W345" s="582">
        <f t="shared" si="322"/>
        <v>0</v>
      </c>
      <c r="X345" s="645"/>
      <c r="Y345" s="582">
        <f t="shared" si="323"/>
        <v>0</v>
      </c>
      <c r="Z345" s="645"/>
      <c r="AA345" s="582">
        <f t="shared" si="324"/>
        <v>0</v>
      </c>
      <c r="AB345" s="645"/>
      <c r="AC345" s="582">
        <f t="shared" si="325"/>
        <v>0</v>
      </c>
      <c r="AE345" s="769">
        <f t="shared" si="313"/>
        <v>0</v>
      </c>
    </row>
    <row r="346" spans="1:31" ht="15" hidden="1" customHeight="1" x14ac:dyDescent="0.2">
      <c r="A346" s="611" t="s">
        <v>1183</v>
      </c>
      <c r="B346" s="649" t="s">
        <v>1184</v>
      </c>
      <c r="C346" s="611" t="s">
        <v>111</v>
      </c>
      <c r="D346" s="576">
        <f t="shared" si="314"/>
        <v>0</v>
      </c>
      <c r="E346" s="577">
        <f t="shared" si="289"/>
        <v>0</v>
      </c>
      <c r="F346" s="577">
        <f t="shared" si="315"/>
        <v>0</v>
      </c>
      <c r="G346" s="578"/>
      <c r="I346" s="584"/>
      <c r="J346" s="585">
        <f t="shared" si="316"/>
        <v>0</v>
      </c>
      <c r="K346" s="537"/>
      <c r="L346" s="445">
        <f t="shared" si="317"/>
        <v>0</v>
      </c>
      <c r="M346" s="542"/>
      <c r="N346" s="445">
        <f t="shared" si="318"/>
        <v>0</v>
      </c>
      <c r="O346" s="542"/>
      <c r="P346" s="445">
        <f t="shared" si="319"/>
        <v>0</v>
      </c>
      <c r="Q346" s="542"/>
      <c r="R346" s="445">
        <f t="shared" si="320"/>
        <v>0</v>
      </c>
      <c r="S346" s="542"/>
      <c r="T346" s="445">
        <f t="shared" si="321"/>
        <v>0</v>
      </c>
      <c r="V346" s="645"/>
      <c r="W346" s="582">
        <f t="shared" si="322"/>
        <v>0</v>
      </c>
      <c r="X346" s="645"/>
      <c r="Y346" s="582">
        <f t="shared" si="323"/>
        <v>0</v>
      </c>
      <c r="Z346" s="645"/>
      <c r="AA346" s="582">
        <f t="shared" si="324"/>
        <v>0</v>
      </c>
      <c r="AB346" s="645"/>
      <c r="AC346" s="582">
        <f t="shared" si="325"/>
        <v>0</v>
      </c>
      <c r="AE346" s="769">
        <f t="shared" si="313"/>
        <v>0</v>
      </c>
    </row>
    <row r="347" spans="1:31" ht="15" hidden="1" customHeight="1" x14ac:dyDescent="0.2">
      <c r="A347" s="611" t="s">
        <v>1185</v>
      </c>
      <c r="B347" s="649" t="s">
        <v>1186</v>
      </c>
      <c r="C347" s="611" t="s">
        <v>111</v>
      </c>
      <c r="D347" s="576">
        <f t="shared" si="314"/>
        <v>0</v>
      </c>
      <c r="E347" s="577">
        <f t="shared" si="289"/>
        <v>0</v>
      </c>
      <c r="F347" s="577">
        <f t="shared" si="315"/>
        <v>0</v>
      </c>
      <c r="G347" s="578"/>
      <c r="I347" s="584"/>
      <c r="J347" s="585">
        <f t="shared" si="316"/>
        <v>0</v>
      </c>
      <c r="K347" s="537"/>
      <c r="L347" s="445">
        <f t="shared" si="317"/>
        <v>0</v>
      </c>
      <c r="M347" s="542"/>
      <c r="N347" s="445">
        <f t="shared" si="318"/>
        <v>0</v>
      </c>
      <c r="O347" s="542"/>
      <c r="P347" s="445">
        <f t="shared" si="319"/>
        <v>0</v>
      </c>
      <c r="Q347" s="542"/>
      <c r="R347" s="445">
        <f t="shared" si="320"/>
        <v>0</v>
      </c>
      <c r="S347" s="542"/>
      <c r="T347" s="445">
        <f t="shared" si="321"/>
        <v>0</v>
      </c>
      <c r="V347" s="645"/>
      <c r="W347" s="582">
        <f t="shared" si="322"/>
        <v>0</v>
      </c>
      <c r="X347" s="645"/>
      <c r="Y347" s="582">
        <f t="shared" si="323"/>
        <v>0</v>
      </c>
      <c r="Z347" s="645"/>
      <c r="AA347" s="582">
        <f t="shared" si="324"/>
        <v>0</v>
      </c>
      <c r="AB347" s="645"/>
      <c r="AC347" s="582">
        <f t="shared" si="325"/>
        <v>0</v>
      </c>
      <c r="AE347" s="769">
        <f t="shared" si="313"/>
        <v>0</v>
      </c>
    </row>
    <row r="348" spans="1:31" ht="15" hidden="1" customHeight="1" x14ac:dyDescent="0.2">
      <c r="A348" s="611" t="s">
        <v>1187</v>
      </c>
      <c r="B348" s="649" t="s">
        <v>1188</v>
      </c>
      <c r="C348" s="611" t="s">
        <v>111</v>
      </c>
      <c r="D348" s="576">
        <f t="shared" si="314"/>
        <v>0</v>
      </c>
      <c r="E348" s="577">
        <f t="shared" si="289"/>
        <v>0</v>
      </c>
      <c r="F348" s="577">
        <f t="shared" si="315"/>
        <v>0</v>
      </c>
      <c r="G348" s="578"/>
      <c r="I348" s="584"/>
      <c r="J348" s="585">
        <f t="shared" si="316"/>
        <v>0</v>
      </c>
      <c r="K348" s="537"/>
      <c r="L348" s="445">
        <f t="shared" si="317"/>
        <v>0</v>
      </c>
      <c r="M348" s="542"/>
      <c r="N348" s="445">
        <f t="shared" si="318"/>
        <v>0</v>
      </c>
      <c r="O348" s="542"/>
      <c r="P348" s="445">
        <f t="shared" si="319"/>
        <v>0</v>
      </c>
      <c r="Q348" s="542"/>
      <c r="R348" s="445">
        <f t="shared" si="320"/>
        <v>0</v>
      </c>
      <c r="S348" s="542"/>
      <c r="T348" s="445">
        <f t="shared" si="321"/>
        <v>0</v>
      </c>
      <c r="V348" s="645"/>
      <c r="W348" s="582">
        <f t="shared" si="322"/>
        <v>0</v>
      </c>
      <c r="X348" s="645"/>
      <c r="Y348" s="582">
        <f t="shared" si="323"/>
        <v>0</v>
      </c>
      <c r="Z348" s="645"/>
      <c r="AA348" s="582">
        <f t="shared" si="324"/>
        <v>0</v>
      </c>
      <c r="AB348" s="645"/>
      <c r="AC348" s="582">
        <f t="shared" si="325"/>
        <v>0</v>
      </c>
      <c r="AE348" s="769">
        <f t="shared" si="313"/>
        <v>0</v>
      </c>
    </row>
    <row r="349" spans="1:31" ht="15" hidden="1" customHeight="1" x14ac:dyDescent="0.2">
      <c r="A349" s="611" t="s">
        <v>1189</v>
      </c>
      <c r="B349" s="601" t="s">
        <v>1190</v>
      </c>
      <c r="C349" s="611" t="s">
        <v>111</v>
      </c>
      <c r="D349" s="576">
        <f t="shared" si="314"/>
        <v>0</v>
      </c>
      <c r="E349" s="577" t="e">
        <f t="shared" si="289"/>
        <v>#REF!</v>
      </c>
      <c r="F349" s="577" t="e">
        <f t="shared" si="315"/>
        <v>#REF!</v>
      </c>
      <c r="G349" s="578"/>
      <c r="I349" s="584"/>
      <c r="J349" s="585" t="e">
        <f t="shared" si="316"/>
        <v>#REF!</v>
      </c>
      <c r="K349" s="537"/>
      <c r="L349" s="445" t="e">
        <f t="shared" si="317"/>
        <v>#REF!</v>
      </c>
      <c r="M349" s="542"/>
      <c r="N349" s="445" t="e">
        <f t="shared" si="318"/>
        <v>#REF!</v>
      </c>
      <c r="O349" s="542"/>
      <c r="P349" s="445" t="e">
        <f t="shared" si="319"/>
        <v>#REF!</v>
      </c>
      <c r="Q349" s="542"/>
      <c r="R349" s="445" t="e">
        <f t="shared" si="320"/>
        <v>#REF!</v>
      </c>
      <c r="S349" s="542"/>
      <c r="T349" s="445" t="e">
        <f t="shared" si="321"/>
        <v>#REF!</v>
      </c>
      <c r="V349" s="581" t="e">
        <f>+'7,1,12,8 Llave  Manguera 1.2 '!I20</f>
        <v>#REF!</v>
      </c>
      <c r="W349" s="582" t="e">
        <f t="shared" si="322"/>
        <v>#REF!</v>
      </c>
      <c r="X349" s="581">
        <f>+'7,1,12,8 Llave  Manguera 1.2 '!I51</f>
        <v>4187.3999999999996</v>
      </c>
      <c r="Y349" s="582">
        <f t="shared" si="323"/>
        <v>0</v>
      </c>
      <c r="Z349" s="581">
        <f>+'7,1,12,8 Llave  Manguera 1.2 '!I31</f>
        <v>154.58000000000001</v>
      </c>
      <c r="AA349" s="582">
        <f t="shared" si="324"/>
        <v>0</v>
      </c>
      <c r="AB349" s="581">
        <f>+'7,1,12,8 Llave  Manguera 1.2 '!I42</f>
        <v>0</v>
      </c>
      <c r="AC349" s="582">
        <f t="shared" si="325"/>
        <v>0</v>
      </c>
      <c r="AE349" s="769" t="e">
        <f t="shared" si="313"/>
        <v>#REF!</v>
      </c>
    </row>
    <row r="350" spans="1:31" ht="15" hidden="1" customHeight="1" x14ac:dyDescent="0.2">
      <c r="A350" s="611" t="s">
        <v>1191</v>
      </c>
      <c r="B350" s="601" t="s">
        <v>1192</v>
      </c>
      <c r="C350" s="611" t="s">
        <v>111</v>
      </c>
      <c r="D350" s="576">
        <f t="shared" si="314"/>
        <v>0</v>
      </c>
      <c r="E350" s="577" t="e">
        <f t="shared" si="289"/>
        <v>#REF!</v>
      </c>
      <c r="F350" s="577" t="e">
        <f t="shared" si="315"/>
        <v>#REF!</v>
      </c>
      <c r="G350" s="578"/>
      <c r="I350" s="597"/>
      <c r="J350" s="598" t="e">
        <f t="shared" si="316"/>
        <v>#REF!</v>
      </c>
      <c r="K350" s="537"/>
      <c r="L350" s="445" t="e">
        <f t="shared" si="317"/>
        <v>#REF!</v>
      </c>
      <c r="M350" s="542"/>
      <c r="N350" s="445" t="e">
        <f t="shared" si="318"/>
        <v>#REF!</v>
      </c>
      <c r="O350" s="542"/>
      <c r="P350" s="445" t="e">
        <f t="shared" si="319"/>
        <v>#REF!</v>
      </c>
      <c r="Q350" s="542"/>
      <c r="R350" s="445" t="e">
        <f t="shared" si="320"/>
        <v>#REF!</v>
      </c>
      <c r="S350" s="542"/>
      <c r="T350" s="445" t="e">
        <f t="shared" si="321"/>
        <v>#REF!</v>
      </c>
      <c r="V350" s="581" t="e">
        <f>+'7,1,12,9 Acoflex lav.sant.'!I20</f>
        <v>#REF!</v>
      </c>
      <c r="W350" s="582" t="e">
        <f t="shared" si="322"/>
        <v>#REF!</v>
      </c>
      <c r="X350" s="581">
        <f>+'7,1,12,9 Acoflex lav.sant.'!I51</f>
        <v>3806.72</v>
      </c>
      <c r="Y350" s="582">
        <f t="shared" si="323"/>
        <v>0</v>
      </c>
      <c r="Z350" s="581">
        <f>+'7,1,12,9 Acoflex lav.sant.'!I31</f>
        <v>77.290000000000006</v>
      </c>
      <c r="AA350" s="582">
        <f t="shared" si="324"/>
        <v>0</v>
      </c>
      <c r="AB350" s="581">
        <f>+'7,1,12,9 Acoflex lav.sant.'!I42</f>
        <v>0</v>
      </c>
      <c r="AC350" s="582">
        <f t="shared" si="325"/>
        <v>0</v>
      </c>
      <c r="AE350" s="769" t="e">
        <f t="shared" si="313"/>
        <v>#REF!</v>
      </c>
    </row>
    <row r="351" spans="1:31" ht="15" hidden="1" customHeight="1" x14ac:dyDescent="0.2">
      <c r="A351" s="611" t="s">
        <v>1193</v>
      </c>
      <c r="B351" s="601" t="s">
        <v>1194</v>
      </c>
      <c r="C351" s="792" t="s">
        <v>111</v>
      </c>
      <c r="D351" s="576">
        <f t="shared" si="314"/>
        <v>0</v>
      </c>
      <c r="E351" s="577">
        <f t="shared" si="289"/>
        <v>0</v>
      </c>
      <c r="F351" s="577">
        <f t="shared" si="315"/>
        <v>0</v>
      </c>
      <c r="G351" s="473"/>
      <c r="H351" s="568"/>
      <c r="I351" s="650"/>
      <c r="J351" s="651">
        <f t="shared" si="316"/>
        <v>0</v>
      </c>
      <c r="K351" s="537"/>
      <c r="L351" s="445">
        <f t="shared" si="317"/>
        <v>0</v>
      </c>
      <c r="M351" s="542"/>
      <c r="N351" s="445">
        <f t="shared" si="318"/>
        <v>0</v>
      </c>
      <c r="O351" s="542"/>
      <c r="P351" s="445">
        <f t="shared" si="319"/>
        <v>0</v>
      </c>
      <c r="Q351" s="542"/>
      <c r="R351" s="445">
        <f t="shared" si="320"/>
        <v>0</v>
      </c>
      <c r="S351" s="542"/>
      <c r="T351" s="445">
        <f t="shared" si="321"/>
        <v>0</v>
      </c>
      <c r="U351" s="568"/>
      <c r="V351" s="646"/>
      <c r="W351" s="582">
        <f t="shared" si="322"/>
        <v>0</v>
      </c>
      <c r="X351" s="646"/>
      <c r="Y351" s="582">
        <f t="shared" si="323"/>
        <v>0</v>
      </c>
      <c r="Z351" s="646"/>
      <c r="AA351" s="582">
        <f t="shared" si="324"/>
        <v>0</v>
      </c>
      <c r="AB351" s="646"/>
      <c r="AC351" s="582">
        <f t="shared" si="325"/>
        <v>0</v>
      </c>
      <c r="AE351" s="769">
        <f t="shared" si="313"/>
        <v>0</v>
      </c>
    </row>
    <row r="352" spans="1:31" ht="15" customHeight="1" x14ac:dyDescent="0.2">
      <c r="A352" s="611" t="s">
        <v>1195</v>
      </c>
      <c r="B352" s="601" t="s">
        <v>1196</v>
      </c>
      <c r="C352" s="792" t="s">
        <v>111</v>
      </c>
      <c r="D352" s="576">
        <f t="shared" si="314"/>
        <v>3</v>
      </c>
      <c r="E352" s="577" t="e">
        <f t="shared" si="289"/>
        <v>#REF!</v>
      </c>
      <c r="F352" s="577" t="e">
        <f t="shared" si="315"/>
        <v>#REF!</v>
      </c>
      <c r="G352" s="473"/>
      <c r="H352" s="568"/>
      <c r="I352" s="650"/>
      <c r="J352" s="651" t="e">
        <f t="shared" si="316"/>
        <v>#REF!</v>
      </c>
      <c r="K352" s="537"/>
      <c r="L352" s="445" t="e">
        <f t="shared" si="317"/>
        <v>#REF!</v>
      </c>
      <c r="M352" s="542"/>
      <c r="N352" s="445" t="e">
        <f t="shared" si="318"/>
        <v>#REF!</v>
      </c>
      <c r="O352" s="542">
        <v>3</v>
      </c>
      <c r="P352" s="445" t="e">
        <f t="shared" si="319"/>
        <v>#REF!</v>
      </c>
      <c r="Q352" s="542"/>
      <c r="R352" s="445" t="e">
        <f t="shared" si="320"/>
        <v>#REF!</v>
      </c>
      <c r="S352" s="542"/>
      <c r="T352" s="445" t="e">
        <f t="shared" si="321"/>
        <v>#REF!</v>
      </c>
      <c r="U352" s="568"/>
      <c r="V352" s="581" t="e">
        <f>+#REF!</f>
        <v>#REF!</v>
      </c>
      <c r="W352" s="582" t="e">
        <f t="shared" si="322"/>
        <v>#REF!</v>
      </c>
      <c r="X352" s="581" t="e">
        <f>+#REF!</f>
        <v>#REF!</v>
      </c>
      <c r="Y352" s="582" t="e">
        <f t="shared" si="323"/>
        <v>#REF!</v>
      </c>
      <c r="Z352" s="581" t="e">
        <f>+#REF!</f>
        <v>#REF!</v>
      </c>
      <c r="AA352" s="582" t="e">
        <f t="shared" si="324"/>
        <v>#REF!</v>
      </c>
      <c r="AB352" s="581" t="e">
        <f>+#REF!</f>
        <v>#REF!</v>
      </c>
      <c r="AC352" s="582" t="e">
        <f t="shared" si="325"/>
        <v>#REF!</v>
      </c>
      <c r="AE352" s="769" t="e">
        <f t="shared" si="313"/>
        <v>#REF!</v>
      </c>
    </row>
    <row r="353" spans="1:31" ht="15" customHeight="1" x14ac:dyDescent="0.2">
      <c r="A353" s="611" t="s">
        <v>1197</v>
      </c>
      <c r="B353" s="601" t="s">
        <v>1198</v>
      </c>
      <c r="C353" s="792" t="s">
        <v>111</v>
      </c>
      <c r="D353" s="576">
        <f t="shared" si="314"/>
        <v>3</v>
      </c>
      <c r="E353" s="577" t="e">
        <f t="shared" si="289"/>
        <v>#REF!</v>
      </c>
      <c r="F353" s="577" t="e">
        <f t="shared" si="315"/>
        <v>#REF!</v>
      </c>
      <c r="G353" s="473"/>
      <c r="H353" s="568"/>
      <c r="I353" s="650"/>
      <c r="J353" s="651" t="e">
        <f t="shared" si="316"/>
        <v>#REF!</v>
      </c>
      <c r="K353" s="537"/>
      <c r="L353" s="445" t="e">
        <f t="shared" si="317"/>
        <v>#REF!</v>
      </c>
      <c r="M353" s="542"/>
      <c r="N353" s="445" t="e">
        <f t="shared" si="318"/>
        <v>#REF!</v>
      </c>
      <c r="O353" s="542">
        <v>3</v>
      </c>
      <c r="P353" s="445" t="e">
        <f t="shared" si="319"/>
        <v>#REF!</v>
      </c>
      <c r="Q353" s="542"/>
      <c r="R353" s="445" t="e">
        <f t="shared" si="320"/>
        <v>#REF!</v>
      </c>
      <c r="S353" s="542"/>
      <c r="T353" s="445" t="e">
        <f t="shared" si="321"/>
        <v>#REF!</v>
      </c>
      <c r="U353" s="568"/>
      <c r="V353" s="581" t="e">
        <f>#REF!</f>
        <v>#REF!</v>
      </c>
      <c r="W353" s="582" t="e">
        <f t="shared" si="322"/>
        <v>#REF!</v>
      </c>
      <c r="X353" s="581" t="e">
        <f>#REF!</f>
        <v>#REF!</v>
      </c>
      <c r="Y353" s="582" t="e">
        <f t="shared" si="323"/>
        <v>#REF!</v>
      </c>
      <c r="Z353" s="581" t="e">
        <f>#REF!</f>
        <v>#REF!</v>
      </c>
      <c r="AA353" s="582" t="e">
        <f t="shared" si="324"/>
        <v>#REF!</v>
      </c>
      <c r="AB353" s="581" t="e">
        <f>#REF!</f>
        <v>#REF!</v>
      </c>
      <c r="AC353" s="582" t="e">
        <f t="shared" si="325"/>
        <v>#REF!</v>
      </c>
      <c r="AE353" s="769" t="e">
        <f t="shared" si="313"/>
        <v>#REF!</v>
      </c>
    </row>
    <row r="354" spans="1:31" ht="15" customHeight="1" x14ac:dyDescent="0.2">
      <c r="A354" s="572" t="s">
        <v>1199</v>
      </c>
      <c r="B354" s="573" t="s">
        <v>454</v>
      </c>
      <c r="C354" s="846"/>
      <c r="D354" s="576"/>
      <c r="E354" s="577"/>
      <c r="F354" s="626" t="e">
        <f>+ROUND(SUM(F355:F356),10)</f>
        <v>#REF!</v>
      </c>
      <c r="G354" s="473"/>
      <c r="H354" s="568"/>
      <c r="I354" s="613"/>
      <c r="J354" s="440" t="e">
        <f>ROUND(SUM(J355:J357),10)</f>
        <v>#REF!</v>
      </c>
      <c r="K354" s="537"/>
      <c r="L354" s="445" t="e">
        <f>ROUND(SUM(L355:L357),10)</f>
        <v>#REF!</v>
      </c>
      <c r="M354" s="542"/>
      <c r="N354" s="445" t="e">
        <f>ROUND(SUM(N355:N357),10)</f>
        <v>#REF!</v>
      </c>
      <c r="O354" s="542"/>
      <c r="P354" s="445" t="e">
        <f>ROUND(SUM(P355:P357),10)</f>
        <v>#REF!</v>
      </c>
      <c r="Q354" s="542"/>
      <c r="R354" s="445" t="e">
        <f>ROUND(SUM(R355:R357),10)</f>
        <v>#REF!</v>
      </c>
      <c r="S354" s="542"/>
      <c r="T354" s="445" t="e">
        <f>ROUND(SUM(T355:T357),10)</f>
        <v>#REF!</v>
      </c>
      <c r="U354" s="568"/>
      <c r="V354" s="646"/>
      <c r="W354" s="582" t="e">
        <f>ROUND(SUM(W355:W356),10)</f>
        <v>#REF!</v>
      </c>
      <c r="X354" s="646"/>
      <c r="Y354" s="582" t="e">
        <f>ROUND(SUM(Y355:Y356),10)</f>
        <v>#REF!</v>
      </c>
      <c r="Z354" s="646"/>
      <c r="AA354" s="582" t="e">
        <f>ROUND(SUM(AA355:AA356),10)</f>
        <v>#REF!</v>
      </c>
      <c r="AB354" s="646"/>
      <c r="AC354" s="582" t="e">
        <f>ROUND(SUM(AC355:AC356),10)</f>
        <v>#REF!</v>
      </c>
      <c r="AE354" s="769" t="e">
        <f t="shared" si="313"/>
        <v>#REF!</v>
      </c>
    </row>
    <row r="355" spans="1:31" ht="15" hidden="1" customHeight="1" x14ac:dyDescent="0.2">
      <c r="A355" s="611" t="s">
        <v>1200</v>
      </c>
      <c r="B355" s="601" t="s">
        <v>1201</v>
      </c>
      <c r="C355" s="611" t="s">
        <v>111</v>
      </c>
      <c r="D355" s="576">
        <f>+I355+K355+M355+O355+Q355+S355</f>
        <v>0</v>
      </c>
      <c r="E355" s="577">
        <f t="shared" si="289"/>
        <v>0</v>
      </c>
      <c r="F355" s="577">
        <f>ROUND(D355*E355,10)</f>
        <v>0</v>
      </c>
      <c r="G355" s="578"/>
      <c r="I355" s="594"/>
      <c r="J355" s="580">
        <f>+ROUND(E355*I355,10)</f>
        <v>0</v>
      </c>
      <c r="K355" s="537"/>
      <c r="L355" s="445">
        <f>+ROUND(E355*K355,10)</f>
        <v>0</v>
      </c>
      <c r="M355" s="542"/>
      <c r="N355" s="445">
        <f>+ROUND(E355*M355,10)</f>
        <v>0</v>
      </c>
      <c r="O355" s="542"/>
      <c r="P355" s="445">
        <f>+ROUND(E355*O355,10)</f>
        <v>0</v>
      </c>
      <c r="Q355" s="542"/>
      <c r="R355" s="445">
        <f>+ROUND(E355*Q355,10)</f>
        <v>0</v>
      </c>
      <c r="S355" s="542"/>
      <c r="T355" s="445">
        <f>+ROUND(E355*S355,10)</f>
        <v>0</v>
      </c>
      <c r="V355" s="645"/>
      <c r="W355" s="582">
        <f>ROUND(V355*$D355,10)</f>
        <v>0</v>
      </c>
      <c r="X355" s="645"/>
      <c r="Y355" s="582">
        <f>ROUND(X355*$D355,10)</f>
        <v>0</v>
      </c>
      <c r="Z355" s="645"/>
      <c r="AA355" s="582">
        <f>ROUND(Z355*$D355,10)</f>
        <v>0</v>
      </c>
      <c r="AB355" s="645"/>
      <c r="AC355" s="582">
        <f>ROUND(AB355*$D355,10)</f>
        <v>0</v>
      </c>
      <c r="AE355" s="769">
        <f t="shared" si="313"/>
        <v>0</v>
      </c>
    </row>
    <row r="356" spans="1:31" ht="15" customHeight="1" x14ac:dyDescent="0.2">
      <c r="A356" s="611" t="s">
        <v>1202</v>
      </c>
      <c r="B356" s="649" t="s">
        <v>1203</v>
      </c>
      <c r="C356" s="611" t="s">
        <v>111</v>
      </c>
      <c r="D356" s="576">
        <f>+I356+K356+M356+O356+Q356+S356</f>
        <v>1</v>
      </c>
      <c r="E356" s="577" t="e">
        <f t="shared" si="289"/>
        <v>#REF!</v>
      </c>
      <c r="F356" s="577" t="e">
        <f>ROUND(D356*E356,10)</f>
        <v>#REF!</v>
      </c>
      <c r="G356" s="578"/>
      <c r="I356" s="597"/>
      <c r="J356" s="598" t="e">
        <f>+ROUND(E356*I356,10)</f>
        <v>#REF!</v>
      </c>
      <c r="K356" s="537"/>
      <c r="L356" s="445" t="e">
        <f>+ROUND(E356*K356,10)</f>
        <v>#REF!</v>
      </c>
      <c r="M356" s="542">
        <v>0.1</v>
      </c>
      <c r="N356" s="445" t="e">
        <f>+ROUND(E356*M356,10)</f>
        <v>#REF!</v>
      </c>
      <c r="O356" s="542">
        <v>0.9</v>
      </c>
      <c r="P356" s="445" t="e">
        <f>+ROUND(E356*O356,10)</f>
        <v>#REF!</v>
      </c>
      <c r="Q356" s="542"/>
      <c r="R356" s="445" t="e">
        <f>+ROUND(E356*Q356,10)</f>
        <v>#REF!</v>
      </c>
      <c r="S356" s="542"/>
      <c r="T356" s="445" t="e">
        <f>+ROUND(E356*S356,10)</f>
        <v>#REF!</v>
      </c>
      <c r="V356" s="581" t="e">
        <f>#REF!</f>
        <v>#REF!</v>
      </c>
      <c r="W356" s="582" t="e">
        <f>ROUND(V356*$D356,10)</f>
        <v>#REF!</v>
      </c>
      <c r="X356" s="581" t="e">
        <f>#REF!</f>
        <v>#REF!</v>
      </c>
      <c r="Y356" s="582" t="e">
        <f>ROUND(X356*$D356,10)</f>
        <v>#REF!</v>
      </c>
      <c r="Z356" s="786" t="e">
        <f>#REF!</f>
        <v>#REF!</v>
      </c>
      <c r="AA356" s="582" t="e">
        <f>ROUND(Z356*$D356,10)</f>
        <v>#REF!</v>
      </c>
      <c r="AB356" s="645" t="e">
        <f>#REF!</f>
        <v>#REF!</v>
      </c>
      <c r="AC356" s="582" t="e">
        <f>ROUND(AB356*$D356,10)</f>
        <v>#REF!</v>
      </c>
      <c r="AE356" s="769" t="e">
        <f t="shared" si="313"/>
        <v>#REF!</v>
      </c>
    </row>
    <row r="357" spans="1:31" s="568" customFormat="1" ht="18" customHeight="1" x14ac:dyDescent="0.2">
      <c r="A357" s="572">
        <v>7.2</v>
      </c>
      <c r="B357" s="573" t="s">
        <v>1204</v>
      </c>
      <c r="C357" s="846"/>
      <c r="D357" s="576"/>
      <c r="E357" s="577"/>
      <c r="F357" s="180"/>
      <c r="G357" s="473"/>
      <c r="I357" s="613"/>
      <c r="J357" s="652"/>
      <c r="K357" s="537"/>
      <c r="L357" s="445"/>
      <c r="M357" s="542"/>
      <c r="N357" s="445"/>
      <c r="O357" s="542"/>
      <c r="P357" s="445"/>
      <c r="Q357" s="542"/>
      <c r="R357" s="445"/>
      <c r="S357" s="542"/>
      <c r="T357" s="445"/>
      <c r="V357" s="646"/>
      <c r="W357" s="653"/>
      <c r="X357" s="646"/>
      <c r="Y357" s="653"/>
      <c r="Z357" s="646"/>
      <c r="AA357" s="653"/>
      <c r="AB357" s="646"/>
      <c r="AC357" s="653"/>
      <c r="AE357" s="769">
        <f t="shared" si="313"/>
        <v>0</v>
      </c>
    </row>
    <row r="358" spans="1:31" ht="15" customHeight="1" x14ac:dyDescent="0.2">
      <c r="A358" s="572" t="s">
        <v>1205</v>
      </c>
      <c r="B358" s="573" t="s">
        <v>543</v>
      </c>
      <c r="C358" s="846"/>
      <c r="D358" s="576"/>
      <c r="E358" s="577"/>
      <c r="F358" s="626" t="e">
        <f>+ROUND(SUM(F359:F369),10)</f>
        <v>#REF!</v>
      </c>
      <c r="G358" s="473"/>
      <c r="H358" s="568"/>
      <c r="I358" s="633"/>
      <c r="J358" s="441" t="e">
        <f>ROUND(SUM(J359:J369),10)</f>
        <v>#REF!</v>
      </c>
      <c r="K358" s="537"/>
      <c r="L358" s="180" t="e">
        <f>ROUND(SUM(L359:L369),10)</f>
        <v>#REF!</v>
      </c>
      <c r="M358" s="542"/>
      <c r="N358" s="180" t="e">
        <f>ROUND(SUM(N359:N369),10)</f>
        <v>#REF!</v>
      </c>
      <c r="O358" s="542"/>
      <c r="P358" s="180" t="e">
        <f>ROUND(SUM(P359:P369),10)</f>
        <v>#REF!</v>
      </c>
      <c r="Q358" s="542"/>
      <c r="R358" s="180" t="e">
        <f>ROUND(SUM(R359:R369),10)</f>
        <v>#REF!</v>
      </c>
      <c r="S358" s="542"/>
      <c r="T358" s="180" t="e">
        <f>ROUND(SUM(T359:T369),10)</f>
        <v>#REF!</v>
      </c>
      <c r="U358" s="568"/>
      <c r="V358" s="646"/>
      <c r="W358" s="570" t="e">
        <f>ROUND(SUM(W359:W369),10)</f>
        <v>#REF!</v>
      </c>
      <c r="X358" s="646"/>
      <c r="Y358" s="570">
        <f>ROUND(SUM(Y359:Y369),10)</f>
        <v>912928.446</v>
      </c>
      <c r="Z358" s="646"/>
      <c r="AA358" s="570">
        <f>ROUND(SUM(AA359:AA369),10)</f>
        <v>46708.9</v>
      </c>
      <c r="AB358" s="646"/>
      <c r="AC358" s="570">
        <f>ROUND(SUM(AC359:AC369),10)</f>
        <v>0</v>
      </c>
      <c r="AE358" s="769" t="e">
        <f t="shared" si="313"/>
        <v>#REF!</v>
      </c>
    </row>
    <row r="359" spans="1:31" ht="15" customHeight="1" x14ac:dyDescent="0.2">
      <c r="A359" s="611" t="s">
        <v>1206</v>
      </c>
      <c r="B359" s="601" t="s">
        <v>1207</v>
      </c>
      <c r="C359" s="611" t="s">
        <v>111</v>
      </c>
      <c r="D359" s="576">
        <f>+I359+K359+M359+O359+Q359+S359</f>
        <v>7</v>
      </c>
      <c r="E359" s="577" t="e">
        <f t="shared" si="289"/>
        <v>#REF!</v>
      </c>
      <c r="F359" s="577" t="e">
        <f t="shared" ref="F359:F369" si="326">ROUND(D359*E359,10)</f>
        <v>#REF!</v>
      </c>
      <c r="G359" s="578"/>
      <c r="I359" s="594"/>
      <c r="J359" s="580" t="e">
        <f t="shared" ref="J359:J369" si="327">+ROUND(E359*I359,10)</f>
        <v>#REF!</v>
      </c>
      <c r="K359" s="537"/>
      <c r="L359" s="445" t="e">
        <f t="shared" ref="L359:L369" si="328">+ROUND(E359*K359,10)</f>
        <v>#REF!</v>
      </c>
      <c r="M359" s="542">
        <v>7</v>
      </c>
      <c r="N359" s="445" t="e">
        <f t="shared" ref="N359:N369" si="329">+ROUND(E359*M359,10)</f>
        <v>#REF!</v>
      </c>
      <c r="O359" s="542"/>
      <c r="P359" s="445" t="e">
        <f t="shared" ref="P359:P369" si="330">+ROUND(E359*O359,10)</f>
        <v>#REF!</v>
      </c>
      <c r="Q359" s="542"/>
      <c r="R359" s="445" t="e">
        <f t="shared" ref="R359:R369" si="331">+ROUND(E359*Q359,10)</f>
        <v>#REF!</v>
      </c>
      <c r="S359" s="542"/>
      <c r="T359" s="445" t="e">
        <f t="shared" ref="T359:T369" si="332">+ROUND(E359*S359,10)</f>
        <v>#REF!</v>
      </c>
      <c r="V359" s="581" t="e">
        <f>+'7,2,1,1 Punto de gas'!I19</f>
        <v>#REF!</v>
      </c>
      <c r="W359" s="582" t="e">
        <f t="shared" ref="W359:W369" si="333">ROUND(V359*$D359,10)</f>
        <v>#REF!</v>
      </c>
      <c r="X359" s="581">
        <f>+'7,2,1,1 Punto de gas'!I50</f>
        <v>92377.02</v>
      </c>
      <c r="Y359" s="582">
        <f t="shared" ref="Y359:Y369" si="334">ROUND(X359*$D359,10)</f>
        <v>646639.14</v>
      </c>
      <c r="Z359" s="581">
        <f>+'7,2,1,1 Punto de gas'!I30</f>
        <v>1298.5</v>
      </c>
      <c r="AA359" s="582">
        <f t="shared" ref="AA359:AA369" si="335">ROUND(Z359*$D359,10)</f>
        <v>9089.5</v>
      </c>
      <c r="AB359" s="581">
        <f>+'7,2,1,1 Punto de gas'!I41</f>
        <v>0</v>
      </c>
      <c r="AC359" s="582">
        <f t="shared" ref="AC359:AC369" si="336">ROUND(AB359*$D359,10)</f>
        <v>0</v>
      </c>
      <c r="AE359" s="769" t="e">
        <f t="shared" si="313"/>
        <v>#REF!</v>
      </c>
    </row>
    <row r="360" spans="1:31" ht="15" customHeight="1" x14ac:dyDescent="0.2">
      <c r="A360" s="611" t="s">
        <v>1208</v>
      </c>
      <c r="B360" s="601" t="s">
        <v>1209</v>
      </c>
      <c r="C360" s="611" t="s">
        <v>111</v>
      </c>
      <c r="D360" s="576">
        <f t="shared" ref="D360:D369" si="337">+I360+K360+M360+O360+Q360+S360</f>
        <v>1</v>
      </c>
      <c r="E360" s="577" t="e">
        <f t="shared" si="289"/>
        <v>#REF!</v>
      </c>
      <c r="F360" s="577" t="e">
        <f t="shared" si="326"/>
        <v>#REF!</v>
      </c>
      <c r="G360" s="578"/>
      <c r="I360" s="584"/>
      <c r="J360" s="585" t="e">
        <f t="shared" si="327"/>
        <v>#REF!</v>
      </c>
      <c r="K360" s="537"/>
      <c r="L360" s="445" t="e">
        <f t="shared" si="328"/>
        <v>#REF!</v>
      </c>
      <c r="M360" s="542">
        <v>1</v>
      </c>
      <c r="N360" s="445" t="e">
        <f t="shared" si="329"/>
        <v>#REF!</v>
      </c>
      <c r="O360" s="542"/>
      <c r="P360" s="445" t="e">
        <f t="shared" si="330"/>
        <v>#REF!</v>
      </c>
      <c r="Q360" s="542"/>
      <c r="R360" s="445" t="e">
        <f t="shared" si="331"/>
        <v>#REF!</v>
      </c>
      <c r="S360" s="542"/>
      <c r="T360" s="445" t="e">
        <f t="shared" si="332"/>
        <v>#REF!</v>
      </c>
      <c r="V360" s="581" t="e">
        <f>+'7,2,1,2 Preinstalación gas'!I19</f>
        <v>#REF!</v>
      </c>
      <c r="W360" s="582" t="e">
        <f t="shared" si="333"/>
        <v>#REF!</v>
      </c>
      <c r="X360" s="581">
        <f>+'7,2,1,2 Preinstalación gas'!I50</f>
        <v>61584.68</v>
      </c>
      <c r="Y360" s="582">
        <f t="shared" si="334"/>
        <v>61584.68</v>
      </c>
      <c r="Z360" s="581">
        <f>+'7,2,1,2 Preinstalación gas'!I30</f>
        <v>927.5</v>
      </c>
      <c r="AA360" s="582">
        <f t="shared" si="335"/>
        <v>927.5</v>
      </c>
      <c r="AB360" s="581">
        <f>+'7,2,1,2 Preinstalación gas'!I41</f>
        <v>0</v>
      </c>
      <c r="AC360" s="582">
        <f t="shared" si="336"/>
        <v>0</v>
      </c>
      <c r="AE360" s="769" t="e">
        <f t="shared" si="313"/>
        <v>#REF!</v>
      </c>
    </row>
    <row r="361" spans="1:31" ht="15" customHeight="1" x14ac:dyDescent="0.2">
      <c r="A361" s="611" t="s">
        <v>1210</v>
      </c>
      <c r="B361" s="601" t="s">
        <v>1211</v>
      </c>
      <c r="C361" s="611" t="s">
        <v>114</v>
      </c>
      <c r="D361" s="576">
        <f t="shared" si="337"/>
        <v>27.8</v>
      </c>
      <c r="E361" s="577" t="e">
        <f t="shared" si="289"/>
        <v>#REF!</v>
      </c>
      <c r="F361" s="577" t="e">
        <f t="shared" si="326"/>
        <v>#REF!</v>
      </c>
      <c r="G361" s="578"/>
      <c r="I361" s="584"/>
      <c r="J361" s="585" t="e">
        <f t="shared" si="327"/>
        <v>#REF!</v>
      </c>
      <c r="K361" s="537"/>
      <c r="L361" s="445" t="e">
        <f t="shared" si="328"/>
        <v>#REF!</v>
      </c>
      <c r="M361" s="542">
        <v>27.8</v>
      </c>
      <c r="N361" s="445" t="e">
        <f t="shared" si="329"/>
        <v>#REF!</v>
      </c>
      <c r="O361" s="542"/>
      <c r="P361" s="445" t="e">
        <f t="shared" si="330"/>
        <v>#REF!</v>
      </c>
      <c r="Q361" s="542"/>
      <c r="R361" s="445" t="e">
        <f t="shared" si="331"/>
        <v>#REF!</v>
      </c>
      <c r="S361" s="542"/>
      <c r="T361" s="445" t="e">
        <f t="shared" si="332"/>
        <v>#REF!</v>
      </c>
      <c r="V361" s="581" t="e">
        <f>+'7,2,1,3 Tuberia  tipo L 1.2"'!I19</f>
        <v>#REF!</v>
      </c>
      <c r="W361" s="582" t="e">
        <f t="shared" si="333"/>
        <v>#REF!</v>
      </c>
      <c r="X361" s="581">
        <f>+'7,2,1,3 Tuberia  tipo L 1.2"'!I50</f>
        <v>6158.47</v>
      </c>
      <c r="Y361" s="582">
        <f t="shared" si="334"/>
        <v>171205.46599999999</v>
      </c>
      <c r="Z361" s="581">
        <f>+'7,2,1,3 Tuberia  tipo L 1.2"'!I30</f>
        <v>1298.5</v>
      </c>
      <c r="AA361" s="582">
        <f t="shared" si="335"/>
        <v>36098.300000000003</v>
      </c>
      <c r="AB361" s="581">
        <f>+'7,2,1,3 Tuberia  tipo L 1.2"'!I41</f>
        <v>0</v>
      </c>
      <c r="AC361" s="582">
        <f t="shared" si="336"/>
        <v>0</v>
      </c>
      <c r="AE361" s="769" t="e">
        <f t="shared" si="313"/>
        <v>#REF!</v>
      </c>
    </row>
    <row r="362" spans="1:31" ht="15" hidden="1" customHeight="1" x14ac:dyDescent="0.2">
      <c r="A362" s="611" t="s">
        <v>1212</v>
      </c>
      <c r="B362" s="601" t="s">
        <v>1213</v>
      </c>
      <c r="C362" s="611" t="s">
        <v>111</v>
      </c>
      <c r="D362" s="576">
        <f t="shared" si="337"/>
        <v>0</v>
      </c>
      <c r="E362" s="577" t="e">
        <f t="shared" si="289"/>
        <v>#REF!</v>
      </c>
      <c r="F362" s="577" t="e">
        <f t="shared" si="326"/>
        <v>#REF!</v>
      </c>
      <c r="G362" s="578"/>
      <c r="I362" s="584"/>
      <c r="J362" s="585" t="e">
        <f t="shared" si="327"/>
        <v>#REF!</v>
      </c>
      <c r="K362" s="537"/>
      <c r="L362" s="445" t="e">
        <f t="shared" si="328"/>
        <v>#REF!</v>
      </c>
      <c r="M362" s="542"/>
      <c r="N362" s="445" t="e">
        <f t="shared" si="329"/>
        <v>#REF!</v>
      </c>
      <c r="O362" s="542"/>
      <c r="P362" s="445" t="e">
        <f t="shared" si="330"/>
        <v>#REF!</v>
      </c>
      <c r="Q362" s="542"/>
      <c r="R362" s="445" t="e">
        <f t="shared" si="331"/>
        <v>#REF!</v>
      </c>
      <c r="S362" s="542"/>
      <c r="T362" s="445" t="e">
        <f t="shared" si="332"/>
        <v>#REF!</v>
      </c>
      <c r="V362" s="581" t="e">
        <f>+'7,2,1,4 Tuberia  tipo L 1"'!I19</f>
        <v>#REF!</v>
      </c>
      <c r="W362" s="582" t="e">
        <f t="shared" si="333"/>
        <v>#REF!</v>
      </c>
      <c r="X362" s="581">
        <f>+'7,2,1,4 Tuberia  tipo L 1"'!I50</f>
        <v>6158.47</v>
      </c>
      <c r="Y362" s="582">
        <f t="shared" si="334"/>
        <v>0</v>
      </c>
      <c r="Z362" s="581">
        <f>+'7,2,1,4 Tuberia  tipo L 1"'!I30</f>
        <v>1298.5</v>
      </c>
      <c r="AA362" s="582">
        <f t="shared" si="335"/>
        <v>0</v>
      </c>
      <c r="AB362" s="581">
        <f>+'7,2,1,4 Tuberia  tipo L 1"'!I41</f>
        <v>0</v>
      </c>
      <c r="AC362" s="582">
        <f t="shared" si="336"/>
        <v>0</v>
      </c>
      <c r="AE362" s="769" t="e">
        <f t="shared" si="313"/>
        <v>#REF!</v>
      </c>
    </row>
    <row r="363" spans="1:31" ht="15" hidden="1" customHeight="1" x14ac:dyDescent="0.2">
      <c r="A363" s="611" t="s">
        <v>1214</v>
      </c>
      <c r="B363" s="601" t="s">
        <v>1215</v>
      </c>
      <c r="C363" s="611" t="s">
        <v>111</v>
      </c>
      <c r="D363" s="576">
        <f t="shared" si="337"/>
        <v>0</v>
      </c>
      <c r="E363" s="577" t="e">
        <f t="shared" si="289"/>
        <v>#REF!</v>
      </c>
      <c r="F363" s="577" t="e">
        <f t="shared" si="326"/>
        <v>#REF!</v>
      </c>
      <c r="G363" s="578"/>
      <c r="I363" s="584"/>
      <c r="J363" s="585" t="e">
        <f t="shared" si="327"/>
        <v>#REF!</v>
      </c>
      <c r="K363" s="537"/>
      <c r="L363" s="445" t="e">
        <f t="shared" si="328"/>
        <v>#REF!</v>
      </c>
      <c r="M363" s="542"/>
      <c r="N363" s="445" t="e">
        <f t="shared" si="329"/>
        <v>#REF!</v>
      </c>
      <c r="O363" s="542"/>
      <c r="P363" s="445" t="e">
        <f t="shared" si="330"/>
        <v>#REF!</v>
      </c>
      <c r="Q363" s="542"/>
      <c r="R363" s="445" t="e">
        <f t="shared" si="331"/>
        <v>#REF!</v>
      </c>
      <c r="S363" s="542"/>
      <c r="T363" s="445" t="e">
        <f t="shared" si="332"/>
        <v>#REF!</v>
      </c>
      <c r="V363" s="581" t="e">
        <f>+'7,2,1,5  Registro bola 1" '!I18</f>
        <v>#REF!</v>
      </c>
      <c r="W363" s="582" t="e">
        <f t="shared" si="333"/>
        <v>#REF!</v>
      </c>
      <c r="X363" s="581">
        <f>+'7,2,1,5  Registro bola 1" '!I49</f>
        <v>9237.7000000000007</v>
      </c>
      <c r="Y363" s="582">
        <f t="shared" si="334"/>
        <v>0</v>
      </c>
      <c r="Z363" s="581">
        <f>+'7,2,1,5  Registro bola 1" '!I29</f>
        <v>1298.5</v>
      </c>
      <c r="AA363" s="582">
        <f t="shared" si="335"/>
        <v>0</v>
      </c>
      <c r="AB363" s="581">
        <f>+'7,2,1,5  Registro bola 1" '!I40</f>
        <v>0</v>
      </c>
      <c r="AC363" s="582">
        <f t="shared" si="336"/>
        <v>0</v>
      </c>
      <c r="AE363" s="769" t="e">
        <f t="shared" si="313"/>
        <v>#REF!</v>
      </c>
    </row>
    <row r="364" spans="1:31" ht="15" hidden="1" customHeight="1" x14ac:dyDescent="0.2">
      <c r="A364" s="611" t="s">
        <v>1216</v>
      </c>
      <c r="B364" s="601" t="s">
        <v>1217</v>
      </c>
      <c r="C364" s="611" t="s">
        <v>111</v>
      </c>
      <c r="D364" s="576">
        <f t="shared" si="337"/>
        <v>0</v>
      </c>
      <c r="E364" s="577">
        <f t="shared" si="289"/>
        <v>0</v>
      </c>
      <c r="F364" s="577">
        <f t="shared" si="326"/>
        <v>0</v>
      </c>
      <c r="G364" s="578"/>
      <c r="I364" s="584"/>
      <c r="J364" s="585">
        <f t="shared" si="327"/>
        <v>0</v>
      </c>
      <c r="K364" s="537"/>
      <c r="L364" s="445">
        <f t="shared" si="328"/>
        <v>0</v>
      </c>
      <c r="M364" s="542"/>
      <c r="N364" s="445">
        <f t="shared" si="329"/>
        <v>0</v>
      </c>
      <c r="O364" s="542"/>
      <c r="P364" s="445">
        <f t="shared" si="330"/>
        <v>0</v>
      </c>
      <c r="Q364" s="542"/>
      <c r="R364" s="445">
        <f t="shared" si="331"/>
        <v>0</v>
      </c>
      <c r="S364" s="542"/>
      <c r="T364" s="445">
        <f t="shared" si="332"/>
        <v>0</v>
      </c>
      <c r="V364" s="645"/>
      <c r="W364" s="582">
        <f t="shared" si="333"/>
        <v>0</v>
      </c>
      <c r="X364" s="645"/>
      <c r="Y364" s="582">
        <f t="shared" si="334"/>
        <v>0</v>
      </c>
      <c r="Z364" s="645"/>
      <c r="AA364" s="582">
        <f t="shared" si="335"/>
        <v>0</v>
      </c>
      <c r="AB364" s="645"/>
      <c r="AC364" s="582">
        <f t="shared" si="336"/>
        <v>0</v>
      </c>
      <c r="AE364" s="769">
        <f t="shared" si="313"/>
        <v>0</v>
      </c>
    </row>
    <row r="365" spans="1:31" s="583" customFormat="1" ht="15" customHeight="1" x14ac:dyDescent="0.2">
      <c r="A365" s="611" t="s">
        <v>1218</v>
      </c>
      <c r="B365" s="601" t="s">
        <v>1219</v>
      </c>
      <c r="C365" s="611" t="s">
        <v>111</v>
      </c>
      <c r="D365" s="576">
        <f t="shared" si="337"/>
        <v>4</v>
      </c>
      <c r="E365" s="577" t="e">
        <f t="shared" si="289"/>
        <v>#REF!</v>
      </c>
      <c r="F365" s="577" t="e">
        <f t="shared" si="326"/>
        <v>#REF!</v>
      </c>
      <c r="G365" s="578"/>
      <c r="H365" s="604"/>
      <c r="I365" s="584"/>
      <c r="J365" s="585" t="e">
        <f t="shared" si="327"/>
        <v>#REF!</v>
      </c>
      <c r="K365" s="537"/>
      <c r="L365" s="445" t="e">
        <f t="shared" si="328"/>
        <v>#REF!</v>
      </c>
      <c r="M365" s="542">
        <v>4</v>
      </c>
      <c r="N365" s="445" t="e">
        <f t="shared" si="329"/>
        <v>#REF!</v>
      </c>
      <c r="O365" s="542"/>
      <c r="P365" s="445" t="e">
        <f t="shared" si="330"/>
        <v>#REF!</v>
      </c>
      <c r="Q365" s="542"/>
      <c r="R365" s="445" t="e">
        <f t="shared" si="331"/>
        <v>#REF!</v>
      </c>
      <c r="S365" s="542"/>
      <c r="T365" s="445" t="e">
        <f t="shared" si="332"/>
        <v>#REF!</v>
      </c>
      <c r="U365" s="604"/>
      <c r="V365" s="581" t="e">
        <f>+'7,2,1,7  Rejilla vent. plastica'!I20</f>
        <v>#REF!</v>
      </c>
      <c r="W365" s="582" t="e">
        <f t="shared" si="333"/>
        <v>#REF!</v>
      </c>
      <c r="X365" s="581">
        <f>+'7,2,1,7  Rejilla vent. plastica'!I51</f>
        <v>8374.7900000000009</v>
      </c>
      <c r="Y365" s="582">
        <f t="shared" si="334"/>
        <v>33499.160000000003</v>
      </c>
      <c r="Z365" s="581">
        <f>+'7,2,1,7  Rejilla vent. plastica'!I31</f>
        <v>148.4</v>
      </c>
      <c r="AA365" s="582">
        <f t="shared" si="335"/>
        <v>593.6</v>
      </c>
      <c r="AB365" s="581">
        <f>+'7,2,1,7  Rejilla vent. plastica'!I42</f>
        <v>0</v>
      </c>
      <c r="AC365" s="582">
        <f t="shared" si="336"/>
        <v>0</v>
      </c>
      <c r="AE365" s="769" t="e">
        <f t="shared" si="313"/>
        <v>#REF!</v>
      </c>
    </row>
    <row r="366" spans="1:31" ht="15" hidden="1" customHeight="1" x14ac:dyDescent="0.2">
      <c r="A366" s="622">
        <v>7.3</v>
      </c>
      <c r="B366" s="623" t="s">
        <v>1220</v>
      </c>
      <c r="C366" s="611" t="s">
        <v>111</v>
      </c>
      <c r="D366" s="576">
        <f t="shared" si="337"/>
        <v>0</v>
      </c>
      <c r="E366" s="577">
        <f t="shared" si="289"/>
        <v>0</v>
      </c>
      <c r="F366" s="577">
        <f t="shared" si="326"/>
        <v>0</v>
      </c>
      <c r="G366" s="578"/>
      <c r="I366" s="584"/>
      <c r="J366" s="585">
        <f t="shared" si="327"/>
        <v>0</v>
      </c>
      <c r="K366" s="537"/>
      <c r="L366" s="445">
        <f t="shared" si="328"/>
        <v>0</v>
      </c>
      <c r="M366" s="542"/>
      <c r="N366" s="445">
        <f t="shared" si="329"/>
        <v>0</v>
      </c>
      <c r="O366" s="542"/>
      <c r="P366" s="445">
        <f t="shared" si="330"/>
        <v>0</v>
      </c>
      <c r="Q366" s="542"/>
      <c r="R366" s="445">
        <f t="shared" si="331"/>
        <v>0</v>
      </c>
      <c r="S366" s="542"/>
      <c r="T366" s="445">
        <f t="shared" si="332"/>
        <v>0</v>
      </c>
      <c r="V366" s="645"/>
      <c r="W366" s="582">
        <f t="shared" si="333"/>
        <v>0</v>
      </c>
      <c r="X366" s="645"/>
      <c r="Y366" s="582">
        <f t="shared" si="334"/>
        <v>0</v>
      </c>
      <c r="Z366" s="645"/>
      <c r="AA366" s="582">
        <f t="shared" si="335"/>
        <v>0</v>
      </c>
      <c r="AB366" s="645"/>
      <c r="AC366" s="582">
        <f t="shared" si="336"/>
        <v>0</v>
      </c>
      <c r="AE366" s="769">
        <f t="shared" si="313"/>
        <v>0</v>
      </c>
    </row>
    <row r="367" spans="1:31" ht="15" hidden="1" customHeight="1" x14ac:dyDescent="0.2">
      <c r="A367" s="627" t="s">
        <v>1221</v>
      </c>
      <c r="B367" s="610" t="s">
        <v>1222</v>
      </c>
      <c r="C367" s="611" t="s">
        <v>111</v>
      </c>
      <c r="D367" s="576">
        <f t="shared" si="337"/>
        <v>0</v>
      </c>
      <c r="E367" s="577">
        <f t="shared" si="289"/>
        <v>0</v>
      </c>
      <c r="F367" s="577">
        <f t="shared" si="326"/>
        <v>0</v>
      </c>
      <c r="G367" s="578"/>
      <c r="I367" s="584"/>
      <c r="J367" s="585">
        <f t="shared" si="327"/>
        <v>0</v>
      </c>
      <c r="K367" s="537"/>
      <c r="L367" s="445">
        <f t="shared" si="328"/>
        <v>0</v>
      </c>
      <c r="M367" s="542"/>
      <c r="N367" s="445">
        <f t="shared" si="329"/>
        <v>0</v>
      </c>
      <c r="O367" s="542"/>
      <c r="P367" s="445">
        <f t="shared" si="330"/>
        <v>0</v>
      </c>
      <c r="Q367" s="542"/>
      <c r="R367" s="445">
        <f t="shared" si="331"/>
        <v>0</v>
      </c>
      <c r="S367" s="542"/>
      <c r="T367" s="445">
        <f t="shared" si="332"/>
        <v>0</v>
      </c>
      <c r="V367" s="645"/>
      <c r="W367" s="582">
        <f t="shared" si="333"/>
        <v>0</v>
      </c>
      <c r="X367" s="645"/>
      <c r="Y367" s="582">
        <f t="shared" si="334"/>
        <v>0</v>
      </c>
      <c r="Z367" s="645"/>
      <c r="AA367" s="582">
        <f t="shared" si="335"/>
        <v>0</v>
      </c>
      <c r="AB367" s="645"/>
      <c r="AC367" s="582">
        <f t="shared" si="336"/>
        <v>0</v>
      </c>
      <c r="AE367" s="769">
        <f t="shared" si="313"/>
        <v>0</v>
      </c>
    </row>
    <row r="368" spans="1:31" ht="15" hidden="1" customHeight="1" x14ac:dyDescent="0.2">
      <c r="A368" s="611" t="s">
        <v>1223</v>
      </c>
      <c r="B368" s="601" t="s">
        <v>1224</v>
      </c>
      <c r="C368" s="611" t="s">
        <v>114</v>
      </c>
      <c r="D368" s="576">
        <f t="shared" si="337"/>
        <v>0</v>
      </c>
      <c r="E368" s="577">
        <f t="shared" si="289"/>
        <v>0</v>
      </c>
      <c r="F368" s="577">
        <f t="shared" si="326"/>
        <v>0</v>
      </c>
      <c r="G368" s="578"/>
      <c r="I368" s="584"/>
      <c r="J368" s="585">
        <f t="shared" si="327"/>
        <v>0</v>
      </c>
      <c r="K368" s="537"/>
      <c r="L368" s="445">
        <f t="shared" si="328"/>
        <v>0</v>
      </c>
      <c r="M368" s="542"/>
      <c r="N368" s="445">
        <f t="shared" si="329"/>
        <v>0</v>
      </c>
      <c r="O368" s="542"/>
      <c r="P368" s="445">
        <f t="shared" si="330"/>
        <v>0</v>
      </c>
      <c r="Q368" s="542"/>
      <c r="R368" s="445">
        <f t="shared" si="331"/>
        <v>0</v>
      </c>
      <c r="S368" s="542"/>
      <c r="T368" s="445">
        <f t="shared" si="332"/>
        <v>0</v>
      </c>
      <c r="V368" s="645"/>
      <c r="W368" s="582">
        <f t="shared" si="333"/>
        <v>0</v>
      </c>
      <c r="X368" s="645"/>
      <c r="Y368" s="582">
        <f t="shared" si="334"/>
        <v>0</v>
      </c>
      <c r="Z368" s="645"/>
      <c r="AA368" s="582">
        <f t="shared" si="335"/>
        <v>0</v>
      </c>
      <c r="AB368" s="645"/>
      <c r="AC368" s="582">
        <f t="shared" si="336"/>
        <v>0</v>
      </c>
      <c r="AE368" s="769">
        <f t="shared" si="313"/>
        <v>0</v>
      </c>
    </row>
    <row r="369" spans="1:31" ht="15" hidden="1" customHeight="1" x14ac:dyDescent="0.2">
      <c r="A369" s="611" t="s">
        <v>1225</v>
      </c>
      <c r="B369" s="601" t="s">
        <v>1226</v>
      </c>
      <c r="C369" s="611" t="s">
        <v>114</v>
      </c>
      <c r="D369" s="576">
        <f t="shared" si="337"/>
        <v>0</v>
      </c>
      <c r="E369" s="577">
        <f t="shared" si="289"/>
        <v>0</v>
      </c>
      <c r="F369" s="577">
        <f t="shared" si="326"/>
        <v>0</v>
      </c>
      <c r="G369" s="578"/>
      <c r="I369" s="597"/>
      <c r="J369" s="598">
        <f t="shared" si="327"/>
        <v>0</v>
      </c>
      <c r="K369" s="537"/>
      <c r="L369" s="445">
        <f t="shared" si="328"/>
        <v>0</v>
      </c>
      <c r="M369" s="542"/>
      <c r="N369" s="445">
        <f t="shared" si="329"/>
        <v>0</v>
      </c>
      <c r="O369" s="542"/>
      <c r="P369" s="445">
        <f t="shared" si="330"/>
        <v>0</v>
      </c>
      <c r="Q369" s="542"/>
      <c r="R369" s="445">
        <f t="shared" si="331"/>
        <v>0</v>
      </c>
      <c r="S369" s="542"/>
      <c r="T369" s="445">
        <f t="shared" si="332"/>
        <v>0</v>
      </c>
      <c r="V369" s="645"/>
      <c r="W369" s="582">
        <f t="shared" si="333"/>
        <v>0</v>
      </c>
      <c r="X369" s="645"/>
      <c r="Y369" s="582">
        <f t="shared" si="334"/>
        <v>0</v>
      </c>
      <c r="Z369" s="645"/>
      <c r="AA369" s="582">
        <f t="shared" si="335"/>
        <v>0</v>
      </c>
      <c r="AB369" s="645"/>
      <c r="AC369" s="582">
        <f t="shared" si="336"/>
        <v>0</v>
      </c>
      <c r="AE369" s="769">
        <f t="shared" si="313"/>
        <v>0</v>
      </c>
    </row>
    <row r="370" spans="1:31" ht="15" hidden="1" customHeight="1" x14ac:dyDescent="0.2">
      <c r="A370" s="572" t="s">
        <v>1227</v>
      </c>
      <c r="B370" s="573" t="s">
        <v>1174</v>
      </c>
      <c r="C370" s="846"/>
      <c r="D370" s="576"/>
      <c r="E370" s="577"/>
      <c r="F370" s="626">
        <f>+ROUND(SUM(F371:F372),10)</f>
        <v>0</v>
      </c>
      <c r="G370" s="473"/>
      <c r="H370" s="568"/>
      <c r="I370" s="613"/>
      <c r="J370" s="440">
        <f>ROUND(SUM(J371:J372),10)</f>
        <v>0</v>
      </c>
      <c r="K370" s="537"/>
      <c r="L370" s="180">
        <f>ROUND(SUM(L371:L372),10)</f>
        <v>0</v>
      </c>
      <c r="M370" s="542"/>
      <c r="N370" s="180">
        <f>ROUND(SUM(N371:N372),10)</f>
        <v>0</v>
      </c>
      <c r="O370" s="542"/>
      <c r="P370" s="180">
        <f>ROUND(SUM(P371:P372),10)</f>
        <v>0</v>
      </c>
      <c r="Q370" s="542"/>
      <c r="R370" s="180">
        <f>ROUND(SUM(R371:R372),10)</f>
        <v>0</v>
      </c>
      <c r="S370" s="542"/>
      <c r="T370" s="180">
        <f>ROUND(SUM(T371:T372),10)</f>
        <v>0</v>
      </c>
      <c r="U370" s="568"/>
      <c r="V370" s="646"/>
      <c r="W370" s="570">
        <f>ROUND(SUM(W371:W372),10)</f>
        <v>0</v>
      </c>
      <c r="X370" s="646"/>
      <c r="Y370" s="570">
        <f>ROUND(SUM(Y371:Y372),10)</f>
        <v>0</v>
      </c>
      <c r="Z370" s="646"/>
      <c r="AA370" s="570">
        <f>ROUND(SUM(AA371:AA372),10)</f>
        <v>0</v>
      </c>
      <c r="AB370" s="646"/>
      <c r="AC370" s="570">
        <f>ROUND(SUM(AC371:AC372),10)</f>
        <v>0</v>
      </c>
      <c r="AE370" s="769">
        <f t="shared" si="313"/>
        <v>0</v>
      </c>
    </row>
    <row r="371" spans="1:31" ht="15" hidden="1" customHeight="1" x14ac:dyDescent="0.2">
      <c r="A371" s="611" t="s">
        <v>1228</v>
      </c>
      <c r="B371" s="601" t="s">
        <v>1229</v>
      </c>
      <c r="C371" s="611" t="s">
        <v>111</v>
      </c>
      <c r="D371" s="576">
        <f>+I371+K371+M371+O371+Q371+S371</f>
        <v>0</v>
      </c>
      <c r="E371" s="577">
        <f t="shared" si="289"/>
        <v>0</v>
      </c>
      <c r="F371" s="577">
        <f>ROUND(D371*E371,10)</f>
        <v>0</v>
      </c>
      <c r="G371" s="578"/>
      <c r="I371" s="594"/>
      <c r="J371" s="580">
        <f>+ROUND(E371*I371,10)</f>
        <v>0</v>
      </c>
      <c r="K371" s="537"/>
      <c r="L371" s="445">
        <f>+ROUND(E371*K371,10)</f>
        <v>0</v>
      </c>
      <c r="M371" s="542"/>
      <c r="N371" s="445">
        <f>+ROUND(E371*M371,10)</f>
        <v>0</v>
      </c>
      <c r="O371" s="542"/>
      <c r="P371" s="445">
        <f>+ROUND(E371*O371,10)</f>
        <v>0</v>
      </c>
      <c r="Q371" s="542"/>
      <c r="R371" s="445">
        <f>+ROUND(E371*Q371,10)</f>
        <v>0</v>
      </c>
      <c r="S371" s="542"/>
      <c r="T371" s="445">
        <f>+ROUND(E371*S371,10)</f>
        <v>0</v>
      </c>
      <c r="V371" s="645"/>
      <c r="W371" s="582">
        <f>ROUND(V371*$D371,10)</f>
        <v>0</v>
      </c>
      <c r="X371" s="645"/>
      <c r="Y371" s="582">
        <f>ROUND(X371*$D371,10)</f>
        <v>0</v>
      </c>
      <c r="Z371" s="645"/>
      <c r="AA371" s="582">
        <f>ROUND(Z371*$D371,10)</f>
        <v>0</v>
      </c>
      <c r="AB371" s="645"/>
      <c r="AC371" s="582">
        <f>ROUND(AB371*$D371,10)</f>
        <v>0</v>
      </c>
      <c r="AE371" s="769">
        <f t="shared" si="313"/>
        <v>0</v>
      </c>
    </row>
    <row r="372" spans="1:31" ht="15" hidden="1" customHeight="1" thickBot="1" x14ac:dyDescent="0.25">
      <c r="A372" s="611" t="s">
        <v>1230</v>
      </c>
      <c r="B372" s="601" t="s">
        <v>1231</v>
      </c>
      <c r="C372" s="611" t="s">
        <v>111</v>
      </c>
      <c r="D372" s="576">
        <f>+I372+K372+M372+O372+Q372+S372</f>
        <v>0</v>
      </c>
      <c r="E372" s="577">
        <f t="shared" si="289"/>
        <v>0</v>
      </c>
      <c r="F372" s="577">
        <f>ROUND(D372*E372,10)</f>
        <v>0</v>
      </c>
      <c r="G372" s="578"/>
      <c r="H372" s="636"/>
      <c r="I372" s="654"/>
      <c r="J372" s="603">
        <f>+ROUND(E372*I372,10)</f>
        <v>0</v>
      </c>
      <c r="K372" s="537"/>
      <c r="L372" s="445">
        <f>+ROUND(E372*K372,10)</f>
        <v>0</v>
      </c>
      <c r="M372" s="542"/>
      <c r="N372" s="445">
        <f>+ROUND(E372*M372,10)</f>
        <v>0</v>
      </c>
      <c r="O372" s="542"/>
      <c r="P372" s="445">
        <f>+ROUND(E372*O372,10)</f>
        <v>0</v>
      </c>
      <c r="Q372" s="542"/>
      <c r="R372" s="445">
        <f>+ROUND(E372*Q372,10)</f>
        <v>0</v>
      </c>
      <c r="S372" s="542"/>
      <c r="T372" s="445">
        <f>+ROUND(E372*S372,10)</f>
        <v>0</v>
      </c>
      <c r="V372" s="645"/>
      <c r="W372" s="582">
        <f>ROUND(V372*$D372,10)</f>
        <v>0</v>
      </c>
      <c r="X372" s="645"/>
      <c r="Y372" s="582">
        <f>ROUND(X372*$D372,10)</f>
        <v>0</v>
      </c>
      <c r="Z372" s="645"/>
      <c r="AA372" s="582">
        <f>ROUND(Z372*$D372,10)</f>
        <v>0</v>
      </c>
      <c r="AB372" s="645"/>
      <c r="AC372" s="582">
        <f>ROUND(AB372*$D372,10)</f>
        <v>0</v>
      </c>
      <c r="AE372" s="769">
        <f t="shared" si="313"/>
        <v>0</v>
      </c>
    </row>
    <row r="373" spans="1:31" ht="15" hidden="1" customHeight="1" thickTop="1" x14ac:dyDescent="0.2">
      <c r="A373" s="611"/>
      <c r="B373" s="601"/>
      <c r="C373" s="611"/>
      <c r="D373" s="576"/>
      <c r="E373" s="577"/>
      <c r="F373" s="577"/>
      <c r="G373" s="578"/>
      <c r="I373" s="604"/>
      <c r="J373" s="635"/>
      <c r="K373" s="537"/>
      <c r="L373" s="445"/>
      <c r="M373" s="542"/>
      <c r="N373" s="445"/>
      <c r="O373" s="542"/>
      <c r="P373" s="445"/>
      <c r="Q373" s="542"/>
      <c r="R373" s="445"/>
      <c r="S373" s="542"/>
      <c r="T373" s="445"/>
      <c r="V373" s="645"/>
      <c r="W373" s="582"/>
      <c r="X373" s="645"/>
      <c r="Y373" s="582"/>
      <c r="Z373" s="645"/>
      <c r="AA373" s="582"/>
      <c r="AB373" s="645"/>
      <c r="AC373" s="582"/>
      <c r="AE373" s="769">
        <f t="shared" si="313"/>
        <v>0</v>
      </c>
    </row>
    <row r="374" spans="1:31" s="657" customFormat="1" ht="6.75" customHeight="1" thickBot="1" x14ac:dyDescent="0.25">
      <c r="A374" s="919"/>
      <c r="B374" s="920"/>
      <c r="C374" s="919"/>
      <c r="D374" s="655"/>
      <c r="E374" s="656"/>
      <c r="F374" s="656"/>
      <c r="G374" s="656"/>
      <c r="I374" s="658"/>
      <c r="J374" s="658"/>
      <c r="K374" s="659"/>
      <c r="L374" s="658"/>
      <c r="M374" s="174"/>
      <c r="N374" s="658"/>
      <c r="O374" s="174"/>
      <c r="P374" s="658"/>
      <c r="Q374" s="174"/>
      <c r="R374" s="658"/>
      <c r="S374" s="174"/>
      <c r="T374" s="658"/>
      <c r="V374" s="660"/>
      <c r="W374" s="660"/>
      <c r="X374" s="660"/>
      <c r="Y374" s="660"/>
      <c r="Z374" s="660"/>
      <c r="AA374" s="660"/>
      <c r="AB374" s="660"/>
      <c r="AC374" s="660"/>
      <c r="AE374" s="769"/>
    </row>
    <row r="375" spans="1:31" ht="30" customHeight="1" thickTop="1" x14ac:dyDescent="0.2">
      <c r="A375" s="564" t="s">
        <v>1232</v>
      </c>
      <c r="B375" s="1068" t="s">
        <v>1233</v>
      </c>
      <c r="C375" s="1069"/>
      <c r="D375" s="1069"/>
      <c r="E375" s="1069"/>
      <c r="F375" s="1070"/>
      <c r="G375" s="180" t="e">
        <f>ROUND(SUM(F376:F467),10)</f>
        <v>#REF!</v>
      </c>
      <c r="H375" s="568"/>
      <c r="I375" s="616"/>
      <c r="J375" s="439" t="e">
        <f>+ROUND(#REF!+#REF!+#REF!+#REF!+#REF!+#REF!+#REF!+#REF!+#REF!+#REF!+#REF!+#REF!+#REF!+#REF!+#REF!+#REF!+#REF!+#REF!,10)</f>
        <v>#REF!</v>
      </c>
      <c r="K375" s="617"/>
      <c r="L375" s="180" t="e">
        <f>ROUND(SUM(L376:L467),10)</f>
        <v>#REF!</v>
      </c>
      <c r="M375" s="180"/>
      <c r="N375" s="180" t="e">
        <f>ROUND(SUM(N376:N467),10)</f>
        <v>#REF!</v>
      </c>
      <c r="O375" s="180"/>
      <c r="P375" s="180" t="e">
        <f>ROUND(SUM(P376:P467),10)</f>
        <v>#REF!</v>
      </c>
      <c r="Q375" s="180"/>
      <c r="R375" s="180" t="e">
        <f>ROUND(SUM(R376:R467),10)</f>
        <v>#REF!</v>
      </c>
      <c r="S375" s="180"/>
      <c r="T375" s="180" t="e">
        <f>ROUND(SUM(T376:T467),10)</f>
        <v>#REF!</v>
      </c>
      <c r="U375" s="568"/>
      <c r="V375" s="569" t="e">
        <f>W375/$G375</f>
        <v>#REF!</v>
      </c>
      <c r="W375" s="180" t="e">
        <f>ROUND(SUM(W376:W467),10)</f>
        <v>#REF!</v>
      </c>
      <c r="X375" s="569" t="e">
        <f>Y375/$G375</f>
        <v>#REF!</v>
      </c>
      <c r="Y375" s="180" t="e">
        <f>ROUND(SUM(Y376:Y467),10)</f>
        <v>#REF!</v>
      </c>
      <c r="Z375" s="569" t="e">
        <f>AA375/$G375</f>
        <v>#REF!</v>
      </c>
      <c r="AA375" s="180" t="e">
        <f>ROUND(SUM(AA376:AA467),10)</f>
        <v>#REF!</v>
      </c>
      <c r="AB375" s="569" t="e">
        <f>AC375/$G375</f>
        <v>#REF!</v>
      </c>
      <c r="AC375" s="180" t="e">
        <f>ROUND(SUM(AC376:AC467),10)</f>
        <v>#REF!</v>
      </c>
      <c r="AE375" s="769" t="e">
        <f t="shared" si="313"/>
        <v>#REF!</v>
      </c>
    </row>
    <row r="376" spans="1:31" ht="51" x14ac:dyDescent="0.2">
      <c r="A376" s="661">
        <v>8.1</v>
      </c>
      <c r="B376" s="601" t="s">
        <v>1234</v>
      </c>
      <c r="C376" s="611" t="s">
        <v>110</v>
      </c>
      <c r="D376" s="576">
        <f t="shared" ref="D376:D439" si="338">+I376+K376+M376+O376+Q376+S376</f>
        <v>90</v>
      </c>
      <c r="E376" s="577" t="e">
        <f t="shared" ref="E376:E439" si="339">V376+X376+Z376+AB376</f>
        <v>#REF!</v>
      </c>
      <c r="F376" s="577" t="e">
        <f t="shared" ref="F376:F439" si="340">ROUND(D376*E376,10)</f>
        <v>#REF!</v>
      </c>
      <c r="G376" s="578"/>
      <c r="I376" s="594"/>
      <c r="J376" s="580" t="e">
        <f>+ROUND(E376*I376,10)</f>
        <v>#REF!</v>
      </c>
      <c r="K376" s="537">
        <v>81</v>
      </c>
      <c r="L376" s="445" t="e">
        <f>+ROUND(E376*K376,10)</f>
        <v>#REF!</v>
      </c>
      <c r="M376" s="542">
        <v>9</v>
      </c>
      <c r="N376" s="445" t="e">
        <f>+ROUND(E376*M376,10)</f>
        <v>#REF!</v>
      </c>
      <c r="O376" s="542"/>
      <c r="P376" s="445" t="e">
        <f>+ROUND(E376*O376,10)</f>
        <v>#REF!</v>
      </c>
      <c r="Q376" s="542"/>
      <c r="R376" s="445" t="e">
        <f>+ROUND(E376*Q376,10)</f>
        <v>#REF!</v>
      </c>
      <c r="S376" s="542"/>
      <c r="T376" s="445" t="e">
        <f>+ROUND(E376*S376,10)</f>
        <v>#REF!</v>
      </c>
      <c r="V376" s="581" t="e">
        <f>+#REF!</f>
        <v>#REF!</v>
      </c>
      <c r="W376" s="582" t="e">
        <f>ROUND(V376*$D376,10)</f>
        <v>#REF!</v>
      </c>
      <c r="X376" s="581" t="e">
        <f>+#REF!</f>
        <v>#REF!</v>
      </c>
      <c r="Y376" s="582" t="e">
        <f>ROUND(X376*$D376,10)</f>
        <v>#REF!</v>
      </c>
      <c r="Z376" s="581" t="e">
        <f>+#REF!</f>
        <v>#REF!</v>
      </c>
      <c r="AA376" s="582" t="e">
        <f>ROUND(Z376*$D376,10)</f>
        <v>#REF!</v>
      </c>
      <c r="AB376" s="581" t="e">
        <f>+#REF!</f>
        <v>#REF!</v>
      </c>
      <c r="AC376" s="582" t="e">
        <f>ROUND(AB376*$D376,10)</f>
        <v>#REF!</v>
      </c>
      <c r="AE376" s="769" t="e">
        <f t="shared" si="313"/>
        <v>#REF!</v>
      </c>
    </row>
    <row r="377" spans="1:31" ht="63.75" x14ac:dyDescent="0.2">
      <c r="A377" s="661">
        <v>8.1999999999999993</v>
      </c>
      <c r="B377" s="601" t="s">
        <v>1235</v>
      </c>
      <c r="C377" s="611" t="s">
        <v>110</v>
      </c>
      <c r="D377" s="576">
        <f t="shared" si="338"/>
        <v>32</v>
      </c>
      <c r="E377" s="577" t="e">
        <f t="shared" si="339"/>
        <v>#REF!</v>
      </c>
      <c r="F377" s="577" t="e">
        <f t="shared" si="340"/>
        <v>#REF!</v>
      </c>
      <c r="G377" s="578"/>
      <c r="I377" s="594"/>
      <c r="J377" s="580" t="e">
        <f t="shared" ref="J377:J440" si="341">+ROUND(E377*I377,10)</f>
        <v>#REF!</v>
      </c>
      <c r="K377" s="537"/>
      <c r="L377" s="445" t="e">
        <f t="shared" ref="L377:L440" si="342">+ROUND(E377*K377,10)</f>
        <v>#REF!</v>
      </c>
      <c r="M377" s="542">
        <v>2</v>
      </c>
      <c r="N377" s="445" t="e">
        <f t="shared" ref="N377:N440" si="343">+ROUND(E377*M377,10)</f>
        <v>#REF!</v>
      </c>
      <c r="O377" s="542">
        <v>20</v>
      </c>
      <c r="P377" s="445" t="e">
        <f t="shared" ref="P377:P440" si="344">+ROUND(E377*O377,10)</f>
        <v>#REF!</v>
      </c>
      <c r="Q377" s="542">
        <v>9</v>
      </c>
      <c r="R377" s="445" t="e">
        <f t="shared" ref="R377:R440" si="345">+ROUND(E377*Q377,10)</f>
        <v>#REF!</v>
      </c>
      <c r="S377" s="542">
        <v>1</v>
      </c>
      <c r="T377" s="445" t="e">
        <f t="shared" ref="T377:T440" si="346">+ROUND(E377*S377,10)</f>
        <v>#REF!</v>
      </c>
      <c r="V377" s="581" t="e">
        <f>+#REF!</f>
        <v>#REF!</v>
      </c>
      <c r="W377" s="582" t="e">
        <f t="shared" ref="W377:W440" si="347">ROUND(V377*$D377,10)</f>
        <v>#REF!</v>
      </c>
      <c r="X377" s="581" t="e">
        <f>+#REF!</f>
        <v>#REF!</v>
      </c>
      <c r="Y377" s="582" t="e">
        <f>ROUND(X377*$D377,10)</f>
        <v>#REF!</v>
      </c>
      <c r="Z377" s="581" t="e">
        <f>+#REF!</f>
        <v>#REF!</v>
      </c>
      <c r="AA377" s="582" t="e">
        <f>ROUND(Z377*$D377,10)</f>
        <v>#REF!</v>
      </c>
      <c r="AB377" s="581" t="e">
        <f>+#REF!</f>
        <v>#REF!</v>
      </c>
      <c r="AC377" s="582" t="e">
        <f>ROUND(AB377*$D377,10)</f>
        <v>#REF!</v>
      </c>
      <c r="AE377" s="769" t="e">
        <f t="shared" si="313"/>
        <v>#REF!</v>
      </c>
    </row>
    <row r="378" spans="1:31" ht="51" x14ac:dyDescent="0.2">
      <c r="A378" s="661">
        <v>8.3000000000000007</v>
      </c>
      <c r="B378" s="601" t="s">
        <v>1236</v>
      </c>
      <c r="C378" s="611" t="s">
        <v>110</v>
      </c>
      <c r="D378" s="576">
        <f t="shared" si="338"/>
        <v>57</v>
      </c>
      <c r="E378" s="577" t="e">
        <f t="shared" si="339"/>
        <v>#REF!</v>
      </c>
      <c r="F378" s="577" t="e">
        <f t="shared" si="340"/>
        <v>#REF!</v>
      </c>
      <c r="G378" s="578"/>
      <c r="I378" s="594"/>
      <c r="J378" s="580" t="e">
        <f t="shared" si="341"/>
        <v>#REF!</v>
      </c>
      <c r="K378" s="537">
        <v>36</v>
      </c>
      <c r="L378" s="445" t="e">
        <f t="shared" si="342"/>
        <v>#REF!</v>
      </c>
      <c r="M378" s="542">
        <v>13</v>
      </c>
      <c r="N378" s="445" t="e">
        <f t="shared" si="343"/>
        <v>#REF!</v>
      </c>
      <c r="O378" s="542">
        <v>4</v>
      </c>
      <c r="P378" s="445" t="e">
        <f t="shared" si="344"/>
        <v>#REF!</v>
      </c>
      <c r="Q378" s="542">
        <v>4</v>
      </c>
      <c r="R378" s="445" t="e">
        <f t="shared" si="345"/>
        <v>#REF!</v>
      </c>
      <c r="S378" s="542"/>
      <c r="T378" s="445" t="e">
        <f t="shared" si="346"/>
        <v>#REF!</v>
      </c>
      <c r="V378" s="581" t="e">
        <f>+#REF!</f>
        <v>#REF!</v>
      </c>
      <c r="W378" s="582" t="e">
        <f t="shared" si="347"/>
        <v>#REF!</v>
      </c>
      <c r="X378" s="581" t="e">
        <f>+#REF!</f>
        <v>#REF!</v>
      </c>
      <c r="Y378" s="582" t="e">
        <f t="shared" ref="Y378:Y441" si="348">ROUND(X378*$D378,10)</f>
        <v>#REF!</v>
      </c>
      <c r="Z378" s="581" t="e">
        <f>+#REF!</f>
        <v>#REF!</v>
      </c>
      <c r="AA378" s="582" t="e">
        <f t="shared" ref="AA378:AA441" si="349">ROUND(Z378*$D378,10)</f>
        <v>#REF!</v>
      </c>
      <c r="AB378" s="581" t="e">
        <f>+#REF!</f>
        <v>#REF!</v>
      </c>
      <c r="AC378" s="582" t="e">
        <f t="shared" ref="AC378:AC441" si="350">ROUND(AB378*$D378,10)</f>
        <v>#REF!</v>
      </c>
      <c r="AE378" s="769" t="e">
        <f t="shared" si="313"/>
        <v>#REF!</v>
      </c>
    </row>
    <row r="379" spans="1:31" ht="51" x14ac:dyDescent="0.2">
      <c r="A379" s="661">
        <v>8.4</v>
      </c>
      <c r="B379" s="601" t="s">
        <v>1237</v>
      </c>
      <c r="C379" s="611" t="s">
        <v>110</v>
      </c>
      <c r="D379" s="576">
        <f t="shared" si="338"/>
        <v>3</v>
      </c>
      <c r="E379" s="577" t="e">
        <f t="shared" si="339"/>
        <v>#REF!</v>
      </c>
      <c r="F379" s="577" t="e">
        <f t="shared" si="340"/>
        <v>#REF!</v>
      </c>
      <c r="G379" s="578"/>
      <c r="I379" s="594"/>
      <c r="J379" s="580" t="e">
        <f t="shared" si="341"/>
        <v>#REF!</v>
      </c>
      <c r="K379" s="537"/>
      <c r="L379" s="445" t="e">
        <f t="shared" si="342"/>
        <v>#REF!</v>
      </c>
      <c r="M379" s="542">
        <v>3</v>
      </c>
      <c r="N379" s="445" t="e">
        <f t="shared" si="343"/>
        <v>#REF!</v>
      </c>
      <c r="O379" s="542"/>
      <c r="P379" s="445" t="e">
        <f t="shared" si="344"/>
        <v>#REF!</v>
      </c>
      <c r="Q379" s="542"/>
      <c r="R379" s="445" t="e">
        <f t="shared" si="345"/>
        <v>#REF!</v>
      </c>
      <c r="S379" s="542"/>
      <c r="T379" s="445" t="e">
        <f t="shared" si="346"/>
        <v>#REF!</v>
      </c>
      <c r="V379" s="581" t="e">
        <f>+#REF!</f>
        <v>#REF!</v>
      </c>
      <c r="W379" s="582" t="e">
        <f t="shared" si="347"/>
        <v>#REF!</v>
      </c>
      <c r="X379" s="581" t="e">
        <f>+#REF!</f>
        <v>#REF!</v>
      </c>
      <c r="Y379" s="582" t="e">
        <f t="shared" si="348"/>
        <v>#REF!</v>
      </c>
      <c r="Z379" s="581" t="e">
        <f>+#REF!</f>
        <v>#REF!</v>
      </c>
      <c r="AA379" s="582" t="e">
        <f t="shared" si="349"/>
        <v>#REF!</v>
      </c>
      <c r="AB379" s="581" t="e">
        <f>+#REF!</f>
        <v>#REF!</v>
      </c>
      <c r="AC379" s="582" t="e">
        <f t="shared" si="350"/>
        <v>#REF!</v>
      </c>
      <c r="AE379" s="769" t="e">
        <f t="shared" si="313"/>
        <v>#REF!</v>
      </c>
    </row>
    <row r="380" spans="1:31" ht="38.25" hidden="1" customHeight="1" x14ac:dyDescent="0.2">
      <c r="A380" s="661">
        <v>8.5</v>
      </c>
      <c r="B380" s="601" t="s">
        <v>1238</v>
      </c>
      <c r="C380" s="611" t="s">
        <v>110</v>
      </c>
      <c r="D380" s="576">
        <f t="shared" si="338"/>
        <v>0</v>
      </c>
      <c r="E380" s="577" t="e">
        <f t="shared" si="339"/>
        <v>#REF!</v>
      </c>
      <c r="F380" s="577" t="e">
        <f t="shared" si="340"/>
        <v>#REF!</v>
      </c>
      <c r="G380" s="578"/>
      <c r="I380" s="594"/>
      <c r="J380" s="580" t="e">
        <f t="shared" si="341"/>
        <v>#REF!</v>
      </c>
      <c r="K380" s="537"/>
      <c r="L380" s="445" t="e">
        <f t="shared" si="342"/>
        <v>#REF!</v>
      </c>
      <c r="M380" s="542"/>
      <c r="N380" s="445" t="e">
        <f t="shared" si="343"/>
        <v>#REF!</v>
      </c>
      <c r="O380" s="542"/>
      <c r="P380" s="445" t="e">
        <f t="shared" si="344"/>
        <v>#REF!</v>
      </c>
      <c r="Q380" s="542"/>
      <c r="R380" s="445" t="e">
        <f t="shared" si="345"/>
        <v>#REF!</v>
      </c>
      <c r="S380" s="542"/>
      <c r="T380" s="445" t="e">
        <f t="shared" si="346"/>
        <v>#REF!</v>
      </c>
      <c r="V380" s="581" t="e">
        <f>+'8,5'!$I$22</f>
        <v>#REF!</v>
      </c>
      <c r="W380" s="582" t="e">
        <f t="shared" si="347"/>
        <v>#REF!</v>
      </c>
      <c r="X380" s="581">
        <f>+'8,5'!$I$53</f>
        <v>19400.330000000002</v>
      </c>
      <c r="Y380" s="582">
        <f t="shared" si="348"/>
        <v>0</v>
      </c>
      <c r="Z380" s="581">
        <f>+'8,5'!$I$33</f>
        <v>416.85</v>
      </c>
      <c r="AA380" s="582">
        <f t="shared" si="349"/>
        <v>0</v>
      </c>
      <c r="AB380" s="581">
        <f>+'8,5'!$I$44</f>
        <v>0</v>
      </c>
      <c r="AC380" s="582">
        <f t="shared" si="350"/>
        <v>0</v>
      </c>
      <c r="AE380" s="769" t="e">
        <f t="shared" si="313"/>
        <v>#REF!</v>
      </c>
    </row>
    <row r="381" spans="1:31" ht="38.25" x14ac:dyDescent="0.2">
      <c r="A381" s="661">
        <v>8.6</v>
      </c>
      <c r="B381" s="601" t="s">
        <v>1239</v>
      </c>
      <c r="C381" s="611" t="s">
        <v>110</v>
      </c>
      <c r="D381" s="576">
        <f t="shared" si="338"/>
        <v>20</v>
      </c>
      <c r="E381" s="577" t="e">
        <f t="shared" si="339"/>
        <v>#REF!</v>
      </c>
      <c r="F381" s="577" t="e">
        <f t="shared" si="340"/>
        <v>#REF!</v>
      </c>
      <c r="G381" s="578"/>
      <c r="I381" s="594"/>
      <c r="J381" s="580" t="e">
        <f t="shared" si="341"/>
        <v>#REF!</v>
      </c>
      <c r="K381" s="537">
        <v>18</v>
      </c>
      <c r="L381" s="445" t="e">
        <f t="shared" si="342"/>
        <v>#REF!</v>
      </c>
      <c r="M381" s="542">
        <v>2</v>
      </c>
      <c r="N381" s="445" t="e">
        <f t="shared" si="343"/>
        <v>#REF!</v>
      </c>
      <c r="O381" s="542"/>
      <c r="P381" s="445" t="e">
        <f t="shared" si="344"/>
        <v>#REF!</v>
      </c>
      <c r="Q381" s="542"/>
      <c r="R381" s="445" t="e">
        <f t="shared" si="345"/>
        <v>#REF!</v>
      </c>
      <c r="S381" s="542"/>
      <c r="T381" s="445" t="e">
        <f t="shared" si="346"/>
        <v>#REF!</v>
      </c>
      <c r="V381" s="581" t="e">
        <f>+#REF!</f>
        <v>#REF!</v>
      </c>
      <c r="W381" s="582" t="e">
        <f t="shared" si="347"/>
        <v>#REF!</v>
      </c>
      <c r="X381" s="581" t="e">
        <f>+#REF!</f>
        <v>#REF!</v>
      </c>
      <c r="Y381" s="582" t="e">
        <f t="shared" si="348"/>
        <v>#REF!</v>
      </c>
      <c r="Z381" s="581" t="e">
        <f>+#REF!</f>
        <v>#REF!</v>
      </c>
      <c r="AA381" s="582" t="e">
        <f t="shared" si="349"/>
        <v>#REF!</v>
      </c>
      <c r="AB381" s="581" t="e">
        <f>+#REF!</f>
        <v>#REF!</v>
      </c>
      <c r="AC381" s="582" t="e">
        <f t="shared" si="350"/>
        <v>#REF!</v>
      </c>
      <c r="AE381" s="769" t="e">
        <f t="shared" si="313"/>
        <v>#REF!</v>
      </c>
    </row>
    <row r="382" spans="1:31" ht="25.5" x14ac:dyDescent="0.2">
      <c r="A382" s="661">
        <v>8.6999999999999993</v>
      </c>
      <c r="B382" s="601" t="s">
        <v>1240</v>
      </c>
      <c r="C382" s="611" t="s">
        <v>110</v>
      </c>
      <c r="D382" s="576">
        <f t="shared" si="338"/>
        <v>29</v>
      </c>
      <c r="E382" s="577" t="e">
        <f t="shared" si="339"/>
        <v>#REF!</v>
      </c>
      <c r="F382" s="577" t="e">
        <f t="shared" si="340"/>
        <v>#REF!</v>
      </c>
      <c r="G382" s="578"/>
      <c r="I382" s="594"/>
      <c r="J382" s="580" t="e">
        <f t="shared" si="341"/>
        <v>#REF!</v>
      </c>
      <c r="K382" s="537">
        <v>29</v>
      </c>
      <c r="L382" s="445" t="e">
        <f t="shared" si="342"/>
        <v>#REF!</v>
      </c>
      <c r="M382" s="542"/>
      <c r="N382" s="445" t="e">
        <f t="shared" si="343"/>
        <v>#REF!</v>
      </c>
      <c r="O382" s="542"/>
      <c r="P382" s="445" t="e">
        <f t="shared" si="344"/>
        <v>#REF!</v>
      </c>
      <c r="Q382" s="542"/>
      <c r="R382" s="445" t="e">
        <f t="shared" si="345"/>
        <v>#REF!</v>
      </c>
      <c r="S382" s="542"/>
      <c r="T382" s="445" t="e">
        <f t="shared" si="346"/>
        <v>#REF!</v>
      </c>
      <c r="V382" s="581" t="e">
        <f>+#REF!</f>
        <v>#REF!</v>
      </c>
      <c r="W382" s="582" t="e">
        <f t="shared" si="347"/>
        <v>#REF!</v>
      </c>
      <c r="X382" s="581" t="e">
        <f>+#REF!</f>
        <v>#REF!</v>
      </c>
      <c r="Y382" s="582" t="e">
        <f t="shared" si="348"/>
        <v>#REF!</v>
      </c>
      <c r="Z382" s="581" t="e">
        <f>+#REF!</f>
        <v>#REF!</v>
      </c>
      <c r="AA382" s="582" t="e">
        <f t="shared" si="349"/>
        <v>#REF!</v>
      </c>
      <c r="AB382" s="581" t="e">
        <f>+#REF!</f>
        <v>#REF!</v>
      </c>
      <c r="AC382" s="582" t="e">
        <f t="shared" si="350"/>
        <v>#REF!</v>
      </c>
      <c r="AE382" s="769" t="e">
        <f t="shared" si="313"/>
        <v>#REF!</v>
      </c>
    </row>
    <row r="383" spans="1:31" ht="25.5" x14ac:dyDescent="0.2">
      <c r="A383" s="661">
        <v>8.8000000000000007</v>
      </c>
      <c r="B383" s="601" t="s">
        <v>1241</v>
      </c>
      <c r="C383" s="611" t="s">
        <v>110</v>
      </c>
      <c r="D383" s="576">
        <f t="shared" si="338"/>
        <v>3</v>
      </c>
      <c r="E383" s="577" t="e">
        <f t="shared" si="339"/>
        <v>#REF!</v>
      </c>
      <c r="F383" s="577" t="e">
        <f t="shared" si="340"/>
        <v>#REF!</v>
      </c>
      <c r="G383" s="578"/>
      <c r="I383" s="594"/>
      <c r="J383" s="580" t="e">
        <f t="shared" si="341"/>
        <v>#REF!</v>
      </c>
      <c r="K383" s="537">
        <v>3</v>
      </c>
      <c r="L383" s="445" t="e">
        <f t="shared" si="342"/>
        <v>#REF!</v>
      </c>
      <c r="M383" s="542"/>
      <c r="N383" s="445" t="e">
        <f t="shared" si="343"/>
        <v>#REF!</v>
      </c>
      <c r="O383" s="542"/>
      <c r="P383" s="445" t="e">
        <f t="shared" si="344"/>
        <v>#REF!</v>
      </c>
      <c r="Q383" s="542"/>
      <c r="R383" s="445" t="e">
        <f t="shared" si="345"/>
        <v>#REF!</v>
      </c>
      <c r="S383" s="542"/>
      <c r="T383" s="445" t="e">
        <f t="shared" si="346"/>
        <v>#REF!</v>
      </c>
      <c r="V383" s="581" t="e">
        <f>+#REF!</f>
        <v>#REF!</v>
      </c>
      <c r="W383" s="582" t="e">
        <f t="shared" si="347"/>
        <v>#REF!</v>
      </c>
      <c r="X383" s="581" t="e">
        <f>+#REF!</f>
        <v>#REF!</v>
      </c>
      <c r="Y383" s="582" t="e">
        <f t="shared" si="348"/>
        <v>#REF!</v>
      </c>
      <c r="Z383" s="581" t="e">
        <f>+#REF!</f>
        <v>#REF!</v>
      </c>
      <c r="AA383" s="582" t="e">
        <f t="shared" si="349"/>
        <v>#REF!</v>
      </c>
      <c r="AB383" s="581" t="e">
        <f>+#REF!</f>
        <v>#REF!</v>
      </c>
      <c r="AC383" s="582" t="e">
        <f t="shared" si="350"/>
        <v>#REF!</v>
      </c>
      <c r="AE383" s="769" t="e">
        <f t="shared" si="313"/>
        <v>#REF!</v>
      </c>
    </row>
    <row r="384" spans="1:31" ht="25.5" x14ac:dyDescent="0.2">
      <c r="A384" s="661">
        <v>8.9</v>
      </c>
      <c r="B384" s="601" t="s">
        <v>1242</v>
      </c>
      <c r="C384" s="611" t="s">
        <v>110</v>
      </c>
      <c r="D384" s="576">
        <f t="shared" si="338"/>
        <v>1</v>
      </c>
      <c r="E384" s="577" t="e">
        <f t="shared" si="339"/>
        <v>#REF!</v>
      </c>
      <c r="F384" s="577" t="e">
        <f t="shared" si="340"/>
        <v>#REF!</v>
      </c>
      <c r="G384" s="578"/>
      <c r="I384" s="594"/>
      <c r="J384" s="580" t="e">
        <f t="shared" si="341"/>
        <v>#REF!</v>
      </c>
      <c r="K384" s="537">
        <v>1</v>
      </c>
      <c r="L384" s="445" t="e">
        <f t="shared" si="342"/>
        <v>#REF!</v>
      </c>
      <c r="M384" s="542"/>
      <c r="N384" s="445" t="e">
        <f t="shared" si="343"/>
        <v>#REF!</v>
      </c>
      <c r="O384" s="542"/>
      <c r="P384" s="445" t="e">
        <f t="shared" si="344"/>
        <v>#REF!</v>
      </c>
      <c r="Q384" s="542"/>
      <c r="R384" s="445" t="e">
        <f t="shared" si="345"/>
        <v>#REF!</v>
      </c>
      <c r="S384" s="542"/>
      <c r="T384" s="445" t="e">
        <f t="shared" si="346"/>
        <v>#REF!</v>
      </c>
      <c r="V384" s="581" t="e">
        <f>+#REF!</f>
        <v>#REF!</v>
      </c>
      <c r="W384" s="582" t="e">
        <f t="shared" si="347"/>
        <v>#REF!</v>
      </c>
      <c r="X384" s="581" t="e">
        <f>+#REF!</f>
        <v>#REF!</v>
      </c>
      <c r="Y384" s="582" t="e">
        <f t="shared" si="348"/>
        <v>#REF!</v>
      </c>
      <c r="Z384" s="581" t="e">
        <f>+#REF!</f>
        <v>#REF!</v>
      </c>
      <c r="AA384" s="582" t="e">
        <f t="shared" si="349"/>
        <v>#REF!</v>
      </c>
      <c r="AB384" s="581" t="e">
        <f>+#REF!</f>
        <v>#REF!</v>
      </c>
      <c r="AC384" s="582" t="e">
        <f t="shared" si="350"/>
        <v>#REF!</v>
      </c>
      <c r="AE384" s="769" t="e">
        <f t="shared" si="313"/>
        <v>#REF!</v>
      </c>
    </row>
    <row r="385" spans="1:31" ht="25.5" hidden="1" customHeight="1" x14ac:dyDescent="0.2">
      <c r="A385" s="661" t="s">
        <v>1243</v>
      </c>
      <c r="B385" s="601" t="s">
        <v>1244</v>
      </c>
      <c r="C385" s="611" t="s">
        <v>110</v>
      </c>
      <c r="D385" s="576">
        <f t="shared" si="338"/>
        <v>0</v>
      </c>
      <c r="E385" s="577" t="e">
        <f t="shared" si="339"/>
        <v>#REF!</v>
      </c>
      <c r="F385" s="577" t="e">
        <f t="shared" si="340"/>
        <v>#REF!</v>
      </c>
      <c r="G385" s="578"/>
      <c r="I385" s="594"/>
      <c r="J385" s="580" t="e">
        <f t="shared" si="341"/>
        <v>#REF!</v>
      </c>
      <c r="K385" s="537"/>
      <c r="L385" s="445" t="e">
        <f t="shared" si="342"/>
        <v>#REF!</v>
      </c>
      <c r="M385" s="542"/>
      <c r="N385" s="445" t="e">
        <f t="shared" si="343"/>
        <v>#REF!</v>
      </c>
      <c r="O385" s="542"/>
      <c r="P385" s="445" t="e">
        <f t="shared" si="344"/>
        <v>#REF!</v>
      </c>
      <c r="Q385" s="542"/>
      <c r="R385" s="445" t="e">
        <f t="shared" si="345"/>
        <v>#REF!</v>
      </c>
      <c r="S385" s="542"/>
      <c r="T385" s="445" t="e">
        <f t="shared" si="346"/>
        <v>#REF!</v>
      </c>
      <c r="V385" s="581" t="e">
        <f>+'8,10'!$I$22</f>
        <v>#REF!</v>
      </c>
      <c r="W385" s="582" t="e">
        <f t="shared" si="347"/>
        <v>#REF!</v>
      </c>
      <c r="X385" s="581">
        <f>+'8,10'!$I$53</f>
        <v>4723.6400000000003</v>
      </c>
      <c r="Y385" s="582">
        <f t="shared" si="348"/>
        <v>0</v>
      </c>
      <c r="Z385" s="581">
        <f>+'8,10'!$I$33</f>
        <v>231.88</v>
      </c>
      <c r="AA385" s="582">
        <f t="shared" si="349"/>
        <v>0</v>
      </c>
      <c r="AB385" s="581">
        <f>+'8,10'!$I$44</f>
        <v>0</v>
      </c>
      <c r="AC385" s="582">
        <f t="shared" si="350"/>
        <v>0</v>
      </c>
      <c r="AE385" s="769" t="e">
        <f t="shared" si="313"/>
        <v>#REF!</v>
      </c>
    </row>
    <row r="386" spans="1:31" ht="25.5" hidden="1" customHeight="1" x14ac:dyDescent="0.2">
      <c r="A386" s="661">
        <v>8.11</v>
      </c>
      <c r="B386" s="601" t="s">
        <v>1245</v>
      </c>
      <c r="C386" s="611" t="s">
        <v>110</v>
      </c>
      <c r="D386" s="576">
        <f t="shared" si="338"/>
        <v>0</v>
      </c>
      <c r="E386" s="577" t="e">
        <f t="shared" si="339"/>
        <v>#REF!</v>
      </c>
      <c r="F386" s="577" t="e">
        <f t="shared" si="340"/>
        <v>#REF!</v>
      </c>
      <c r="G386" s="578"/>
      <c r="I386" s="594"/>
      <c r="J386" s="580" t="e">
        <f t="shared" si="341"/>
        <v>#REF!</v>
      </c>
      <c r="K386" s="537"/>
      <c r="L386" s="445" t="e">
        <f t="shared" si="342"/>
        <v>#REF!</v>
      </c>
      <c r="M386" s="542"/>
      <c r="N386" s="445" t="e">
        <f t="shared" si="343"/>
        <v>#REF!</v>
      </c>
      <c r="O386" s="542"/>
      <c r="P386" s="445" t="e">
        <f t="shared" si="344"/>
        <v>#REF!</v>
      </c>
      <c r="Q386" s="542"/>
      <c r="R386" s="445" t="e">
        <f t="shared" si="345"/>
        <v>#REF!</v>
      </c>
      <c r="S386" s="542"/>
      <c r="T386" s="445" t="e">
        <f t="shared" si="346"/>
        <v>#REF!</v>
      </c>
      <c r="V386" s="581" t="e">
        <f>+'8,11'!$I$22</f>
        <v>#REF!</v>
      </c>
      <c r="W386" s="582" t="e">
        <f t="shared" si="347"/>
        <v>#REF!</v>
      </c>
      <c r="X386" s="581">
        <f>+'8,11'!$I$53</f>
        <v>9447.2800000000007</v>
      </c>
      <c r="Y386" s="582">
        <f t="shared" si="348"/>
        <v>0</v>
      </c>
      <c r="Z386" s="581">
        <f>+'8,11'!$I$33</f>
        <v>231.88</v>
      </c>
      <c r="AA386" s="582">
        <f t="shared" si="349"/>
        <v>0</v>
      </c>
      <c r="AB386" s="581">
        <f>+'8,11'!$I$44</f>
        <v>0</v>
      </c>
      <c r="AC386" s="582">
        <f t="shared" si="350"/>
        <v>0</v>
      </c>
      <c r="AE386" s="769" t="e">
        <f t="shared" si="313"/>
        <v>#REF!</v>
      </c>
    </row>
    <row r="387" spans="1:31" ht="51" hidden="1" customHeight="1" x14ac:dyDescent="0.2">
      <c r="A387" s="661" t="s">
        <v>1246</v>
      </c>
      <c r="B387" s="601" t="s">
        <v>1247</v>
      </c>
      <c r="C387" s="611" t="s">
        <v>110</v>
      </c>
      <c r="D387" s="576">
        <f t="shared" si="338"/>
        <v>0</v>
      </c>
      <c r="E387" s="577" t="e">
        <f t="shared" si="339"/>
        <v>#REF!</v>
      </c>
      <c r="F387" s="577" t="e">
        <f t="shared" si="340"/>
        <v>#REF!</v>
      </c>
      <c r="G387" s="578"/>
      <c r="I387" s="594"/>
      <c r="J387" s="580" t="e">
        <f t="shared" si="341"/>
        <v>#REF!</v>
      </c>
      <c r="K387" s="537"/>
      <c r="L387" s="445" t="e">
        <f t="shared" si="342"/>
        <v>#REF!</v>
      </c>
      <c r="M387" s="542"/>
      <c r="N387" s="445" t="e">
        <f t="shared" si="343"/>
        <v>#REF!</v>
      </c>
      <c r="O387" s="542"/>
      <c r="P387" s="445" t="e">
        <f t="shared" si="344"/>
        <v>#REF!</v>
      </c>
      <c r="Q387" s="542"/>
      <c r="R387" s="445" t="e">
        <f t="shared" si="345"/>
        <v>#REF!</v>
      </c>
      <c r="S387" s="542"/>
      <c r="T387" s="445" t="e">
        <f t="shared" si="346"/>
        <v>#REF!</v>
      </c>
      <c r="V387" s="581" t="e">
        <f>+'8,12'!$I$22</f>
        <v>#REF!</v>
      </c>
      <c r="W387" s="582" t="e">
        <f t="shared" si="347"/>
        <v>#REF!</v>
      </c>
      <c r="X387" s="581">
        <f>+'8,12'!$I$53</f>
        <v>20290.2</v>
      </c>
      <c r="Y387" s="582">
        <f t="shared" si="348"/>
        <v>0</v>
      </c>
      <c r="Z387" s="581">
        <f>+'8,12'!$I$33</f>
        <v>549.9</v>
      </c>
      <c r="AA387" s="582">
        <f t="shared" si="349"/>
        <v>0</v>
      </c>
      <c r="AB387" s="581">
        <f>+'8,12'!$I$44</f>
        <v>0</v>
      </c>
      <c r="AC387" s="582">
        <f t="shared" si="350"/>
        <v>0</v>
      </c>
      <c r="AE387" s="769" t="e">
        <f t="shared" si="313"/>
        <v>#REF!</v>
      </c>
    </row>
    <row r="388" spans="1:31" ht="25.5" hidden="1" customHeight="1" x14ac:dyDescent="0.2">
      <c r="A388" s="661">
        <v>8.1300000000000008</v>
      </c>
      <c r="B388" s="601" t="s">
        <v>1248</v>
      </c>
      <c r="C388" s="611" t="s">
        <v>110</v>
      </c>
      <c r="D388" s="576">
        <f t="shared" si="338"/>
        <v>0</v>
      </c>
      <c r="E388" s="577" t="e">
        <f t="shared" si="339"/>
        <v>#REF!</v>
      </c>
      <c r="F388" s="577" t="e">
        <f t="shared" si="340"/>
        <v>#REF!</v>
      </c>
      <c r="G388" s="578"/>
      <c r="I388" s="594"/>
      <c r="J388" s="580" t="e">
        <f t="shared" si="341"/>
        <v>#REF!</v>
      </c>
      <c r="K388" s="537"/>
      <c r="L388" s="445" t="e">
        <f t="shared" si="342"/>
        <v>#REF!</v>
      </c>
      <c r="M388" s="542"/>
      <c r="N388" s="445" t="e">
        <f t="shared" si="343"/>
        <v>#REF!</v>
      </c>
      <c r="O388" s="542"/>
      <c r="P388" s="445" t="e">
        <f t="shared" si="344"/>
        <v>#REF!</v>
      </c>
      <c r="Q388" s="542"/>
      <c r="R388" s="445" t="e">
        <f t="shared" si="345"/>
        <v>#REF!</v>
      </c>
      <c r="S388" s="542"/>
      <c r="T388" s="445" t="e">
        <f t="shared" si="346"/>
        <v>#REF!</v>
      </c>
      <c r="V388" s="581" t="e">
        <f>+'8,13'!$I$22</f>
        <v>#REF!</v>
      </c>
      <c r="W388" s="582" t="e">
        <f t="shared" si="347"/>
        <v>#REF!</v>
      </c>
      <c r="X388" s="581">
        <f>+'8,13'!$I$53</f>
        <v>46823.54</v>
      </c>
      <c r="Y388" s="582">
        <f t="shared" si="348"/>
        <v>0</v>
      </c>
      <c r="Z388" s="581">
        <f>+'8,13'!$I$33</f>
        <v>2073.36</v>
      </c>
      <c r="AA388" s="582">
        <f t="shared" si="349"/>
        <v>0</v>
      </c>
      <c r="AB388" s="581">
        <f>+'8,13'!$I$44</f>
        <v>0</v>
      </c>
      <c r="AC388" s="582">
        <f t="shared" si="350"/>
        <v>0</v>
      </c>
      <c r="AE388" s="769" t="e">
        <f t="shared" si="313"/>
        <v>#REF!</v>
      </c>
    </row>
    <row r="389" spans="1:31" ht="25.5" hidden="1" customHeight="1" x14ac:dyDescent="0.2">
      <c r="A389" s="661" t="s">
        <v>1249</v>
      </c>
      <c r="B389" s="601" t="s">
        <v>1250</v>
      </c>
      <c r="C389" s="611" t="s">
        <v>110</v>
      </c>
      <c r="D389" s="576">
        <f t="shared" si="338"/>
        <v>0</v>
      </c>
      <c r="E389" s="577" t="e">
        <f t="shared" si="339"/>
        <v>#REF!</v>
      </c>
      <c r="F389" s="577" t="e">
        <f t="shared" si="340"/>
        <v>#REF!</v>
      </c>
      <c r="G389" s="578"/>
      <c r="I389" s="594"/>
      <c r="J389" s="580" t="e">
        <f t="shared" si="341"/>
        <v>#REF!</v>
      </c>
      <c r="K389" s="537"/>
      <c r="L389" s="445" t="e">
        <f t="shared" si="342"/>
        <v>#REF!</v>
      </c>
      <c r="M389" s="542"/>
      <c r="N389" s="445" t="e">
        <f t="shared" si="343"/>
        <v>#REF!</v>
      </c>
      <c r="O389" s="542"/>
      <c r="P389" s="445" t="e">
        <f t="shared" si="344"/>
        <v>#REF!</v>
      </c>
      <c r="Q389" s="542"/>
      <c r="R389" s="445" t="e">
        <f t="shared" si="345"/>
        <v>#REF!</v>
      </c>
      <c r="S389" s="542"/>
      <c r="T389" s="445" t="e">
        <f t="shared" si="346"/>
        <v>#REF!</v>
      </c>
      <c r="V389" s="581" t="e">
        <f>+'8,14'!$I$22</f>
        <v>#REF!</v>
      </c>
      <c r="W389" s="582" t="e">
        <f t="shared" si="347"/>
        <v>#REF!</v>
      </c>
      <c r="X389" s="581">
        <f>+'8,14'!$I$53</f>
        <v>62431.38</v>
      </c>
      <c r="Y389" s="582">
        <f t="shared" si="348"/>
        <v>0</v>
      </c>
      <c r="Z389" s="581">
        <f>+'8,14'!$I$33</f>
        <v>2073.36</v>
      </c>
      <c r="AA389" s="582">
        <f t="shared" si="349"/>
        <v>0</v>
      </c>
      <c r="AB389" s="581">
        <f>+'8,14'!$I$44</f>
        <v>0</v>
      </c>
      <c r="AC389" s="582">
        <f t="shared" si="350"/>
        <v>0</v>
      </c>
      <c r="AE389" s="769" t="e">
        <f t="shared" si="313"/>
        <v>#REF!</v>
      </c>
    </row>
    <row r="390" spans="1:31" ht="25.5" hidden="1" customHeight="1" x14ac:dyDescent="0.2">
      <c r="A390" s="661">
        <v>8.15</v>
      </c>
      <c r="B390" s="601" t="s">
        <v>1251</v>
      </c>
      <c r="C390" s="611" t="s">
        <v>110</v>
      </c>
      <c r="D390" s="576">
        <f t="shared" si="338"/>
        <v>0</v>
      </c>
      <c r="E390" s="577" t="e">
        <f t="shared" si="339"/>
        <v>#REF!</v>
      </c>
      <c r="F390" s="577" t="e">
        <f t="shared" si="340"/>
        <v>#REF!</v>
      </c>
      <c r="G390" s="578"/>
      <c r="I390" s="594"/>
      <c r="J390" s="580" t="e">
        <f t="shared" si="341"/>
        <v>#REF!</v>
      </c>
      <c r="K390" s="537"/>
      <c r="L390" s="445" t="e">
        <f t="shared" si="342"/>
        <v>#REF!</v>
      </c>
      <c r="M390" s="542"/>
      <c r="N390" s="445" t="e">
        <f t="shared" si="343"/>
        <v>#REF!</v>
      </c>
      <c r="O390" s="542"/>
      <c r="P390" s="445" t="e">
        <f t="shared" si="344"/>
        <v>#REF!</v>
      </c>
      <c r="Q390" s="542"/>
      <c r="R390" s="445" t="e">
        <f t="shared" si="345"/>
        <v>#REF!</v>
      </c>
      <c r="S390" s="542"/>
      <c r="T390" s="445" t="e">
        <f t="shared" si="346"/>
        <v>#REF!</v>
      </c>
      <c r="V390" s="581" t="e">
        <f>+'8,15'!$I$22</f>
        <v>#REF!</v>
      </c>
      <c r="W390" s="582" t="e">
        <f t="shared" si="347"/>
        <v>#REF!</v>
      </c>
      <c r="X390" s="581">
        <f>+'8,15'!$I$53</f>
        <v>70235.3</v>
      </c>
      <c r="Y390" s="582">
        <f t="shared" si="348"/>
        <v>0</v>
      </c>
      <c r="Z390" s="581">
        <f>+'8,15'!$I$33</f>
        <v>2073.36</v>
      </c>
      <c r="AA390" s="582">
        <f t="shared" si="349"/>
        <v>0</v>
      </c>
      <c r="AB390" s="581">
        <f>+'8,15'!$I$44</f>
        <v>0</v>
      </c>
      <c r="AC390" s="582">
        <f t="shared" si="350"/>
        <v>0</v>
      </c>
      <c r="AE390" s="769" t="e">
        <f t="shared" si="313"/>
        <v>#REF!</v>
      </c>
    </row>
    <row r="391" spans="1:31" ht="25.5" hidden="1" customHeight="1" x14ac:dyDescent="0.2">
      <c r="A391" s="661">
        <v>8.16</v>
      </c>
      <c r="B391" s="601" t="s">
        <v>1252</v>
      </c>
      <c r="C391" s="611" t="s">
        <v>110</v>
      </c>
      <c r="D391" s="576">
        <f t="shared" si="338"/>
        <v>0</v>
      </c>
      <c r="E391" s="577" t="e">
        <f t="shared" si="339"/>
        <v>#REF!</v>
      </c>
      <c r="F391" s="577" t="e">
        <f t="shared" si="340"/>
        <v>#REF!</v>
      </c>
      <c r="G391" s="578"/>
      <c r="I391" s="594"/>
      <c r="J391" s="580" t="e">
        <f t="shared" si="341"/>
        <v>#REF!</v>
      </c>
      <c r="K391" s="537"/>
      <c r="L391" s="445" t="e">
        <f t="shared" si="342"/>
        <v>#REF!</v>
      </c>
      <c r="M391" s="542"/>
      <c r="N391" s="445" t="e">
        <f t="shared" si="343"/>
        <v>#REF!</v>
      </c>
      <c r="O391" s="542"/>
      <c r="P391" s="445" t="e">
        <f t="shared" si="344"/>
        <v>#REF!</v>
      </c>
      <c r="Q391" s="542"/>
      <c r="R391" s="445" t="e">
        <f t="shared" si="345"/>
        <v>#REF!</v>
      </c>
      <c r="S391" s="542"/>
      <c r="T391" s="445" t="e">
        <f t="shared" si="346"/>
        <v>#REF!</v>
      </c>
      <c r="V391" s="581" t="e">
        <f>+'8,16'!$I$22</f>
        <v>#REF!</v>
      </c>
      <c r="W391" s="582" t="e">
        <f t="shared" si="347"/>
        <v>#REF!</v>
      </c>
      <c r="X391" s="581">
        <f>+'8,16'!$I$53</f>
        <v>156078.45000000001</v>
      </c>
      <c r="Y391" s="582">
        <f t="shared" si="348"/>
        <v>0</v>
      </c>
      <c r="Z391" s="581">
        <f>+'8,16'!$I$33</f>
        <v>2073.36</v>
      </c>
      <c r="AA391" s="582">
        <f t="shared" si="349"/>
        <v>0</v>
      </c>
      <c r="AB391" s="581">
        <f>+'8,16'!$I$44</f>
        <v>0</v>
      </c>
      <c r="AC391" s="582">
        <f t="shared" si="350"/>
        <v>0</v>
      </c>
      <c r="AE391" s="769" t="e">
        <f t="shared" si="313"/>
        <v>#REF!</v>
      </c>
    </row>
    <row r="392" spans="1:31" ht="25.5" x14ac:dyDescent="0.2">
      <c r="A392" s="661">
        <v>8.17</v>
      </c>
      <c r="B392" s="601" t="s">
        <v>1253</v>
      </c>
      <c r="C392" s="611" t="s">
        <v>110</v>
      </c>
      <c r="D392" s="576">
        <f t="shared" si="338"/>
        <v>1</v>
      </c>
      <c r="E392" s="577" t="e">
        <f t="shared" si="339"/>
        <v>#REF!</v>
      </c>
      <c r="F392" s="577" t="e">
        <f t="shared" si="340"/>
        <v>#REF!</v>
      </c>
      <c r="G392" s="578"/>
      <c r="I392" s="594"/>
      <c r="J392" s="580" t="e">
        <f t="shared" si="341"/>
        <v>#REF!</v>
      </c>
      <c r="K392" s="537">
        <v>1</v>
      </c>
      <c r="L392" s="445" t="e">
        <f t="shared" si="342"/>
        <v>#REF!</v>
      </c>
      <c r="M392" s="542"/>
      <c r="N392" s="445" t="e">
        <f t="shared" si="343"/>
        <v>#REF!</v>
      </c>
      <c r="O392" s="542"/>
      <c r="P392" s="445" t="e">
        <f t="shared" si="344"/>
        <v>#REF!</v>
      </c>
      <c r="Q392" s="542"/>
      <c r="R392" s="445" t="e">
        <f t="shared" si="345"/>
        <v>#REF!</v>
      </c>
      <c r="S392" s="542"/>
      <c r="T392" s="445" t="e">
        <f t="shared" si="346"/>
        <v>#REF!</v>
      </c>
      <c r="V392" s="581" t="e">
        <f>+#REF!</f>
        <v>#REF!</v>
      </c>
      <c r="W392" s="582" t="e">
        <f t="shared" si="347"/>
        <v>#REF!</v>
      </c>
      <c r="X392" s="581" t="e">
        <f>+#REF!</f>
        <v>#REF!</v>
      </c>
      <c r="Y392" s="582" t="e">
        <f t="shared" si="348"/>
        <v>#REF!</v>
      </c>
      <c r="Z392" s="581" t="e">
        <f>+#REF!</f>
        <v>#REF!</v>
      </c>
      <c r="AA392" s="582" t="e">
        <f t="shared" si="349"/>
        <v>#REF!</v>
      </c>
      <c r="AB392" s="581" t="e">
        <f>+#REF!</f>
        <v>#REF!</v>
      </c>
      <c r="AC392" s="582" t="e">
        <f t="shared" si="350"/>
        <v>#REF!</v>
      </c>
      <c r="AE392" s="769" t="e">
        <f t="shared" si="313"/>
        <v>#REF!</v>
      </c>
    </row>
    <row r="393" spans="1:31" ht="25.5" x14ac:dyDescent="0.2">
      <c r="A393" s="661">
        <v>8.18</v>
      </c>
      <c r="B393" s="601" t="s">
        <v>1254</v>
      </c>
      <c r="C393" s="611" t="s">
        <v>110</v>
      </c>
      <c r="D393" s="576">
        <f t="shared" si="338"/>
        <v>1</v>
      </c>
      <c r="E393" s="577" t="e">
        <f t="shared" si="339"/>
        <v>#REF!</v>
      </c>
      <c r="F393" s="577" t="e">
        <f t="shared" si="340"/>
        <v>#REF!</v>
      </c>
      <c r="G393" s="578"/>
      <c r="I393" s="594"/>
      <c r="J393" s="580" t="e">
        <f t="shared" si="341"/>
        <v>#REF!</v>
      </c>
      <c r="K393" s="537">
        <v>1</v>
      </c>
      <c r="L393" s="445" t="e">
        <f t="shared" si="342"/>
        <v>#REF!</v>
      </c>
      <c r="M393" s="542"/>
      <c r="N393" s="445" t="e">
        <f t="shared" si="343"/>
        <v>#REF!</v>
      </c>
      <c r="O393" s="542"/>
      <c r="P393" s="445" t="e">
        <f t="shared" si="344"/>
        <v>#REF!</v>
      </c>
      <c r="Q393" s="542"/>
      <c r="R393" s="445" t="e">
        <f t="shared" si="345"/>
        <v>#REF!</v>
      </c>
      <c r="S393" s="542"/>
      <c r="T393" s="445" t="e">
        <f t="shared" si="346"/>
        <v>#REF!</v>
      </c>
      <c r="V393" s="581" t="e">
        <f>+#REF!</f>
        <v>#REF!</v>
      </c>
      <c r="W393" s="582" t="e">
        <f t="shared" si="347"/>
        <v>#REF!</v>
      </c>
      <c r="X393" s="581" t="e">
        <f>+#REF!</f>
        <v>#REF!</v>
      </c>
      <c r="Y393" s="582" t="e">
        <f t="shared" si="348"/>
        <v>#REF!</v>
      </c>
      <c r="Z393" s="581" t="e">
        <f>+#REF!</f>
        <v>#REF!</v>
      </c>
      <c r="AA393" s="582" t="e">
        <f t="shared" si="349"/>
        <v>#REF!</v>
      </c>
      <c r="AB393" s="581" t="e">
        <f>+#REF!</f>
        <v>#REF!</v>
      </c>
      <c r="AC393" s="582" t="e">
        <f t="shared" si="350"/>
        <v>#REF!</v>
      </c>
      <c r="AE393" s="769" t="e">
        <f t="shared" si="313"/>
        <v>#REF!</v>
      </c>
    </row>
    <row r="394" spans="1:31" ht="25.5" hidden="1" customHeight="1" x14ac:dyDescent="0.2">
      <c r="A394" s="661">
        <v>8.19</v>
      </c>
      <c r="B394" s="601" t="s">
        <v>1255</v>
      </c>
      <c r="C394" s="611" t="s">
        <v>110</v>
      </c>
      <c r="D394" s="576">
        <f t="shared" si="338"/>
        <v>0</v>
      </c>
      <c r="E394" s="577" t="e">
        <f t="shared" si="339"/>
        <v>#REF!</v>
      </c>
      <c r="F394" s="577" t="e">
        <f t="shared" si="340"/>
        <v>#REF!</v>
      </c>
      <c r="G394" s="578"/>
      <c r="I394" s="594"/>
      <c r="J394" s="580" t="e">
        <f t="shared" si="341"/>
        <v>#REF!</v>
      </c>
      <c r="K394" s="537"/>
      <c r="L394" s="445" t="e">
        <f t="shared" si="342"/>
        <v>#REF!</v>
      </c>
      <c r="M394" s="542"/>
      <c r="N394" s="445" t="e">
        <f t="shared" si="343"/>
        <v>#REF!</v>
      </c>
      <c r="O394" s="542"/>
      <c r="P394" s="445" t="e">
        <f t="shared" si="344"/>
        <v>#REF!</v>
      </c>
      <c r="Q394" s="542"/>
      <c r="R394" s="445" t="e">
        <f t="shared" si="345"/>
        <v>#REF!</v>
      </c>
      <c r="S394" s="542"/>
      <c r="T394" s="445" t="e">
        <f t="shared" si="346"/>
        <v>#REF!</v>
      </c>
      <c r="V394" s="581" t="e">
        <f>+'8,19'!$I$22</f>
        <v>#REF!</v>
      </c>
      <c r="W394" s="582" t="e">
        <f t="shared" si="347"/>
        <v>#REF!</v>
      </c>
      <c r="X394" s="581">
        <f>+'8,19'!$I$53</f>
        <v>312528.51</v>
      </c>
      <c r="Y394" s="582">
        <f t="shared" si="348"/>
        <v>0</v>
      </c>
      <c r="Z394" s="581">
        <f>+'8,19'!$I$33</f>
        <v>3710</v>
      </c>
      <c r="AA394" s="582">
        <f t="shared" si="349"/>
        <v>0</v>
      </c>
      <c r="AB394" s="581">
        <f>+'8,19'!$I$44</f>
        <v>0</v>
      </c>
      <c r="AC394" s="582">
        <f t="shared" si="350"/>
        <v>0</v>
      </c>
      <c r="AE394" s="769" t="e">
        <f t="shared" si="313"/>
        <v>#REF!</v>
      </c>
    </row>
    <row r="395" spans="1:31" ht="25.5" hidden="1" customHeight="1" x14ac:dyDescent="0.2">
      <c r="A395" s="661" t="s">
        <v>1256</v>
      </c>
      <c r="B395" s="601" t="s">
        <v>1257</v>
      </c>
      <c r="C395" s="611" t="s">
        <v>110</v>
      </c>
      <c r="D395" s="576">
        <f t="shared" si="338"/>
        <v>0</v>
      </c>
      <c r="E395" s="577" t="e">
        <f t="shared" si="339"/>
        <v>#REF!</v>
      </c>
      <c r="F395" s="577" t="e">
        <f t="shared" si="340"/>
        <v>#REF!</v>
      </c>
      <c r="G395" s="578"/>
      <c r="I395" s="594"/>
      <c r="J395" s="580" t="e">
        <f t="shared" si="341"/>
        <v>#REF!</v>
      </c>
      <c r="K395" s="537"/>
      <c r="L395" s="445" t="e">
        <f t="shared" si="342"/>
        <v>#REF!</v>
      </c>
      <c r="M395" s="542"/>
      <c r="N395" s="445" t="e">
        <f t="shared" si="343"/>
        <v>#REF!</v>
      </c>
      <c r="O395" s="542"/>
      <c r="P395" s="445" t="e">
        <f t="shared" si="344"/>
        <v>#REF!</v>
      </c>
      <c r="Q395" s="542"/>
      <c r="R395" s="445" t="e">
        <f t="shared" si="345"/>
        <v>#REF!</v>
      </c>
      <c r="S395" s="542"/>
      <c r="T395" s="445" t="e">
        <f t="shared" si="346"/>
        <v>#REF!</v>
      </c>
      <c r="V395" s="581" t="e">
        <f>+'8,20'!$I$22</f>
        <v>#REF!</v>
      </c>
      <c r="W395" s="582" t="e">
        <f t="shared" si="347"/>
        <v>#REF!</v>
      </c>
      <c r="X395" s="581">
        <f>+'8,20'!$I$53</f>
        <v>381979.29</v>
      </c>
      <c r="Y395" s="582">
        <f t="shared" si="348"/>
        <v>0</v>
      </c>
      <c r="Z395" s="581">
        <f>+'8,20'!$I$33</f>
        <v>3710</v>
      </c>
      <c r="AA395" s="582">
        <f t="shared" si="349"/>
        <v>0</v>
      </c>
      <c r="AB395" s="581">
        <f>+'8,20'!$I$44</f>
        <v>0</v>
      </c>
      <c r="AC395" s="582">
        <f t="shared" si="350"/>
        <v>0</v>
      </c>
      <c r="AE395" s="769" t="e">
        <f t="shared" si="313"/>
        <v>#REF!</v>
      </c>
    </row>
    <row r="396" spans="1:31" ht="38.25" hidden="1" customHeight="1" x14ac:dyDescent="0.2">
      <c r="A396" s="661">
        <v>8.2100000000000009</v>
      </c>
      <c r="B396" s="601" t="s">
        <v>1258</v>
      </c>
      <c r="C396" s="611" t="s">
        <v>144</v>
      </c>
      <c r="D396" s="576">
        <f t="shared" si="338"/>
        <v>0</v>
      </c>
      <c r="E396" s="577" t="e">
        <f t="shared" si="339"/>
        <v>#REF!</v>
      </c>
      <c r="F396" s="577" t="e">
        <f t="shared" si="340"/>
        <v>#REF!</v>
      </c>
      <c r="G396" s="578"/>
      <c r="I396" s="594"/>
      <c r="J396" s="580" t="e">
        <f t="shared" si="341"/>
        <v>#REF!</v>
      </c>
      <c r="K396" s="537"/>
      <c r="L396" s="445" t="e">
        <f t="shared" si="342"/>
        <v>#REF!</v>
      </c>
      <c r="M396" s="542"/>
      <c r="N396" s="445" t="e">
        <f t="shared" si="343"/>
        <v>#REF!</v>
      </c>
      <c r="O396" s="542"/>
      <c r="P396" s="445" t="e">
        <f t="shared" si="344"/>
        <v>#REF!</v>
      </c>
      <c r="Q396" s="542"/>
      <c r="R396" s="445" t="e">
        <f t="shared" si="345"/>
        <v>#REF!</v>
      </c>
      <c r="S396" s="542"/>
      <c r="T396" s="445" t="e">
        <f t="shared" si="346"/>
        <v>#REF!</v>
      </c>
      <c r="V396" s="581" t="e">
        <f>+'8,21'!$I$22</f>
        <v>#REF!</v>
      </c>
      <c r="W396" s="582" t="e">
        <f t="shared" si="347"/>
        <v>#REF!</v>
      </c>
      <c r="X396" s="581">
        <f>+'8,21'!$I$53</f>
        <v>2870.41</v>
      </c>
      <c r="Y396" s="582">
        <f t="shared" si="348"/>
        <v>0</v>
      </c>
      <c r="Z396" s="581">
        <f>+'8,21'!$I$33</f>
        <v>159.91</v>
      </c>
      <c r="AA396" s="582">
        <f t="shared" si="349"/>
        <v>0</v>
      </c>
      <c r="AB396" s="581">
        <f>+'8,21'!$I$44</f>
        <v>0</v>
      </c>
      <c r="AC396" s="582">
        <f t="shared" si="350"/>
        <v>0</v>
      </c>
      <c r="AE396" s="769" t="e">
        <f t="shared" si="313"/>
        <v>#REF!</v>
      </c>
    </row>
    <row r="397" spans="1:31" ht="38.25" hidden="1" customHeight="1" x14ac:dyDescent="0.2">
      <c r="A397" s="661">
        <v>8.2200000000000006</v>
      </c>
      <c r="B397" s="601" t="s">
        <v>1259</v>
      </c>
      <c r="C397" s="611" t="s">
        <v>144</v>
      </c>
      <c r="D397" s="576">
        <f t="shared" si="338"/>
        <v>0</v>
      </c>
      <c r="E397" s="577" t="e">
        <f t="shared" si="339"/>
        <v>#REF!</v>
      </c>
      <c r="F397" s="577" t="e">
        <f t="shared" si="340"/>
        <v>#REF!</v>
      </c>
      <c r="G397" s="578"/>
      <c r="I397" s="594"/>
      <c r="J397" s="580" t="e">
        <f t="shared" si="341"/>
        <v>#REF!</v>
      </c>
      <c r="K397" s="537"/>
      <c r="L397" s="445" t="e">
        <f t="shared" si="342"/>
        <v>#REF!</v>
      </c>
      <c r="M397" s="542"/>
      <c r="N397" s="445" t="e">
        <f t="shared" si="343"/>
        <v>#REF!</v>
      </c>
      <c r="O397" s="542"/>
      <c r="P397" s="445" t="e">
        <f t="shared" si="344"/>
        <v>#REF!</v>
      </c>
      <c r="Q397" s="542"/>
      <c r="R397" s="445" t="e">
        <f t="shared" si="345"/>
        <v>#REF!</v>
      </c>
      <c r="S397" s="542"/>
      <c r="T397" s="445" t="e">
        <f t="shared" si="346"/>
        <v>#REF!</v>
      </c>
      <c r="V397" s="581" t="e">
        <f>+'8,22'!$I$22</f>
        <v>#REF!</v>
      </c>
      <c r="W397" s="582" t="e">
        <f t="shared" si="347"/>
        <v>#REF!</v>
      </c>
      <c r="X397" s="581">
        <f>+'8,22'!$I$53</f>
        <v>2870.41</v>
      </c>
      <c r="Y397" s="582">
        <f t="shared" si="348"/>
        <v>0</v>
      </c>
      <c r="Z397" s="581">
        <f>+'8,22'!$I$33</f>
        <v>159.91</v>
      </c>
      <c r="AA397" s="582">
        <f t="shared" si="349"/>
        <v>0</v>
      </c>
      <c r="AB397" s="581">
        <f>+'8,22'!$I$44</f>
        <v>0</v>
      </c>
      <c r="AC397" s="582">
        <f t="shared" si="350"/>
        <v>0</v>
      </c>
      <c r="AE397" s="769" t="e">
        <f t="shared" ref="AE397:AE460" si="351">SUM(AC397,AA397,Y397,W397)-SUM(T397,R397,P397,N397,L397)</f>
        <v>#REF!</v>
      </c>
    </row>
    <row r="398" spans="1:31" ht="38.25" hidden="1" customHeight="1" x14ac:dyDescent="0.2">
      <c r="A398" s="661">
        <v>8.23</v>
      </c>
      <c r="B398" s="601" t="s">
        <v>1260</v>
      </c>
      <c r="C398" s="611" t="s">
        <v>144</v>
      </c>
      <c r="D398" s="576">
        <f t="shared" si="338"/>
        <v>0</v>
      </c>
      <c r="E398" s="577" t="e">
        <f t="shared" si="339"/>
        <v>#REF!</v>
      </c>
      <c r="F398" s="577" t="e">
        <f t="shared" si="340"/>
        <v>#REF!</v>
      </c>
      <c r="G398" s="578"/>
      <c r="I398" s="594"/>
      <c r="J398" s="580" t="e">
        <f t="shared" si="341"/>
        <v>#REF!</v>
      </c>
      <c r="K398" s="537"/>
      <c r="L398" s="445" t="e">
        <f t="shared" si="342"/>
        <v>#REF!</v>
      </c>
      <c r="M398" s="542"/>
      <c r="N398" s="445" t="e">
        <f t="shared" si="343"/>
        <v>#REF!</v>
      </c>
      <c r="O398" s="542"/>
      <c r="P398" s="445" t="e">
        <f t="shared" si="344"/>
        <v>#REF!</v>
      </c>
      <c r="Q398" s="542"/>
      <c r="R398" s="445" t="e">
        <f t="shared" si="345"/>
        <v>#REF!</v>
      </c>
      <c r="S398" s="542"/>
      <c r="T398" s="445" t="e">
        <f t="shared" si="346"/>
        <v>#REF!</v>
      </c>
      <c r="V398" s="581" t="e">
        <f>+'8,23'!$I$22</f>
        <v>#REF!</v>
      </c>
      <c r="W398" s="582" t="e">
        <f t="shared" si="347"/>
        <v>#REF!</v>
      </c>
      <c r="X398" s="581">
        <f>+'8,23'!$I$53</f>
        <v>4167.13</v>
      </c>
      <c r="Y398" s="582">
        <f t="shared" si="348"/>
        <v>0</v>
      </c>
      <c r="Z398" s="581">
        <f>+'8,23'!$I$33</f>
        <v>159.91</v>
      </c>
      <c r="AA398" s="582">
        <f t="shared" si="349"/>
        <v>0</v>
      </c>
      <c r="AB398" s="581">
        <f>+'8,23'!$I$44</f>
        <v>0</v>
      </c>
      <c r="AC398" s="582">
        <f t="shared" si="350"/>
        <v>0</v>
      </c>
      <c r="AE398" s="769" t="e">
        <f t="shared" si="351"/>
        <v>#REF!</v>
      </c>
    </row>
    <row r="399" spans="1:31" ht="38.25" hidden="1" customHeight="1" x14ac:dyDescent="0.2">
      <c r="A399" s="661">
        <v>8.24</v>
      </c>
      <c r="B399" s="601" t="s">
        <v>1261</v>
      </c>
      <c r="C399" s="611" t="s">
        <v>144</v>
      </c>
      <c r="D399" s="576">
        <f t="shared" si="338"/>
        <v>0</v>
      </c>
      <c r="E399" s="577" t="e">
        <f t="shared" si="339"/>
        <v>#REF!</v>
      </c>
      <c r="F399" s="577" t="e">
        <f t="shared" si="340"/>
        <v>#REF!</v>
      </c>
      <c r="G399" s="578"/>
      <c r="I399" s="594"/>
      <c r="J399" s="580" t="e">
        <f t="shared" si="341"/>
        <v>#REF!</v>
      </c>
      <c r="K399" s="537"/>
      <c r="L399" s="445" t="e">
        <f t="shared" si="342"/>
        <v>#REF!</v>
      </c>
      <c r="M399" s="542"/>
      <c r="N399" s="445" t="e">
        <f t="shared" si="343"/>
        <v>#REF!</v>
      </c>
      <c r="O399" s="542"/>
      <c r="P399" s="445" t="e">
        <f t="shared" si="344"/>
        <v>#REF!</v>
      </c>
      <c r="Q399" s="542"/>
      <c r="R399" s="445" t="e">
        <f t="shared" si="345"/>
        <v>#REF!</v>
      </c>
      <c r="S399" s="542"/>
      <c r="T399" s="445" t="e">
        <f t="shared" si="346"/>
        <v>#REF!</v>
      </c>
      <c r="V399" s="581" t="e">
        <f>+'8,24'!$I$22</f>
        <v>#REF!</v>
      </c>
      <c r="W399" s="582" t="e">
        <f t="shared" si="347"/>
        <v>#REF!</v>
      </c>
      <c r="X399" s="581">
        <f>+'8,24'!$I$53</f>
        <v>4167.13</v>
      </c>
      <c r="Y399" s="582">
        <f t="shared" si="348"/>
        <v>0</v>
      </c>
      <c r="Z399" s="581">
        <f>+'8,24'!$I$33</f>
        <v>159.91</v>
      </c>
      <c r="AA399" s="582">
        <f t="shared" si="349"/>
        <v>0</v>
      </c>
      <c r="AB399" s="581">
        <f>+'8,24'!$I$44</f>
        <v>0</v>
      </c>
      <c r="AC399" s="582">
        <f t="shared" si="350"/>
        <v>0</v>
      </c>
      <c r="AE399" s="769" t="e">
        <f t="shared" si="351"/>
        <v>#REF!</v>
      </c>
    </row>
    <row r="400" spans="1:31" ht="38.25" hidden="1" customHeight="1" x14ac:dyDescent="0.2">
      <c r="A400" s="661">
        <v>8.25</v>
      </c>
      <c r="B400" s="601" t="s">
        <v>1262</v>
      </c>
      <c r="C400" s="611" t="s">
        <v>144</v>
      </c>
      <c r="D400" s="576">
        <f t="shared" si="338"/>
        <v>0</v>
      </c>
      <c r="E400" s="577" t="e">
        <f t="shared" si="339"/>
        <v>#REF!</v>
      </c>
      <c r="F400" s="577" t="e">
        <f t="shared" si="340"/>
        <v>#REF!</v>
      </c>
      <c r="G400" s="578"/>
      <c r="I400" s="594"/>
      <c r="J400" s="580" t="e">
        <f t="shared" si="341"/>
        <v>#REF!</v>
      </c>
      <c r="K400" s="537"/>
      <c r="L400" s="445" t="e">
        <f t="shared" si="342"/>
        <v>#REF!</v>
      </c>
      <c r="M400" s="542"/>
      <c r="N400" s="445" t="e">
        <f t="shared" si="343"/>
        <v>#REF!</v>
      </c>
      <c r="O400" s="542"/>
      <c r="P400" s="445" t="e">
        <f t="shared" si="344"/>
        <v>#REF!</v>
      </c>
      <c r="Q400" s="542"/>
      <c r="R400" s="445" t="e">
        <f t="shared" si="345"/>
        <v>#REF!</v>
      </c>
      <c r="S400" s="542"/>
      <c r="T400" s="445" t="e">
        <f t="shared" si="346"/>
        <v>#REF!</v>
      </c>
      <c r="V400" s="581" t="e">
        <f>+'8,25'!$I$22</f>
        <v>#REF!</v>
      </c>
      <c r="W400" s="582" t="e">
        <f t="shared" si="347"/>
        <v>#REF!</v>
      </c>
      <c r="X400" s="581">
        <f>+'8,25'!$I$53</f>
        <v>3473.37</v>
      </c>
      <c r="Y400" s="582">
        <f t="shared" si="348"/>
        <v>0</v>
      </c>
      <c r="Z400" s="581">
        <f>+'8,25'!$I$33</f>
        <v>159.91</v>
      </c>
      <c r="AA400" s="582">
        <f t="shared" si="349"/>
        <v>0</v>
      </c>
      <c r="AB400" s="581">
        <f>+'8,25'!$I$44</f>
        <v>0</v>
      </c>
      <c r="AC400" s="582">
        <f t="shared" si="350"/>
        <v>0</v>
      </c>
      <c r="AE400" s="769" t="e">
        <f t="shared" si="351"/>
        <v>#REF!</v>
      </c>
    </row>
    <row r="401" spans="1:31" ht="38.25" hidden="1" customHeight="1" x14ac:dyDescent="0.2">
      <c r="A401" s="661">
        <v>8.26</v>
      </c>
      <c r="B401" s="601" t="s">
        <v>1263</v>
      </c>
      <c r="C401" s="611" t="s">
        <v>144</v>
      </c>
      <c r="D401" s="576">
        <f t="shared" si="338"/>
        <v>0</v>
      </c>
      <c r="E401" s="577" t="e">
        <f t="shared" si="339"/>
        <v>#REF!</v>
      </c>
      <c r="F401" s="577" t="e">
        <f t="shared" si="340"/>
        <v>#REF!</v>
      </c>
      <c r="G401" s="578"/>
      <c r="I401" s="594"/>
      <c r="J401" s="580" t="e">
        <f t="shared" si="341"/>
        <v>#REF!</v>
      </c>
      <c r="K401" s="537"/>
      <c r="L401" s="445" t="e">
        <f t="shared" si="342"/>
        <v>#REF!</v>
      </c>
      <c r="M401" s="542"/>
      <c r="N401" s="445" t="e">
        <f t="shared" si="343"/>
        <v>#REF!</v>
      </c>
      <c r="O401" s="542"/>
      <c r="P401" s="445" t="e">
        <f t="shared" si="344"/>
        <v>#REF!</v>
      </c>
      <c r="Q401" s="542"/>
      <c r="R401" s="445" t="e">
        <f t="shared" si="345"/>
        <v>#REF!</v>
      </c>
      <c r="S401" s="542"/>
      <c r="T401" s="445" t="e">
        <f t="shared" si="346"/>
        <v>#REF!</v>
      </c>
      <c r="V401" s="581" t="e">
        <f>+'8,26'!$I$22</f>
        <v>#REF!</v>
      </c>
      <c r="W401" s="582" t="e">
        <f t="shared" si="347"/>
        <v>#REF!</v>
      </c>
      <c r="X401" s="581">
        <f>+'8,26'!$I$53</f>
        <v>4861.93</v>
      </c>
      <c r="Y401" s="582">
        <f t="shared" si="348"/>
        <v>0</v>
      </c>
      <c r="Z401" s="581">
        <f>+'8,26'!$I$33</f>
        <v>159.91</v>
      </c>
      <c r="AA401" s="582">
        <f t="shared" si="349"/>
        <v>0</v>
      </c>
      <c r="AB401" s="581">
        <f>+'8,26'!$I$44</f>
        <v>0</v>
      </c>
      <c r="AC401" s="582">
        <f t="shared" si="350"/>
        <v>0</v>
      </c>
      <c r="AE401" s="769" t="e">
        <f t="shared" si="351"/>
        <v>#REF!</v>
      </c>
    </row>
    <row r="402" spans="1:31" ht="38.25" hidden="1" customHeight="1" x14ac:dyDescent="0.2">
      <c r="A402" s="661">
        <v>8.27</v>
      </c>
      <c r="B402" s="601" t="s">
        <v>1264</v>
      </c>
      <c r="C402" s="611" t="s">
        <v>144</v>
      </c>
      <c r="D402" s="576">
        <f t="shared" si="338"/>
        <v>0</v>
      </c>
      <c r="E402" s="577" t="e">
        <f t="shared" si="339"/>
        <v>#REF!</v>
      </c>
      <c r="F402" s="577" t="e">
        <f t="shared" si="340"/>
        <v>#REF!</v>
      </c>
      <c r="G402" s="578"/>
      <c r="I402" s="594"/>
      <c r="J402" s="580" t="e">
        <f t="shared" si="341"/>
        <v>#REF!</v>
      </c>
      <c r="K402" s="537"/>
      <c r="L402" s="445" t="e">
        <f t="shared" si="342"/>
        <v>#REF!</v>
      </c>
      <c r="M402" s="542"/>
      <c r="N402" s="445" t="e">
        <f t="shared" si="343"/>
        <v>#REF!</v>
      </c>
      <c r="O402" s="542"/>
      <c r="P402" s="445" t="e">
        <f t="shared" si="344"/>
        <v>#REF!</v>
      </c>
      <c r="Q402" s="542"/>
      <c r="R402" s="445" t="e">
        <f t="shared" si="345"/>
        <v>#REF!</v>
      </c>
      <c r="S402" s="542"/>
      <c r="T402" s="445" t="e">
        <f t="shared" si="346"/>
        <v>#REF!</v>
      </c>
      <c r="V402" s="581" t="e">
        <f>+'8,27'!$I$22</f>
        <v>#REF!</v>
      </c>
      <c r="W402" s="582" t="e">
        <f t="shared" si="347"/>
        <v>#REF!</v>
      </c>
      <c r="X402" s="581">
        <f>+'8,27'!$I$53</f>
        <v>5556.49</v>
      </c>
      <c r="Y402" s="582">
        <f t="shared" si="348"/>
        <v>0</v>
      </c>
      <c r="Z402" s="581">
        <f>+'8,27'!$I$33</f>
        <v>159.91</v>
      </c>
      <c r="AA402" s="582">
        <f t="shared" si="349"/>
        <v>0</v>
      </c>
      <c r="AB402" s="581">
        <f>+'8,27'!$I$44</f>
        <v>0</v>
      </c>
      <c r="AC402" s="582">
        <f t="shared" si="350"/>
        <v>0</v>
      </c>
      <c r="AE402" s="769" t="e">
        <f t="shared" si="351"/>
        <v>#REF!</v>
      </c>
    </row>
    <row r="403" spans="1:31" ht="38.25" hidden="1" customHeight="1" x14ac:dyDescent="0.2">
      <c r="A403" s="661">
        <v>8.2799999999999994</v>
      </c>
      <c r="B403" s="601" t="s">
        <v>1265</v>
      </c>
      <c r="C403" s="611" t="s">
        <v>144</v>
      </c>
      <c r="D403" s="576">
        <f t="shared" si="338"/>
        <v>0</v>
      </c>
      <c r="E403" s="577" t="e">
        <f t="shared" si="339"/>
        <v>#REF!</v>
      </c>
      <c r="F403" s="577" t="e">
        <f t="shared" si="340"/>
        <v>#REF!</v>
      </c>
      <c r="G403" s="578"/>
      <c r="I403" s="594"/>
      <c r="J403" s="580" t="e">
        <f t="shared" si="341"/>
        <v>#REF!</v>
      </c>
      <c r="K403" s="537"/>
      <c r="L403" s="445" t="e">
        <f t="shared" si="342"/>
        <v>#REF!</v>
      </c>
      <c r="M403" s="542"/>
      <c r="N403" s="445" t="e">
        <f t="shared" si="343"/>
        <v>#REF!</v>
      </c>
      <c r="O403" s="542"/>
      <c r="P403" s="445" t="e">
        <f t="shared" si="344"/>
        <v>#REF!</v>
      </c>
      <c r="Q403" s="542"/>
      <c r="R403" s="445" t="e">
        <f t="shared" si="345"/>
        <v>#REF!</v>
      </c>
      <c r="S403" s="542"/>
      <c r="T403" s="445" t="e">
        <f t="shared" si="346"/>
        <v>#REF!</v>
      </c>
      <c r="V403" s="581" t="e">
        <f>+'8,28'!$I$22</f>
        <v>#REF!</v>
      </c>
      <c r="W403" s="582" t="e">
        <f t="shared" si="347"/>
        <v>#REF!</v>
      </c>
      <c r="X403" s="581">
        <f>+'8,28'!$I$53</f>
        <v>2870.41</v>
      </c>
      <c r="Y403" s="582">
        <f t="shared" si="348"/>
        <v>0</v>
      </c>
      <c r="Z403" s="581">
        <f>+'8,28'!$I$33</f>
        <v>159.91</v>
      </c>
      <c r="AA403" s="582">
        <f t="shared" si="349"/>
        <v>0</v>
      </c>
      <c r="AB403" s="581">
        <f>+'8,28'!$I$44</f>
        <v>0</v>
      </c>
      <c r="AC403" s="582">
        <f t="shared" si="350"/>
        <v>0</v>
      </c>
      <c r="AE403" s="769" t="e">
        <f t="shared" si="351"/>
        <v>#REF!</v>
      </c>
    </row>
    <row r="404" spans="1:31" ht="38.25" hidden="1" customHeight="1" x14ac:dyDescent="0.2">
      <c r="A404" s="661">
        <v>8.2899999999999991</v>
      </c>
      <c r="B404" s="601" t="s">
        <v>1266</v>
      </c>
      <c r="C404" s="611" t="s">
        <v>144</v>
      </c>
      <c r="D404" s="576">
        <f t="shared" si="338"/>
        <v>0</v>
      </c>
      <c r="E404" s="577" t="e">
        <f t="shared" si="339"/>
        <v>#REF!</v>
      </c>
      <c r="F404" s="577" t="e">
        <f t="shared" si="340"/>
        <v>#REF!</v>
      </c>
      <c r="G404" s="578"/>
      <c r="I404" s="594"/>
      <c r="J404" s="580" t="e">
        <f t="shared" si="341"/>
        <v>#REF!</v>
      </c>
      <c r="K404" s="537"/>
      <c r="L404" s="445" t="e">
        <f t="shared" si="342"/>
        <v>#REF!</v>
      </c>
      <c r="M404" s="542"/>
      <c r="N404" s="445" t="e">
        <f t="shared" si="343"/>
        <v>#REF!</v>
      </c>
      <c r="O404" s="542"/>
      <c r="P404" s="445" t="e">
        <f t="shared" si="344"/>
        <v>#REF!</v>
      </c>
      <c r="Q404" s="542"/>
      <c r="R404" s="445" t="e">
        <f t="shared" si="345"/>
        <v>#REF!</v>
      </c>
      <c r="S404" s="542"/>
      <c r="T404" s="445" t="e">
        <f t="shared" si="346"/>
        <v>#REF!</v>
      </c>
      <c r="V404" s="581" t="e">
        <f>+'8,29'!$I$22</f>
        <v>#REF!</v>
      </c>
      <c r="W404" s="582" t="e">
        <f t="shared" si="347"/>
        <v>#REF!</v>
      </c>
      <c r="X404" s="581">
        <f>+'8,29'!$I$53</f>
        <v>3473.21</v>
      </c>
      <c r="Y404" s="582">
        <f t="shared" si="348"/>
        <v>0</v>
      </c>
      <c r="Z404" s="581">
        <f>+'8,29'!$I$33</f>
        <v>159.91</v>
      </c>
      <c r="AA404" s="582">
        <f t="shared" si="349"/>
        <v>0</v>
      </c>
      <c r="AB404" s="581">
        <f>+'8,29'!$I$44</f>
        <v>0</v>
      </c>
      <c r="AC404" s="582">
        <f t="shared" si="350"/>
        <v>0</v>
      </c>
      <c r="AE404" s="769" t="e">
        <f t="shared" si="351"/>
        <v>#REF!</v>
      </c>
    </row>
    <row r="405" spans="1:31" ht="38.25" hidden="1" customHeight="1" x14ac:dyDescent="0.2">
      <c r="A405" s="661" t="s">
        <v>1267</v>
      </c>
      <c r="B405" s="601" t="s">
        <v>1268</v>
      </c>
      <c r="C405" s="611" t="s">
        <v>144</v>
      </c>
      <c r="D405" s="576">
        <f t="shared" si="338"/>
        <v>0</v>
      </c>
      <c r="E405" s="577" t="e">
        <f t="shared" si="339"/>
        <v>#REF!</v>
      </c>
      <c r="F405" s="577" t="e">
        <f t="shared" si="340"/>
        <v>#REF!</v>
      </c>
      <c r="G405" s="578"/>
      <c r="I405" s="594"/>
      <c r="J405" s="580" t="e">
        <f t="shared" si="341"/>
        <v>#REF!</v>
      </c>
      <c r="K405" s="537"/>
      <c r="L405" s="445" t="e">
        <f t="shared" si="342"/>
        <v>#REF!</v>
      </c>
      <c r="M405" s="542"/>
      <c r="N405" s="445" t="e">
        <f t="shared" si="343"/>
        <v>#REF!</v>
      </c>
      <c r="O405" s="542"/>
      <c r="P405" s="445" t="e">
        <f t="shared" si="344"/>
        <v>#REF!</v>
      </c>
      <c r="Q405" s="542"/>
      <c r="R405" s="445" t="e">
        <f t="shared" si="345"/>
        <v>#REF!</v>
      </c>
      <c r="S405" s="542"/>
      <c r="T405" s="445" t="e">
        <f t="shared" si="346"/>
        <v>#REF!</v>
      </c>
      <c r="V405" s="581" t="e">
        <f>+'8,30'!$I$22</f>
        <v>#REF!</v>
      </c>
      <c r="W405" s="582" t="e">
        <f t="shared" si="347"/>
        <v>#REF!</v>
      </c>
      <c r="X405" s="581">
        <f>+'8,30'!$I$53</f>
        <v>4167.04</v>
      </c>
      <c r="Y405" s="582">
        <f t="shared" si="348"/>
        <v>0</v>
      </c>
      <c r="Z405" s="581">
        <f>+'8,30'!$I$33</f>
        <v>159.91</v>
      </c>
      <c r="AA405" s="582">
        <f t="shared" si="349"/>
        <v>0</v>
      </c>
      <c r="AB405" s="581">
        <f>+'8,30'!$I$44</f>
        <v>0</v>
      </c>
      <c r="AC405" s="582">
        <f t="shared" si="350"/>
        <v>0</v>
      </c>
      <c r="AE405" s="769" t="e">
        <f t="shared" si="351"/>
        <v>#REF!</v>
      </c>
    </row>
    <row r="406" spans="1:31" ht="38.25" hidden="1" customHeight="1" x14ac:dyDescent="0.2">
      <c r="A406" s="661">
        <v>8.31</v>
      </c>
      <c r="B406" s="601" t="s">
        <v>1269</v>
      </c>
      <c r="C406" s="611" t="s">
        <v>144</v>
      </c>
      <c r="D406" s="576">
        <f t="shared" si="338"/>
        <v>0</v>
      </c>
      <c r="E406" s="577" t="e">
        <f t="shared" si="339"/>
        <v>#REF!</v>
      </c>
      <c r="F406" s="577" t="e">
        <f t="shared" si="340"/>
        <v>#REF!</v>
      </c>
      <c r="G406" s="578"/>
      <c r="I406" s="594"/>
      <c r="J406" s="580" t="e">
        <f t="shared" si="341"/>
        <v>#REF!</v>
      </c>
      <c r="K406" s="537"/>
      <c r="L406" s="445" t="e">
        <f t="shared" si="342"/>
        <v>#REF!</v>
      </c>
      <c r="M406" s="542"/>
      <c r="N406" s="445" t="e">
        <f t="shared" si="343"/>
        <v>#REF!</v>
      </c>
      <c r="O406" s="542"/>
      <c r="P406" s="445" t="e">
        <f t="shared" si="344"/>
        <v>#REF!</v>
      </c>
      <c r="Q406" s="542"/>
      <c r="R406" s="445" t="e">
        <f t="shared" si="345"/>
        <v>#REF!</v>
      </c>
      <c r="S406" s="542"/>
      <c r="T406" s="445" t="e">
        <f t="shared" si="346"/>
        <v>#REF!</v>
      </c>
      <c r="V406" s="581" t="e">
        <f>+'8,31'!$I$22</f>
        <v>#REF!</v>
      </c>
      <c r="W406" s="582" t="e">
        <f t="shared" si="347"/>
        <v>#REF!</v>
      </c>
      <c r="X406" s="581">
        <f>+'8,31'!$I$53</f>
        <v>2870.41</v>
      </c>
      <c r="Y406" s="582">
        <f t="shared" si="348"/>
        <v>0</v>
      </c>
      <c r="Z406" s="581">
        <f>+'8,31'!$I$33</f>
        <v>159.91</v>
      </c>
      <c r="AA406" s="582">
        <f t="shared" si="349"/>
        <v>0</v>
      </c>
      <c r="AB406" s="581">
        <f>+'8,31'!$I$44</f>
        <v>0</v>
      </c>
      <c r="AC406" s="582">
        <f t="shared" si="350"/>
        <v>0</v>
      </c>
      <c r="AE406" s="769" t="e">
        <f t="shared" si="351"/>
        <v>#REF!</v>
      </c>
    </row>
    <row r="407" spans="1:31" ht="38.25" hidden="1" customHeight="1" x14ac:dyDescent="0.2">
      <c r="A407" s="661">
        <v>8.32</v>
      </c>
      <c r="B407" s="601" t="s">
        <v>1270</v>
      </c>
      <c r="C407" s="611" t="s">
        <v>144</v>
      </c>
      <c r="D407" s="576">
        <f t="shared" si="338"/>
        <v>0</v>
      </c>
      <c r="E407" s="577" t="e">
        <f t="shared" si="339"/>
        <v>#REF!</v>
      </c>
      <c r="F407" s="577" t="e">
        <f t="shared" si="340"/>
        <v>#REF!</v>
      </c>
      <c r="G407" s="578"/>
      <c r="I407" s="594"/>
      <c r="J407" s="580" t="e">
        <f t="shared" si="341"/>
        <v>#REF!</v>
      </c>
      <c r="K407" s="537"/>
      <c r="L407" s="445" t="e">
        <f t="shared" si="342"/>
        <v>#REF!</v>
      </c>
      <c r="M407" s="542"/>
      <c r="N407" s="445" t="e">
        <f t="shared" si="343"/>
        <v>#REF!</v>
      </c>
      <c r="O407" s="542"/>
      <c r="P407" s="445" t="e">
        <f t="shared" si="344"/>
        <v>#REF!</v>
      </c>
      <c r="Q407" s="542"/>
      <c r="R407" s="445" t="e">
        <f t="shared" si="345"/>
        <v>#REF!</v>
      </c>
      <c r="S407" s="542"/>
      <c r="T407" s="445" t="e">
        <f t="shared" si="346"/>
        <v>#REF!</v>
      </c>
      <c r="V407" s="581" t="e">
        <f>+'8,32'!$I$22</f>
        <v>#REF!</v>
      </c>
      <c r="W407" s="582" t="e">
        <f t="shared" si="347"/>
        <v>#REF!</v>
      </c>
      <c r="X407" s="581">
        <f>+'8,32'!$I$53</f>
        <v>4167.13</v>
      </c>
      <c r="Y407" s="582">
        <f t="shared" si="348"/>
        <v>0</v>
      </c>
      <c r="Z407" s="581">
        <f>+'8,32'!$I$33</f>
        <v>159.91</v>
      </c>
      <c r="AA407" s="582">
        <f t="shared" si="349"/>
        <v>0</v>
      </c>
      <c r="AB407" s="581">
        <f>+'8,32'!$I$44</f>
        <v>0</v>
      </c>
      <c r="AC407" s="582">
        <f t="shared" si="350"/>
        <v>0</v>
      </c>
      <c r="AE407" s="769" t="e">
        <f t="shared" si="351"/>
        <v>#REF!</v>
      </c>
    </row>
    <row r="408" spans="1:31" ht="38.25" hidden="1" customHeight="1" x14ac:dyDescent="0.2">
      <c r="A408" s="661">
        <v>8.33</v>
      </c>
      <c r="B408" s="601" t="s">
        <v>1271</v>
      </c>
      <c r="C408" s="611" t="s">
        <v>144</v>
      </c>
      <c r="D408" s="576">
        <f t="shared" si="338"/>
        <v>0</v>
      </c>
      <c r="E408" s="577" t="e">
        <f t="shared" si="339"/>
        <v>#REF!</v>
      </c>
      <c r="F408" s="577" t="e">
        <f t="shared" si="340"/>
        <v>#REF!</v>
      </c>
      <c r="G408" s="578"/>
      <c r="I408" s="594"/>
      <c r="J408" s="580" t="e">
        <f t="shared" si="341"/>
        <v>#REF!</v>
      </c>
      <c r="K408" s="537"/>
      <c r="L408" s="445" t="e">
        <f t="shared" si="342"/>
        <v>#REF!</v>
      </c>
      <c r="M408" s="542"/>
      <c r="N408" s="445" t="e">
        <f t="shared" si="343"/>
        <v>#REF!</v>
      </c>
      <c r="O408" s="542"/>
      <c r="P408" s="445" t="e">
        <f t="shared" si="344"/>
        <v>#REF!</v>
      </c>
      <c r="Q408" s="542"/>
      <c r="R408" s="445" t="e">
        <f t="shared" si="345"/>
        <v>#REF!</v>
      </c>
      <c r="S408" s="542"/>
      <c r="T408" s="445" t="e">
        <f t="shared" si="346"/>
        <v>#REF!</v>
      </c>
      <c r="V408" s="581" t="e">
        <f>+'8,33'!$I$22</f>
        <v>#REF!</v>
      </c>
      <c r="W408" s="582" t="e">
        <f t="shared" si="347"/>
        <v>#REF!</v>
      </c>
      <c r="X408" s="581">
        <f>+'8,33'!$I$53</f>
        <v>4861.93</v>
      </c>
      <c r="Y408" s="582">
        <f t="shared" si="348"/>
        <v>0</v>
      </c>
      <c r="Z408" s="581">
        <f>+'8,33'!$I$33</f>
        <v>159.91</v>
      </c>
      <c r="AA408" s="582">
        <f t="shared" si="349"/>
        <v>0</v>
      </c>
      <c r="AB408" s="581">
        <f>+'8,33'!$I$44</f>
        <v>0</v>
      </c>
      <c r="AC408" s="582">
        <f t="shared" si="350"/>
        <v>0</v>
      </c>
      <c r="AE408" s="769" t="e">
        <f t="shared" si="351"/>
        <v>#REF!</v>
      </c>
    </row>
    <row r="409" spans="1:31" ht="38.25" hidden="1" customHeight="1" x14ac:dyDescent="0.2">
      <c r="A409" s="661">
        <v>8.34</v>
      </c>
      <c r="B409" s="601" t="s">
        <v>1272</v>
      </c>
      <c r="C409" s="611" t="s">
        <v>144</v>
      </c>
      <c r="D409" s="576">
        <f t="shared" si="338"/>
        <v>0</v>
      </c>
      <c r="E409" s="577" t="e">
        <f t="shared" si="339"/>
        <v>#REF!</v>
      </c>
      <c r="F409" s="577" t="e">
        <f t="shared" si="340"/>
        <v>#REF!</v>
      </c>
      <c r="G409" s="578"/>
      <c r="I409" s="594"/>
      <c r="J409" s="580" t="e">
        <f t="shared" si="341"/>
        <v>#REF!</v>
      </c>
      <c r="K409" s="537"/>
      <c r="L409" s="445" t="e">
        <f t="shared" si="342"/>
        <v>#REF!</v>
      </c>
      <c r="M409" s="542"/>
      <c r="N409" s="445" t="e">
        <f t="shared" si="343"/>
        <v>#REF!</v>
      </c>
      <c r="O409" s="542"/>
      <c r="P409" s="445" t="e">
        <f t="shared" si="344"/>
        <v>#REF!</v>
      </c>
      <c r="Q409" s="542"/>
      <c r="R409" s="445" t="e">
        <f t="shared" si="345"/>
        <v>#REF!</v>
      </c>
      <c r="S409" s="542"/>
      <c r="T409" s="445" t="e">
        <f t="shared" si="346"/>
        <v>#REF!</v>
      </c>
      <c r="V409" s="581" t="e">
        <f>+'8,34'!$I$22</f>
        <v>#REF!</v>
      </c>
      <c r="W409" s="582" t="e">
        <f t="shared" si="347"/>
        <v>#REF!</v>
      </c>
      <c r="X409" s="581">
        <f>+'8,34'!$I$53</f>
        <v>4167.13</v>
      </c>
      <c r="Y409" s="582">
        <f t="shared" si="348"/>
        <v>0</v>
      </c>
      <c r="Z409" s="581">
        <f>+'8,34'!$I$33</f>
        <v>159.91</v>
      </c>
      <c r="AA409" s="582">
        <f t="shared" si="349"/>
        <v>0</v>
      </c>
      <c r="AB409" s="581">
        <f>+'8,34'!$I$44</f>
        <v>0</v>
      </c>
      <c r="AC409" s="582">
        <f t="shared" si="350"/>
        <v>0</v>
      </c>
      <c r="AE409" s="769" t="e">
        <f t="shared" si="351"/>
        <v>#REF!</v>
      </c>
    </row>
    <row r="410" spans="1:31" ht="38.25" hidden="1" customHeight="1" x14ac:dyDescent="0.2">
      <c r="A410" s="661">
        <v>8.35</v>
      </c>
      <c r="B410" s="601" t="s">
        <v>1273</v>
      </c>
      <c r="C410" s="611" t="s">
        <v>144</v>
      </c>
      <c r="D410" s="576">
        <f t="shared" si="338"/>
        <v>0</v>
      </c>
      <c r="E410" s="577" t="e">
        <f t="shared" si="339"/>
        <v>#REF!</v>
      </c>
      <c r="F410" s="577" t="e">
        <f t="shared" si="340"/>
        <v>#REF!</v>
      </c>
      <c r="G410" s="578"/>
      <c r="I410" s="594"/>
      <c r="J410" s="580" t="e">
        <f t="shared" si="341"/>
        <v>#REF!</v>
      </c>
      <c r="K410" s="537"/>
      <c r="L410" s="445" t="e">
        <f t="shared" si="342"/>
        <v>#REF!</v>
      </c>
      <c r="M410" s="542"/>
      <c r="N410" s="445" t="e">
        <f t="shared" si="343"/>
        <v>#REF!</v>
      </c>
      <c r="O410" s="542"/>
      <c r="P410" s="445" t="e">
        <f t="shared" si="344"/>
        <v>#REF!</v>
      </c>
      <c r="Q410" s="542"/>
      <c r="R410" s="445" t="e">
        <f t="shared" si="345"/>
        <v>#REF!</v>
      </c>
      <c r="S410" s="542"/>
      <c r="T410" s="445" t="e">
        <f t="shared" si="346"/>
        <v>#REF!</v>
      </c>
      <c r="V410" s="581" t="e">
        <f>+'8,35'!$I$22</f>
        <v>#REF!</v>
      </c>
      <c r="W410" s="582" t="e">
        <f t="shared" si="347"/>
        <v>#REF!</v>
      </c>
      <c r="X410" s="581">
        <f>+'8,35'!$I$53</f>
        <v>5556.49</v>
      </c>
      <c r="Y410" s="582">
        <f t="shared" si="348"/>
        <v>0</v>
      </c>
      <c r="Z410" s="581">
        <f>+'8,35'!$I$33</f>
        <v>159.91</v>
      </c>
      <c r="AA410" s="582">
        <f t="shared" si="349"/>
        <v>0</v>
      </c>
      <c r="AB410" s="581">
        <f>+'8,35'!$I$44</f>
        <v>0</v>
      </c>
      <c r="AC410" s="582">
        <f t="shared" si="350"/>
        <v>0</v>
      </c>
      <c r="AE410" s="769" t="e">
        <f t="shared" si="351"/>
        <v>#REF!</v>
      </c>
    </row>
    <row r="411" spans="1:31" ht="38.25" hidden="1" customHeight="1" x14ac:dyDescent="0.2">
      <c r="A411" s="661">
        <v>8.36</v>
      </c>
      <c r="B411" s="601" t="s">
        <v>1274</v>
      </c>
      <c r="C411" s="611" t="s">
        <v>144</v>
      </c>
      <c r="D411" s="576">
        <f t="shared" si="338"/>
        <v>0</v>
      </c>
      <c r="E411" s="577" t="e">
        <f t="shared" si="339"/>
        <v>#REF!</v>
      </c>
      <c r="F411" s="577" t="e">
        <f t="shared" si="340"/>
        <v>#REF!</v>
      </c>
      <c r="G411" s="578"/>
      <c r="I411" s="594"/>
      <c r="J411" s="580" t="e">
        <f t="shared" si="341"/>
        <v>#REF!</v>
      </c>
      <c r="K411" s="537"/>
      <c r="L411" s="445" t="e">
        <f t="shared" si="342"/>
        <v>#REF!</v>
      </c>
      <c r="M411" s="542"/>
      <c r="N411" s="445" t="e">
        <f t="shared" si="343"/>
        <v>#REF!</v>
      </c>
      <c r="O411" s="542"/>
      <c r="P411" s="445" t="e">
        <f t="shared" si="344"/>
        <v>#REF!</v>
      </c>
      <c r="Q411" s="542"/>
      <c r="R411" s="445" t="e">
        <f t="shared" si="345"/>
        <v>#REF!</v>
      </c>
      <c r="S411" s="542"/>
      <c r="T411" s="445" t="e">
        <f t="shared" si="346"/>
        <v>#REF!</v>
      </c>
      <c r="V411" s="581" t="e">
        <f>+'8,36'!$I$22</f>
        <v>#REF!</v>
      </c>
      <c r="W411" s="582" t="e">
        <f t="shared" si="347"/>
        <v>#REF!</v>
      </c>
      <c r="X411" s="581">
        <f>+'8,36'!$I$53</f>
        <v>6251.78</v>
      </c>
      <c r="Y411" s="582">
        <f t="shared" si="348"/>
        <v>0</v>
      </c>
      <c r="Z411" s="581">
        <f>+'8,36'!$I$33</f>
        <v>159.91</v>
      </c>
      <c r="AA411" s="582">
        <f t="shared" si="349"/>
        <v>0</v>
      </c>
      <c r="AB411" s="581">
        <f>+'8,36'!$I$44</f>
        <v>0</v>
      </c>
      <c r="AC411" s="582">
        <f t="shared" si="350"/>
        <v>0</v>
      </c>
      <c r="AE411" s="769" t="e">
        <f t="shared" si="351"/>
        <v>#REF!</v>
      </c>
    </row>
    <row r="412" spans="1:31" ht="38.25" hidden="1" customHeight="1" x14ac:dyDescent="0.2">
      <c r="A412" s="661">
        <v>8.3699999999999992</v>
      </c>
      <c r="B412" s="601" t="s">
        <v>1275</v>
      </c>
      <c r="C412" s="611" t="s">
        <v>144</v>
      </c>
      <c r="D412" s="576">
        <f t="shared" si="338"/>
        <v>0</v>
      </c>
      <c r="E412" s="577" t="e">
        <f t="shared" si="339"/>
        <v>#REF!</v>
      </c>
      <c r="F412" s="577" t="e">
        <f t="shared" si="340"/>
        <v>#REF!</v>
      </c>
      <c r="G412" s="578"/>
      <c r="I412" s="594"/>
      <c r="J412" s="580" t="e">
        <f t="shared" si="341"/>
        <v>#REF!</v>
      </c>
      <c r="K412" s="537"/>
      <c r="L412" s="445" t="e">
        <f t="shared" si="342"/>
        <v>#REF!</v>
      </c>
      <c r="M412" s="542"/>
      <c r="N412" s="445" t="e">
        <f t="shared" si="343"/>
        <v>#REF!</v>
      </c>
      <c r="O412" s="542"/>
      <c r="P412" s="445" t="e">
        <f t="shared" si="344"/>
        <v>#REF!</v>
      </c>
      <c r="Q412" s="542"/>
      <c r="R412" s="445" t="e">
        <f t="shared" si="345"/>
        <v>#REF!</v>
      </c>
      <c r="S412" s="542"/>
      <c r="T412" s="445" t="e">
        <f t="shared" si="346"/>
        <v>#REF!</v>
      </c>
      <c r="V412" s="581" t="e">
        <f>+'8,37'!$I$22</f>
        <v>#REF!</v>
      </c>
      <c r="W412" s="582" t="e">
        <f t="shared" si="347"/>
        <v>#REF!</v>
      </c>
      <c r="X412" s="581">
        <f>+'8,37'!$I$53</f>
        <v>6944.4</v>
      </c>
      <c r="Y412" s="582">
        <f t="shared" si="348"/>
        <v>0</v>
      </c>
      <c r="Z412" s="581">
        <f>+'8,37'!$I$33</f>
        <v>159.91</v>
      </c>
      <c r="AA412" s="582">
        <f t="shared" si="349"/>
        <v>0</v>
      </c>
      <c r="AB412" s="581">
        <f>+'8,37'!$I$44</f>
        <v>0</v>
      </c>
      <c r="AC412" s="582">
        <f t="shared" si="350"/>
        <v>0</v>
      </c>
      <c r="AE412" s="769" t="e">
        <f t="shared" si="351"/>
        <v>#REF!</v>
      </c>
    </row>
    <row r="413" spans="1:31" ht="38.25" hidden="1" customHeight="1" x14ac:dyDescent="0.2">
      <c r="A413" s="661">
        <v>8.3800000000000008</v>
      </c>
      <c r="B413" s="601" t="s">
        <v>1276</v>
      </c>
      <c r="C413" s="611" t="s">
        <v>144</v>
      </c>
      <c r="D413" s="576">
        <f t="shared" si="338"/>
        <v>0</v>
      </c>
      <c r="E413" s="577" t="e">
        <f t="shared" si="339"/>
        <v>#REF!</v>
      </c>
      <c r="F413" s="577" t="e">
        <f t="shared" si="340"/>
        <v>#REF!</v>
      </c>
      <c r="G413" s="578"/>
      <c r="I413" s="594"/>
      <c r="J413" s="580" t="e">
        <f t="shared" si="341"/>
        <v>#REF!</v>
      </c>
      <c r="K413" s="537"/>
      <c r="L413" s="445" t="e">
        <f t="shared" si="342"/>
        <v>#REF!</v>
      </c>
      <c r="M413" s="542"/>
      <c r="N413" s="445" t="e">
        <f t="shared" si="343"/>
        <v>#REF!</v>
      </c>
      <c r="O413" s="542"/>
      <c r="P413" s="445" t="e">
        <f t="shared" si="344"/>
        <v>#REF!</v>
      </c>
      <c r="Q413" s="542"/>
      <c r="R413" s="445" t="e">
        <f t="shared" si="345"/>
        <v>#REF!</v>
      </c>
      <c r="S413" s="542"/>
      <c r="T413" s="445" t="e">
        <f t="shared" si="346"/>
        <v>#REF!</v>
      </c>
      <c r="V413" s="581" t="e">
        <f>+'8,38'!$I$22</f>
        <v>#REF!</v>
      </c>
      <c r="W413" s="582" t="e">
        <f t="shared" si="347"/>
        <v>#REF!</v>
      </c>
      <c r="X413" s="581">
        <f>+'8,38'!$I$53</f>
        <v>4167.13</v>
      </c>
      <c r="Y413" s="582">
        <f t="shared" si="348"/>
        <v>0</v>
      </c>
      <c r="Z413" s="581">
        <f>+'8,38'!$I$33</f>
        <v>159.91</v>
      </c>
      <c r="AA413" s="582">
        <f t="shared" si="349"/>
        <v>0</v>
      </c>
      <c r="AB413" s="581">
        <f>+'8,38'!$I$44</f>
        <v>0</v>
      </c>
      <c r="AC413" s="582">
        <f t="shared" si="350"/>
        <v>0</v>
      </c>
      <c r="AE413" s="769" t="e">
        <f t="shared" si="351"/>
        <v>#REF!</v>
      </c>
    </row>
    <row r="414" spans="1:31" ht="38.25" x14ac:dyDescent="0.2">
      <c r="A414" s="661">
        <v>8.39</v>
      </c>
      <c r="B414" s="601" t="s">
        <v>1277</v>
      </c>
      <c r="C414" s="611" t="s">
        <v>144</v>
      </c>
      <c r="D414" s="576">
        <f t="shared" si="338"/>
        <v>75</v>
      </c>
      <c r="E414" s="577" t="e">
        <f t="shared" si="339"/>
        <v>#REF!</v>
      </c>
      <c r="F414" s="577" t="e">
        <f t="shared" si="340"/>
        <v>#REF!</v>
      </c>
      <c r="G414" s="578"/>
      <c r="I414" s="594"/>
      <c r="J414" s="580" t="e">
        <f t="shared" si="341"/>
        <v>#REF!</v>
      </c>
      <c r="K414" s="537"/>
      <c r="L414" s="445" t="e">
        <f t="shared" si="342"/>
        <v>#REF!</v>
      </c>
      <c r="M414" s="542"/>
      <c r="N414" s="445" t="e">
        <f t="shared" si="343"/>
        <v>#REF!</v>
      </c>
      <c r="O414" s="542"/>
      <c r="P414" s="445" t="e">
        <f t="shared" si="344"/>
        <v>#REF!</v>
      </c>
      <c r="Q414" s="542"/>
      <c r="R414" s="445" t="e">
        <f t="shared" si="345"/>
        <v>#REF!</v>
      </c>
      <c r="S414" s="542">
        <v>75</v>
      </c>
      <c r="T414" s="445" t="e">
        <f t="shared" si="346"/>
        <v>#REF!</v>
      </c>
      <c r="V414" s="581" t="e">
        <f>+#REF!</f>
        <v>#REF!</v>
      </c>
      <c r="W414" s="582" t="e">
        <f t="shared" si="347"/>
        <v>#REF!</v>
      </c>
      <c r="X414" s="581" t="e">
        <f>+#REF!</f>
        <v>#REF!</v>
      </c>
      <c r="Y414" s="582" t="e">
        <f t="shared" si="348"/>
        <v>#REF!</v>
      </c>
      <c r="Z414" s="581" t="e">
        <f>+#REF!</f>
        <v>#REF!</v>
      </c>
      <c r="AA414" s="582" t="e">
        <f t="shared" si="349"/>
        <v>#REF!</v>
      </c>
      <c r="AB414" s="581" t="e">
        <f>+#REF!</f>
        <v>#REF!</v>
      </c>
      <c r="AC414" s="582" t="e">
        <f t="shared" si="350"/>
        <v>#REF!</v>
      </c>
      <c r="AE414" s="769" t="e">
        <f t="shared" si="351"/>
        <v>#REF!</v>
      </c>
    </row>
    <row r="415" spans="1:31" ht="38.25" hidden="1" customHeight="1" x14ac:dyDescent="0.2">
      <c r="A415" s="661" t="s">
        <v>1278</v>
      </c>
      <c r="B415" s="601" t="s">
        <v>1279</v>
      </c>
      <c r="C415" s="611" t="s">
        <v>144</v>
      </c>
      <c r="D415" s="576">
        <f t="shared" si="338"/>
        <v>0</v>
      </c>
      <c r="E415" s="577" t="e">
        <f t="shared" si="339"/>
        <v>#REF!</v>
      </c>
      <c r="F415" s="577" t="e">
        <f t="shared" si="340"/>
        <v>#REF!</v>
      </c>
      <c r="G415" s="578"/>
      <c r="I415" s="594"/>
      <c r="J415" s="580" t="e">
        <f t="shared" si="341"/>
        <v>#REF!</v>
      </c>
      <c r="K415" s="537"/>
      <c r="L415" s="445" t="e">
        <f t="shared" si="342"/>
        <v>#REF!</v>
      </c>
      <c r="M415" s="542"/>
      <c r="N415" s="445" t="e">
        <f t="shared" si="343"/>
        <v>#REF!</v>
      </c>
      <c r="O415" s="542"/>
      <c r="P415" s="445" t="e">
        <f t="shared" si="344"/>
        <v>#REF!</v>
      </c>
      <c r="Q415" s="542"/>
      <c r="R415" s="445" t="e">
        <f t="shared" si="345"/>
        <v>#REF!</v>
      </c>
      <c r="S415" s="542"/>
      <c r="T415" s="445" t="e">
        <f t="shared" si="346"/>
        <v>#REF!</v>
      </c>
      <c r="V415" s="581" t="e">
        <f>+'8,40'!$I$22</f>
        <v>#REF!</v>
      </c>
      <c r="W415" s="582" t="e">
        <f t="shared" si="347"/>
        <v>#REF!</v>
      </c>
      <c r="X415" s="581">
        <f>+'8,40'!$I$53</f>
        <v>5556.49</v>
      </c>
      <c r="Y415" s="582">
        <f t="shared" si="348"/>
        <v>0</v>
      </c>
      <c r="Z415" s="581">
        <f>+'8,40'!$I$33</f>
        <v>159.91</v>
      </c>
      <c r="AA415" s="582">
        <f t="shared" si="349"/>
        <v>0</v>
      </c>
      <c r="AB415" s="581">
        <f>+'8,40'!$I$44</f>
        <v>0</v>
      </c>
      <c r="AC415" s="582">
        <f t="shared" si="350"/>
        <v>0</v>
      </c>
      <c r="AE415" s="769" t="e">
        <f t="shared" si="351"/>
        <v>#REF!</v>
      </c>
    </row>
    <row r="416" spans="1:31" ht="38.25" x14ac:dyDescent="0.2">
      <c r="A416" s="661" t="s">
        <v>1280</v>
      </c>
      <c r="B416" s="601" t="s">
        <v>1281</v>
      </c>
      <c r="C416" s="611" t="s">
        <v>144</v>
      </c>
      <c r="D416" s="576">
        <f t="shared" si="338"/>
        <v>96</v>
      </c>
      <c r="E416" s="577" t="e">
        <f t="shared" si="339"/>
        <v>#REF!</v>
      </c>
      <c r="F416" s="577" t="e">
        <f t="shared" si="340"/>
        <v>#REF!</v>
      </c>
      <c r="G416" s="578"/>
      <c r="I416" s="594"/>
      <c r="J416" s="580" t="e">
        <f t="shared" si="341"/>
        <v>#REF!</v>
      </c>
      <c r="K416" s="537"/>
      <c r="L416" s="445" t="e">
        <f t="shared" si="342"/>
        <v>#REF!</v>
      </c>
      <c r="M416" s="542"/>
      <c r="N416" s="445" t="e">
        <f t="shared" si="343"/>
        <v>#REF!</v>
      </c>
      <c r="O416" s="542"/>
      <c r="P416" s="445" t="e">
        <f t="shared" si="344"/>
        <v>#REF!</v>
      </c>
      <c r="Q416" s="542"/>
      <c r="R416" s="445" t="e">
        <f t="shared" si="345"/>
        <v>#REF!</v>
      </c>
      <c r="S416" s="542">
        <v>96</v>
      </c>
      <c r="T416" s="445" t="e">
        <f t="shared" si="346"/>
        <v>#REF!</v>
      </c>
      <c r="V416" s="581" t="e">
        <f>+#REF!</f>
        <v>#REF!</v>
      </c>
      <c r="W416" s="582" t="e">
        <f t="shared" si="347"/>
        <v>#REF!</v>
      </c>
      <c r="X416" s="581" t="e">
        <f>+#REF!</f>
        <v>#REF!</v>
      </c>
      <c r="Y416" s="582" t="e">
        <f t="shared" si="348"/>
        <v>#REF!</v>
      </c>
      <c r="Z416" s="581" t="e">
        <f>+#REF!</f>
        <v>#REF!</v>
      </c>
      <c r="AA416" s="582" t="e">
        <f t="shared" si="349"/>
        <v>#REF!</v>
      </c>
      <c r="AB416" s="581" t="e">
        <f>+#REF!</f>
        <v>#REF!</v>
      </c>
      <c r="AC416" s="582" t="e">
        <f t="shared" si="350"/>
        <v>#REF!</v>
      </c>
      <c r="AE416" s="769" t="e">
        <f t="shared" si="351"/>
        <v>#REF!</v>
      </c>
    </row>
    <row r="417" spans="1:31" ht="38.25" x14ac:dyDescent="0.2">
      <c r="A417" s="661" t="s">
        <v>1282</v>
      </c>
      <c r="B417" s="601" t="s">
        <v>1283</v>
      </c>
      <c r="C417" s="611" t="s">
        <v>144</v>
      </c>
      <c r="D417" s="576">
        <f t="shared" si="338"/>
        <v>15</v>
      </c>
      <c r="E417" s="577" t="e">
        <f t="shared" si="339"/>
        <v>#REF!</v>
      </c>
      <c r="F417" s="577" t="e">
        <f t="shared" si="340"/>
        <v>#REF!</v>
      </c>
      <c r="G417" s="578"/>
      <c r="I417" s="594"/>
      <c r="J417" s="580" t="e">
        <f t="shared" si="341"/>
        <v>#REF!</v>
      </c>
      <c r="K417" s="537"/>
      <c r="L417" s="445" t="e">
        <f t="shared" si="342"/>
        <v>#REF!</v>
      </c>
      <c r="M417" s="542"/>
      <c r="N417" s="445" t="e">
        <f t="shared" si="343"/>
        <v>#REF!</v>
      </c>
      <c r="O417" s="542"/>
      <c r="P417" s="445" t="e">
        <f t="shared" si="344"/>
        <v>#REF!</v>
      </c>
      <c r="Q417" s="542"/>
      <c r="R417" s="445" t="e">
        <f t="shared" si="345"/>
        <v>#REF!</v>
      </c>
      <c r="S417" s="542">
        <v>15</v>
      </c>
      <c r="T417" s="445" t="e">
        <f t="shared" si="346"/>
        <v>#REF!</v>
      </c>
      <c r="V417" s="581" t="e">
        <f>+#REF!</f>
        <v>#REF!</v>
      </c>
      <c r="W417" s="582" t="e">
        <f t="shared" si="347"/>
        <v>#REF!</v>
      </c>
      <c r="X417" s="581" t="e">
        <f>+#REF!</f>
        <v>#REF!</v>
      </c>
      <c r="Y417" s="582" t="e">
        <f t="shared" si="348"/>
        <v>#REF!</v>
      </c>
      <c r="Z417" s="581" t="e">
        <f>+#REF!</f>
        <v>#REF!</v>
      </c>
      <c r="AA417" s="582" t="e">
        <f t="shared" si="349"/>
        <v>#REF!</v>
      </c>
      <c r="AB417" s="581" t="e">
        <f>+#REF!</f>
        <v>#REF!</v>
      </c>
      <c r="AC417" s="582" t="e">
        <f t="shared" si="350"/>
        <v>#REF!</v>
      </c>
      <c r="AE417" s="769" t="e">
        <f t="shared" si="351"/>
        <v>#REF!</v>
      </c>
    </row>
    <row r="418" spans="1:31" ht="38.25" hidden="1" customHeight="1" x14ac:dyDescent="0.2">
      <c r="A418" s="661" t="s">
        <v>1284</v>
      </c>
      <c r="B418" s="601" t="s">
        <v>1285</v>
      </c>
      <c r="C418" s="611" t="s">
        <v>144</v>
      </c>
      <c r="D418" s="576">
        <f t="shared" si="338"/>
        <v>0</v>
      </c>
      <c r="E418" s="577" t="e">
        <f t="shared" si="339"/>
        <v>#REF!</v>
      </c>
      <c r="F418" s="577" t="e">
        <f t="shared" si="340"/>
        <v>#REF!</v>
      </c>
      <c r="G418" s="578"/>
      <c r="I418" s="594"/>
      <c r="J418" s="580" t="e">
        <f t="shared" si="341"/>
        <v>#REF!</v>
      </c>
      <c r="K418" s="537"/>
      <c r="L418" s="445" t="e">
        <f t="shared" si="342"/>
        <v>#REF!</v>
      </c>
      <c r="M418" s="542"/>
      <c r="N418" s="445" t="e">
        <f t="shared" si="343"/>
        <v>#REF!</v>
      </c>
      <c r="O418" s="542"/>
      <c r="P418" s="445" t="e">
        <f t="shared" si="344"/>
        <v>#REF!</v>
      </c>
      <c r="Q418" s="542"/>
      <c r="R418" s="445" t="e">
        <f t="shared" si="345"/>
        <v>#REF!</v>
      </c>
      <c r="S418" s="542"/>
      <c r="T418" s="445" t="e">
        <f t="shared" si="346"/>
        <v>#REF!</v>
      </c>
      <c r="V418" s="581" t="e">
        <f>+'8,43'!$I$22</f>
        <v>#REF!</v>
      </c>
      <c r="W418" s="582" t="e">
        <f t="shared" si="347"/>
        <v>#REF!</v>
      </c>
      <c r="X418" s="581">
        <f>+'8,43'!$I$53</f>
        <v>6251.78</v>
      </c>
      <c r="Y418" s="582">
        <f t="shared" si="348"/>
        <v>0</v>
      </c>
      <c r="Z418" s="581">
        <f>+'8,43'!$I$33</f>
        <v>159.91</v>
      </c>
      <c r="AA418" s="582">
        <f t="shared" si="349"/>
        <v>0</v>
      </c>
      <c r="AB418" s="581">
        <f>+'8,43'!$I$44</f>
        <v>0</v>
      </c>
      <c r="AC418" s="582">
        <f t="shared" si="350"/>
        <v>0</v>
      </c>
      <c r="AE418" s="769" t="e">
        <f t="shared" si="351"/>
        <v>#REF!</v>
      </c>
    </row>
    <row r="419" spans="1:31" ht="38.25" hidden="1" customHeight="1" x14ac:dyDescent="0.2">
      <c r="A419" s="661" t="s">
        <v>1286</v>
      </c>
      <c r="B419" s="601" t="s">
        <v>1287</v>
      </c>
      <c r="C419" s="611" t="s">
        <v>144</v>
      </c>
      <c r="D419" s="576">
        <f t="shared" si="338"/>
        <v>0</v>
      </c>
      <c r="E419" s="577" t="e">
        <f t="shared" si="339"/>
        <v>#REF!</v>
      </c>
      <c r="F419" s="577" t="e">
        <f t="shared" si="340"/>
        <v>#REF!</v>
      </c>
      <c r="G419" s="578"/>
      <c r="I419" s="594"/>
      <c r="J419" s="580" t="e">
        <f t="shared" si="341"/>
        <v>#REF!</v>
      </c>
      <c r="K419" s="537"/>
      <c r="L419" s="445" t="e">
        <f t="shared" si="342"/>
        <v>#REF!</v>
      </c>
      <c r="M419" s="542"/>
      <c r="N419" s="445" t="e">
        <f t="shared" si="343"/>
        <v>#REF!</v>
      </c>
      <c r="O419" s="542"/>
      <c r="P419" s="445" t="e">
        <f t="shared" si="344"/>
        <v>#REF!</v>
      </c>
      <c r="Q419" s="542"/>
      <c r="R419" s="445" t="e">
        <f t="shared" si="345"/>
        <v>#REF!</v>
      </c>
      <c r="S419" s="542"/>
      <c r="T419" s="445" t="e">
        <f t="shared" si="346"/>
        <v>#REF!</v>
      </c>
      <c r="V419" s="581" t="e">
        <f>+'8,44'!$I$22</f>
        <v>#REF!</v>
      </c>
      <c r="W419" s="582" t="e">
        <f t="shared" si="347"/>
        <v>#REF!</v>
      </c>
      <c r="X419" s="581">
        <f>+'8,44'!$I$53</f>
        <v>6251.78</v>
      </c>
      <c r="Y419" s="582">
        <f t="shared" si="348"/>
        <v>0</v>
      </c>
      <c r="Z419" s="581">
        <f>+'8,44'!$I$33</f>
        <v>159.91</v>
      </c>
      <c r="AA419" s="582">
        <f t="shared" si="349"/>
        <v>0</v>
      </c>
      <c r="AB419" s="581">
        <f>+'8,44'!$I$44</f>
        <v>0</v>
      </c>
      <c r="AC419" s="582">
        <f t="shared" si="350"/>
        <v>0</v>
      </c>
      <c r="AE419" s="769" t="e">
        <f t="shared" si="351"/>
        <v>#REF!</v>
      </c>
    </row>
    <row r="420" spans="1:31" ht="38.25" hidden="1" customHeight="1" x14ac:dyDescent="0.2">
      <c r="A420" s="661" t="s">
        <v>1288</v>
      </c>
      <c r="B420" s="601" t="s">
        <v>1289</v>
      </c>
      <c r="C420" s="611" t="s">
        <v>144</v>
      </c>
      <c r="D420" s="576">
        <f t="shared" si="338"/>
        <v>0</v>
      </c>
      <c r="E420" s="577" t="e">
        <f t="shared" si="339"/>
        <v>#REF!</v>
      </c>
      <c r="F420" s="577" t="e">
        <f t="shared" si="340"/>
        <v>#REF!</v>
      </c>
      <c r="G420" s="578"/>
      <c r="I420" s="594"/>
      <c r="J420" s="580" t="e">
        <f t="shared" si="341"/>
        <v>#REF!</v>
      </c>
      <c r="K420" s="537"/>
      <c r="L420" s="445" t="e">
        <f t="shared" si="342"/>
        <v>#REF!</v>
      </c>
      <c r="M420" s="542"/>
      <c r="N420" s="445" t="e">
        <f t="shared" si="343"/>
        <v>#REF!</v>
      </c>
      <c r="O420" s="542"/>
      <c r="P420" s="445" t="e">
        <f t="shared" si="344"/>
        <v>#REF!</v>
      </c>
      <c r="Q420" s="542"/>
      <c r="R420" s="445" t="e">
        <f t="shared" si="345"/>
        <v>#REF!</v>
      </c>
      <c r="S420" s="542"/>
      <c r="T420" s="445" t="e">
        <f t="shared" si="346"/>
        <v>#REF!</v>
      </c>
      <c r="V420" s="581" t="e">
        <f>+'8,45'!$I$22</f>
        <v>#REF!</v>
      </c>
      <c r="W420" s="582" t="e">
        <f t="shared" si="347"/>
        <v>#REF!</v>
      </c>
      <c r="X420" s="581">
        <f>+'8,45'!$I$53</f>
        <v>6944.4</v>
      </c>
      <c r="Y420" s="582">
        <f t="shared" si="348"/>
        <v>0</v>
      </c>
      <c r="Z420" s="581">
        <f>+'8,45'!$I$33</f>
        <v>159.91</v>
      </c>
      <c r="AA420" s="582">
        <f t="shared" si="349"/>
        <v>0</v>
      </c>
      <c r="AB420" s="581">
        <f>+'8,45'!$I$44</f>
        <v>0</v>
      </c>
      <c r="AC420" s="582">
        <f t="shared" si="350"/>
        <v>0</v>
      </c>
      <c r="AE420" s="769" t="e">
        <f t="shared" si="351"/>
        <v>#REF!</v>
      </c>
    </row>
    <row r="421" spans="1:31" ht="38.25" hidden="1" customHeight="1" x14ac:dyDescent="0.2">
      <c r="A421" s="661" t="s">
        <v>1290</v>
      </c>
      <c r="B421" s="601" t="s">
        <v>1291</v>
      </c>
      <c r="C421" s="611" t="s">
        <v>144</v>
      </c>
      <c r="D421" s="576">
        <f t="shared" si="338"/>
        <v>0</v>
      </c>
      <c r="E421" s="577" t="e">
        <f t="shared" si="339"/>
        <v>#REF!</v>
      </c>
      <c r="F421" s="577" t="e">
        <f t="shared" si="340"/>
        <v>#REF!</v>
      </c>
      <c r="G421" s="578"/>
      <c r="I421" s="594"/>
      <c r="J421" s="580" t="e">
        <f t="shared" si="341"/>
        <v>#REF!</v>
      </c>
      <c r="K421" s="537"/>
      <c r="L421" s="445" t="e">
        <f t="shared" si="342"/>
        <v>#REF!</v>
      </c>
      <c r="M421" s="542"/>
      <c r="N421" s="445" t="e">
        <f t="shared" si="343"/>
        <v>#REF!</v>
      </c>
      <c r="O421" s="542"/>
      <c r="P421" s="445" t="e">
        <f t="shared" si="344"/>
        <v>#REF!</v>
      </c>
      <c r="Q421" s="542"/>
      <c r="R421" s="445" t="e">
        <f t="shared" si="345"/>
        <v>#REF!</v>
      </c>
      <c r="S421" s="542"/>
      <c r="T421" s="445" t="e">
        <f t="shared" si="346"/>
        <v>#REF!</v>
      </c>
      <c r="V421" s="581" t="e">
        <f>+'8,46'!$I$22</f>
        <v>#REF!</v>
      </c>
      <c r="W421" s="582" t="e">
        <f t="shared" si="347"/>
        <v>#REF!</v>
      </c>
      <c r="X421" s="581">
        <f>+'8,46'!$I$53</f>
        <v>7639.73</v>
      </c>
      <c r="Y421" s="582">
        <f t="shared" si="348"/>
        <v>0</v>
      </c>
      <c r="Z421" s="581">
        <f>+'8,46'!$I$33</f>
        <v>159.91</v>
      </c>
      <c r="AA421" s="582">
        <f t="shared" si="349"/>
        <v>0</v>
      </c>
      <c r="AB421" s="581">
        <f>+'8,46'!$I$44</f>
        <v>0</v>
      </c>
      <c r="AC421" s="582">
        <f t="shared" si="350"/>
        <v>0</v>
      </c>
      <c r="AE421" s="769" t="e">
        <f t="shared" si="351"/>
        <v>#REF!</v>
      </c>
    </row>
    <row r="422" spans="1:31" ht="38.25" hidden="1" customHeight="1" x14ac:dyDescent="0.2">
      <c r="A422" s="661" t="s">
        <v>1292</v>
      </c>
      <c r="B422" s="601" t="s">
        <v>1293</v>
      </c>
      <c r="C422" s="611" t="s">
        <v>144</v>
      </c>
      <c r="D422" s="576">
        <f t="shared" si="338"/>
        <v>0</v>
      </c>
      <c r="E422" s="577" t="e">
        <f t="shared" si="339"/>
        <v>#REF!</v>
      </c>
      <c r="F422" s="577" t="e">
        <f t="shared" si="340"/>
        <v>#REF!</v>
      </c>
      <c r="G422" s="578"/>
      <c r="I422" s="594"/>
      <c r="J422" s="580" t="e">
        <f t="shared" si="341"/>
        <v>#REF!</v>
      </c>
      <c r="K422" s="537"/>
      <c r="L422" s="445" t="e">
        <f t="shared" si="342"/>
        <v>#REF!</v>
      </c>
      <c r="M422" s="542"/>
      <c r="N422" s="445" t="e">
        <f t="shared" si="343"/>
        <v>#REF!</v>
      </c>
      <c r="O422" s="542"/>
      <c r="P422" s="445" t="e">
        <f t="shared" si="344"/>
        <v>#REF!</v>
      </c>
      <c r="Q422" s="542"/>
      <c r="R422" s="445" t="e">
        <f t="shared" si="345"/>
        <v>#REF!</v>
      </c>
      <c r="S422" s="542"/>
      <c r="T422" s="445" t="e">
        <f t="shared" si="346"/>
        <v>#REF!</v>
      </c>
      <c r="V422" s="581" t="e">
        <f>+'8,47'!$I$22</f>
        <v>#REF!</v>
      </c>
      <c r="W422" s="582" t="e">
        <f t="shared" si="347"/>
        <v>#REF!</v>
      </c>
      <c r="X422" s="581">
        <f>+'8,47'!$I$53</f>
        <v>7639.73</v>
      </c>
      <c r="Y422" s="582">
        <f t="shared" si="348"/>
        <v>0</v>
      </c>
      <c r="Z422" s="581">
        <f>+'8,47'!$I$33</f>
        <v>159.91</v>
      </c>
      <c r="AA422" s="582">
        <f t="shared" si="349"/>
        <v>0</v>
      </c>
      <c r="AB422" s="581">
        <f>+'8,47'!$I$44</f>
        <v>0</v>
      </c>
      <c r="AC422" s="582">
        <f t="shared" si="350"/>
        <v>0</v>
      </c>
      <c r="AE422" s="769" t="e">
        <f t="shared" si="351"/>
        <v>#REF!</v>
      </c>
    </row>
    <row r="423" spans="1:31" ht="25.5" x14ac:dyDescent="0.2">
      <c r="A423" s="661" t="s">
        <v>1294</v>
      </c>
      <c r="B423" s="601" t="s">
        <v>1295</v>
      </c>
      <c r="C423" s="611" t="s">
        <v>144</v>
      </c>
      <c r="D423" s="576">
        <f t="shared" si="338"/>
        <v>89</v>
      </c>
      <c r="E423" s="577" t="e">
        <f t="shared" si="339"/>
        <v>#REF!</v>
      </c>
      <c r="F423" s="577" t="e">
        <f t="shared" si="340"/>
        <v>#REF!</v>
      </c>
      <c r="G423" s="578"/>
      <c r="I423" s="594"/>
      <c r="J423" s="580" t="e">
        <f t="shared" si="341"/>
        <v>#REF!</v>
      </c>
      <c r="K423" s="537"/>
      <c r="L423" s="445" t="e">
        <f t="shared" si="342"/>
        <v>#REF!</v>
      </c>
      <c r="M423" s="542"/>
      <c r="N423" s="445" t="e">
        <f t="shared" si="343"/>
        <v>#REF!</v>
      </c>
      <c r="O423" s="542"/>
      <c r="P423" s="445" t="e">
        <f t="shared" si="344"/>
        <v>#REF!</v>
      </c>
      <c r="Q423" s="542"/>
      <c r="R423" s="445" t="e">
        <f t="shared" si="345"/>
        <v>#REF!</v>
      </c>
      <c r="S423" s="542">
        <v>89</v>
      </c>
      <c r="T423" s="445" t="e">
        <f t="shared" si="346"/>
        <v>#REF!</v>
      </c>
      <c r="V423" s="581" t="e">
        <f>+#REF!</f>
        <v>#REF!</v>
      </c>
      <c r="W423" s="582" t="e">
        <f t="shared" si="347"/>
        <v>#REF!</v>
      </c>
      <c r="X423" s="581" t="e">
        <f>+#REF!</f>
        <v>#REF!</v>
      </c>
      <c r="Y423" s="582" t="e">
        <f t="shared" si="348"/>
        <v>#REF!</v>
      </c>
      <c r="Z423" s="581" t="e">
        <f>+#REF!</f>
        <v>#REF!</v>
      </c>
      <c r="AA423" s="582" t="e">
        <f t="shared" si="349"/>
        <v>#REF!</v>
      </c>
      <c r="AB423" s="581" t="e">
        <f>+#REF!</f>
        <v>#REF!</v>
      </c>
      <c r="AC423" s="582" t="e">
        <f t="shared" si="350"/>
        <v>#REF!</v>
      </c>
      <c r="AE423" s="769" t="e">
        <f t="shared" si="351"/>
        <v>#REF!</v>
      </c>
    </row>
    <row r="424" spans="1:31" ht="25.5" x14ac:dyDescent="0.2">
      <c r="A424" s="661" t="s">
        <v>1296</v>
      </c>
      <c r="B424" s="601" t="s">
        <v>1297</v>
      </c>
      <c r="C424" s="611" t="s">
        <v>144</v>
      </c>
      <c r="D424" s="576">
        <f t="shared" si="338"/>
        <v>105</v>
      </c>
      <c r="E424" s="577" t="e">
        <f t="shared" si="339"/>
        <v>#REF!</v>
      </c>
      <c r="F424" s="577" t="e">
        <f t="shared" si="340"/>
        <v>#REF!</v>
      </c>
      <c r="G424" s="578"/>
      <c r="I424" s="594"/>
      <c r="J424" s="580" t="e">
        <f t="shared" si="341"/>
        <v>#REF!</v>
      </c>
      <c r="K424" s="537"/>
      <c r="L424" s="445" t="e">
        <f t="shared" si="342"/>
        <v>#REF!</v>
      </c>
      <c r="M424" s="542"/>
      <c r="N424" s="445" t="e">
        <f t="shared" si="343"/>
        <v>#REF!</v>
      </c>
      <c r="O424" s="542"/>
      <c r="P424" s="445" t="e">
        <f t="shared" si="344"/>
        <v>#REF!</v>
      </c>
      <c r="Q424" s="542"/>
      <c r="R424" s="445" t="e">
        <f t="shared" si="345"/>
        <v>#REF!</v>
      </c>
      <c r="S424" s="542">
        <v>105</v>
      </c>
      <c r="T424" s="445" t="e">
        <f t="shared" si="346"/>
        <v>#REF!</v>
      </c>
      <c r="V424" s="581" t="e">
        <f>+#REF!</f>
        <v>#REF!</v>
      </c>
      <c r="W424" s="582" t="e">
        <f t="shared" si="347"/>
        <v>#REF!</v>
      </c>
      <c r="X424" s="581" t="e">
        <f>+#REF!</f>
        <v>#REF!</v>
      </c>
      <c r="Y424" s="582" t="e">
        <f t="shared" si="348"/>
        <v>#REF!</v>
      </c>
      <c r="Z424" s="581" t="e">
        <f>+#REF!</f>
        <v>#REF!</v>
      </c>
      <c r="AA424" s="582" t="e">
        <f t="shared" si="349"/>
        <v>#REF!</v>
      </c>
      <c r="AB424" s="581" t="e">
        <f>+#REF!</f>
        <v>#REF!</v>
      </c>
      <c r="AC424" s="582" t="e">
        <f t="shared" si="350"/>
        <v>#REF!</v>
      </c>
      <c r="AE424" s="769" t="e">
        <f t="shared" si="351"/>
        <v>#REF!</v>
      </c>
    </row>
    <row r="425" spans="1:31" ht="25.5" x14ac:dyDescent="0.2">
      <c r="A425" s="661" t="s">
        <v>1298</v>
      </c>
      <c r="B425" s="601" t="s">
        <v>1299</v>
      </c>
      <c r="C425" s="611" t="s">
        <v>144</v>
      </c>
      <c r="D425" s="576">
        <f t="shared" si="338"/>
        <v>184</v>
      </c>
      <c r="E425" s="577" t="e">
        <f t="shared" si="339"/>
        <v>#REF!</v>
      </c>
      <c r="F425" s="577" t="e">
        <f t="shared" si="340"/>
        <v>#REF!</v>
      </c>
      <c r="G425" s="578"/>
      <c r="I425" s="594"/>
      <c r="J425" s="580" t="e">
        <f t="shared" si="341"/>
        <v>#REF!</v>
      </c>
      <c r="K425" s="537"/>
      <c r="L425" s="445" t="e">
        <f t="shared" si="342"/>
        <v>#REF!</v>
      </c>
      <c r="M425" s="542"/>
      <c r="N425" s="445" t="e">
        <f t="shared" si="343"/>
        <v>#REF!</v>
      </c>
      <c r="O425" s="542"/>
      <c r="P425" s="445" t="e">
        <f t="shared" si="344"/>
        <v>#REF!</v>
      </c>
      <c r="Q425" s="542"/>
      <c r="R425" s="445" t="e">
        <f t="shared" si="345"/>
        <v>#REF!</v>
      </c>
      <c r="S425" s="542">
        <v>184</v>
      </c>
      <c r="T425" s="445" t="e">
        <f t="shared" si="346"/>
        <v>#REF!</v>
      </c>
      <c r="V425" s="581" t="e">
        <f>+#REF!</f>
        <v>#REF!</v>
      </c>
      <c r="W425" s="582" t="e">
        <f t="shared" si="347"/>
        <v>#REF!</v>
      </c>
      <c r="X425" s="581" t="e">
        <f>+#REF!</f>
        <v>#REF!</v>
      </c>
      <c r="Y425" s="582" t="e">
        <f t="shared" si="348"/>
        <v>#REF!</v>
      </c>
      <c r="Z425" s="581" t="e">
        <f>+#REF!</f>
        <v>#REF!</v>
      </c>
      <c r="AA425" s="582" t="e">
        <f t="shared" si="349"/>
        <v>#REF!</v>
      </c>
      <c r="AB425" s="581" t="e">
        <f>+#REF!</f>
        <v>#REF!</v>
      </c>
      <c r="AC425" s="582" t="e">
        <f t="shared" si="350"/>
        <v>#REF!</v>
      </c>
      <c r="AE425" s="769" t="e">
        <f t="shared" si="351"/>
        <v>#REF!</v>
      </c>
    </row>
    <row r="426" spans="1:31" ht="25.5" hidden="1" customHeight="1" x14ac:dyDescent="0.2">
      <c r="A426" s="661" t="s">
        <v>1300</v>
      </c>
      <c r="B426" s="601" t="s">
        <v>1301</v>
      </c>
      <c r="C426" s="611" t="s">
        <v>110</v>
      </c>
      <c r="D426" s="576">
        <f t="shared" si="338"/>
        <v>0</v>
      </c>
      <c r="E426" s="577" t="e">
        <f t="shared" si="339"/>
        <v>#REF!</v>
      </c>
      <c r="F426" s="577" t="e">
        <f t="shared" si="340"/>
        <v>#REF!</v>
      </c>
      <c r="G426" s="578"/>
      <c r="I426" s="594"/>
      <c r="J426" s="580" t="e">
        <f t="shared" si="341"/>
        <v>#REF!</v>
      </c>
      <c r="K426" s="537"/>
      <c r="L426" s="445" t="e">
        <f t="shared" si="342"/>
        <v>#REF!</v>
      </c>
      <c r="M426" s="542"/>
      <c r="N426" s="445" t="e">
        <f t="shared" si="343"/>
        <v>#REF!</v>
      </c>
      <c r="O426" s="542"/>
      <c r="P426" s="445" t="e">
        <f t="shared" si="344"/>
        <v>#REF!</v>
      </c>
      <c r="Q426" s="542"/>
      <c r="R426" s="445" t="e">
        <f t="shared" si="345"/>
        <v>#REF!</v>
      </c>
      <c r="S426" s="542"/>
      <c r="T426" s="445" t="e">
        <f t="shared" si="346"/>
        <v>#REF!</v>
      </c>
      <c r="V426" s="581" t="e">
        <f>+'8,51'!$I$22</f>
        <v>#REF!</v>
      </c>
      <c r="W426" s="582" t="e">
        <f t="shared" si="347"/>
        <v>#REF!</v>
      </c>
      <c r="X426" s="581">
        <f>+'8,51'!$I$53</f>
        <v>34711.93</v>
      </c>
      <c r="Y426" s="582">
        <f t="shared" si="348"/>
        <v>0</v>
      </c>
      <c r="Z426" s="581">
        <f>+'8,51'!$I$33</f>
        <v>961.14</v>
      </c>
      <c r="AA426" s="582">
        <f t="shared" si="349"/>
        <v>0</v>
      </c>
      <c r="AB426" s="581">
        <f>+'8,51'!$I$44</f>
        <v>0</v>
      </c>
      <c r="AC426" s="582">
        <f t="shared" si="350"/>
        <v>0</v>
      </c>
      <c r="AE426" s="769" t="e">
        <f t="shared" si="351"/>
        <v>#REF!</v>
      </c>
    </row>
    <row r="427" spans="1:31" ht="25.5" hidden="1" customHeight="1" x14ac:dyDescent="0.2">
      <c r="A427" s="661" t="s">
        <v>1302</v>
      </c>
      <c r="B427" s="601" t="s">
        <v>1303</v>
      </c>
      <c r="C427" s="611" t="s">
        <v>110</v>
      </c>
      <c r="D427" s="576">
        <f t="shared" si="338"/>
        <v>0</v>
      </c>
      <c r="E427" s="577" t="e">
        <f t="shared" si="339"/>
        <v>#REF!</v>
      </c>
      <c r="F427" s="577" t="e">
        <f t="shared" si="340"/>
        <v>#REF!</v>
      </c>
      <c r="G427" s="578"/>
      <c r="I427" s="594"/>
      <c r="J427" s="580" t="e">
        <f t="shared" si="341"/>
        <v>#REF!</v>
      </c>
      <c r="K427" s="537"/>
      <c r="L427" s="445" t="e">
        <f t="shared" si="342"/>
        <v>#REF!</v>
      </c>
      <c r="M427" s="542"/>
      <c r="N427" s="445" t="e">
        <f t="shared" si="343"/>
        <v>#REF!</v>
      </c>
      <c r="O427" s="542"/>
      <c r="P427" s="445" t="e">
        <f t="shared" si="344"/>
        <v>#REF!</v>
      </c>
      <c r="Q427" s="542"/>
      <c r="R427" s="445" t="e">
        <f t="shared" si="345"/>
        <v>#REF!</v>
      </c>
      <c r="S427" s="542"/>
      <c r="T427" s="445" t="e">
        <f t="shared" si="346"/>
        <v>#REF!</v>
      </c>
      <c r="V427" s="581" t="e">
        <f>+'8,52'!$I$22</f>
        <v>#REF!</v>
      </c>
      <c r="W427" s="582" t="e">
        <f t="shared" si="347"/>
        <v>#REF!</v>
      </c>
      <c r="X427" s="581">
        <f>+'8,52'!$I$53</f>
        <v>41670.47</v>
      </c>
      <c r="Y427" s="582">
        <f t="shared" si="348"/>
        <v>0</v>
      </c>
      <c r="Z427" s="581">
        <f>+'8,52'!$I$33</f>
        <v>961.14</v>
      </c>
      <c r="AA427" s="582">
        <f t="shared" si="349"/>
        <v>0</v>
      </c>
      <c r="AB427" s="581">
        <f>+'8,52'!$I$44</f>
        <v>0</v>
      </c>
      <c r="AC427" s="582">
        <f t="shared" si="350"/>
        <v>0</v>
      </c>
      <c r="AE427" s="769" t="e">
        <f t="shared" si="351"/>
        <v>#REF!</v>
      </c>
    </row>
    <row r="428" spans="1:31" ht="25.5" x14ac:dyDescent="0.2">
      <c r="A428" s="661" t="s">
        <v>1304</v>
      </c>
      <c r="B428" s="601" t="s">
        <v>1305</v>
      </c>
      <c r="C428" s="611" t="s">
        <v>110</v>
      </c>
      <c r="D428" s="576">
        <f t="shared" si="338"/>
        <v>2</v>
      </c>
      <c r="E428" s="577" t="e">
        <f t="shared" si="339"/>
        <v>#REF!</v>
      </c>
      <c r="F428" s="577" t="e">
        <f t="shared" si="340"/>
        <v>#REF!</v>
      </c>
      <c r="G428" s="578"/>
      <c r="I428" s="594"/>
      <c r="J428" s="580" t="e">
        <f t="shared" si="341"/>
        <v>#REF!</v>
      </c>
      <c r="K428" s="537"/>
      <c r="L428" s="445" t="e">
        <f t="shared" si="342"/>
        <v>#REF!</v>
      </c>
      <c r="M428" s="542"/>
      <c r="N428" s="445" t="e">
        <f t="shared" si="343"/>
        <v>#REF!</v>
      </c>
      <c r="O428" s="542"/>
      <c r="P428" s="445" t="e">
        <f t="shared" si="344"/>
        <v>#REF!</v>
      </c>
      <c r="Q428" s="542"/>
      <c r="R428" s="445" t="e">
        <f t="shared" si="345"/>
        <v>#REF!</v>
      </c>
      <c r="S428" s="542">
        <v>2</v>
      </c>
      <c r="T428" s="445" t="e">
        <f t="shared" si="346"/>
        <v>#REF!</v>
      </c>
      <c r="V428" s="581" t="e">
        <f>+#REF!</f>
        <v>#REF!</v>
      </c>
      <c r="W428" s="582" t="e">
        <f t="shared" si="347"/>
        <v>#REF!</v>
      </c>
      <c r="X428" s="581" t="e">
        <f>+#REF!</f>
        <v>#REF!</v>
      </c>
      <c r="Y428" s="582" t="e">
        <f t="shared" si="348"/>
        <v>#REF!</v>
      </c>
      <c r="Z428" s="581" t="e">
        <f>+#REF!</f>
        <v>#REF!</v>
      </c>
      <c r="AA428" s="582" t="e">
        <f t="shared" si="349"/>
        <v>#REF!</v>
      </c>
      <c r="AB428" s="581" t="e">
        <f>+#REF!</f>
        <v>#REF!</v>
      </c>
      <c r="AC428" s="582" t="e">
        <f t="shared" si="350"/>
        <v>#REF!</v>
      </c>
      <c r="AE428" s="769" t="e">
        <f t="shared" si="351"/>
        <v>#REF!</v>
      </c>
    </row>
    <row r="429" spans="1:31" ht="25.5" x14ac:dyDescent="0.2">
      <c r="A429" s="661" t="s">
        <v>1306</v>
      </c>
      <c r="B429" s="601" t="s">
        <v>1307</v>
      </c>
      <c r="C429" s="611" t="s">
        <v>110</v>
      </c>
      <c r="D429" s="576">
        <f t="shared" si="338"/>
        <v>2</v>
      </c>
      <c r="E429" s="577" t="e">
        <f t="shared" si="339"/>
        <v>#REF!</v>
      </c>
      <c r="F429" s="577" t="e">
        <f t="shared" si="340"/>
        <v>#REF!</v>
      </c>
      <c r="G429" s="578"/>
      <c r="I429" s="594"/>
      <c r="J429" s="580" t="e">
        <f t="shared" si="341"/>
        <v>#REF!</v>
      </c>
      <c r="K429" s="537">
        <v>2</v>
      </c>
      <c r="L429" s="445" t="e">
        <f t="shared" si="342"/>
        <v>#REF!</v>
      </c>
      <c r="M429" s="542"/>
      <c r="N429" s="445" t="e">
        <f t="shared" si="343"/>
        <v>#REF!</v>
      </c>
      <c r="O429" s="542"/>
      <c r="P429" s="445" t="e">
        <f t="shared" si="344"/>
        <v>#REF!</v>
      </c>
      <c r="Q429" s="542"/>
      <c r="R429" s="445" t="e">
        <f t="shared" si="345"/>
        <v>#REF!</v>
      </c>
      <c r="S429" s="542"/>
      <c r="T429" s="445" t="e">
        <f t="shared" si="346"/>
        <v>#REF!</v>
      </c>
      <c r="V429" s="581" t="e">
        <f>+#REF!</f>
        <v>#REF!</v>
      </c>
      <c r="W429" s="582" t="e">
        <f t="shared" si="347"/>
        <v>#REF!</v>
      </c>
      <c r="X429" s="581" t="e">
        <f>+#REF!</f>
        <v>#REF!</v>
      </c>
      <c r="Y429" s="582" t="e">
        <f t="shared" si="348"/>
        <v>#REF!</v>
      </c>
      <c r="Z429" s="581" t="e">
        <f>+#REF!</f>
        <v>#REF!</v>
      </c>
      <c r="AA429" s="582" t="e">
        <f t="shared" si="349"/>
        <v>#REF!</v>
      </c>
      <c r="AB429" s="581" t="e">
        <f>+#REF!</f>
        <v>#REF!</v>
      </c>
      <c r="AC429" s="582" t="e">
        <f t="shared" si="350"/>
        <v>#REF!</v>
      </c>
      <c r="AE429" s="769" t="e">
        <f t="shared" si="351"/>
        <v>#REF!</v>
      </c>
    </row>
    <row r="430" spans="1:31" ht="39.950000000000003" customHeight="1" x14ac:dyDescent="0.2">
      <c r="A430" s="661" t="s">
        <v>1308</v>
      </c>
      <c r="B430" s="601" t="s">
        <v>1309</v>
      </c>
      <c r="C430" s="611" t="s">
        <v>144</v>
      </c>
      <c r="D430" s="576">
        <f t="shared" si="338"/>
        <v>10</v>
      </c>
      <c r="E430" s="577" t="e">
        <f t="shared" si="339"/>
        <v>#REF!</v>
      </c>
      <c r="F430" s="577" t="e">
        <f t="shared" si="340"/>
        <v>#REF!</v>
      </c>
      <c r="G430" s="578"/>
      <c r="I430" s="594"/>
      <c r="J430" s="580" t="e">
        <f t="shared" si="341"/>
        <v>#REF!</v>
      </c>
      <c r="K430" s="537">
        <v>10</v>
      </c>
      <c r="L430" s="445" t="e">
        <f t="shared" si="342"/>
        <v>#REF!</v>
      </c>
      <c r="M430" s="542"/>
      <c r="N430" s="445" t="e">
        <f t="shared" si="343"/>
        <v>#REF!</v>
      </c>
      <c r="O430" s="542"/>
      <c r="P430" s="445" t="e">
        <f t="shared" si="344"/>
        <v>#REF!</v>
      </c>
      <c r="Q430" s="542"/>
      <c r="R430" s="445" t="e">
        <f t="shared" si="345"/>
        <v>#REF!</v>
      </c>
      <c r="S430" s="542"/>
      <c r="T430" s="445" t="e">
        <f t="shared" si="346"/>
        <v>#REF!</v>
      </c>
      <c r="V430" s="581" t="e">
        <f>+#REF!</f>
        <v>#REF!</v>
      </c>
      <c r="W430" s="582" t="e">
        <f t="shared" si="347"/>
        <v>#REF!</v>
      </c>
      <c r="X430" s="581" t="e">
        <f>+#REF!</f>
        <v>#REF!</v>
      </c>
      <c r="Y430" s="582" t="e">
        <f t="shared" si="348"/>
        <v>#REF!</v>
      </c>
      <c r="Z430" s="581" t="e">
        <f>+#REF!</f>
        <v>#REF!</v>
      </c>
      <c r="AA430" s="582" t="e">
        <f t="shared" si="349"/>
        <v>#REF!</v>
      </c>
      <c r="AB430" s="581" t="e">
        <f>+#REF!</f>
        <v>#REF!</v>
      </c>
      <c r="AC430" s="582" t="e">
        <f t="shared" si="350"/>
        <v>#REF!</v>
      </c>
      <c r="AE430" s="769" t="e">
        <f t="shared" si="351"/>
        <v>#REF!</v>
      </c>
    </row>
    <row r="431" spans="1:31" ht="38.25" hidden="1" customHeight="1" x14ac:dyDescent="0.2">
      <c r="A431" s="661" t="s">
        <v>1310</v>
      </c>
      <c r="B431" s="601" t="s">
        <v>1311</v>
      </c>
      <c r="C431" s="611" t="s">
        <v>110</v>
      </c>
      <c r="D431" s="576">
        <f t="shared" si="338"/>
        <v>0</v>
      </c>
      <c r="E431" s="577" t="e">
        <f t="shared" si="339"/>
        <v>#REF!</v>
      </c>
      <c r="F431" s="577" t="e">
        <f t="shared" si="340"/>
        <v>#REF!</v>
      </c>
      <c r="G431" s="578"/>
      <c r="I431" s="594"/>
      <c r="J431" s="580" t="e">
        <f t="shared" si="341"/>
        <v>#REF!</v>
      </c>
      <c r="K431" s="537"/>
      <c r="L431" s="445" t="e">
        <f t="shared" si="342"/>
        <v>#REF!</v>
      </c>
      <c r="M431" s="542"/>
      <c r="N431" s="445" t="e">
        <f t="shared" si="343"/>
        <v>#REF!</v>
      </c>
      <c r="O431" s="542"/>
      <c r="P431" s="445" t="e">
        <f t="shared" si="344"/>
        <v>#REF!</v>
      </c>
      <c r="Q431" s="542"/>
      <c r="R431" s="445" t="e">
        <f t="shared" si="345"/>
        <v>#REF!</v>
      </c>
      <c r="S431" s="542"/>
      <c r="T431" s="445" t="e">
        <f t="shared" si="346"/>
        <v>#REF!</v>
      </c>
      <c r="V431" s="581" t="e">
        <f>+'8,56'!$I$22</f>
        <v>#REF!</v>
      </c>
      <c r="W431" s="582" t="e">
        <f t="shared" si="347"/>
        <v>#REF!</v>
      </c>
      <c r="X431" s="581">
        <f>+'8,56'!$I$53</f>
        <v>83211.88</v>
      </c>
      <c r="Y431" s="582">
        <f t="shared" si="348"/>
        <v>0</v>
      </c>
      <c r="Z431" s="581">
        <f>+'8,56'!$I$33</f>
        <v>71882.659999999989</v>
      </c>
      <c r="AA431" s="582">
        <f t="shared" si="349"/>
        <v>0</v>
      </c>
      <c r="AB431" s="581">
        <f>+'8,56'!$I$44</f>
        <v>0</v>
      </c>
      <c r="AC431" s="582">
        <f t="shared" si="350"/>
        <v>0</v>
      </c>
      <c r="AE431" s="769" t="e">
        <f t="shared" si="351"/>
        <v>#REF!</v>
      </c>
    </row>
    <row r="432" spans="1:31" ht="38.25" hidden="1" customHeight="1" x14ac:dyDescent="0.2">
      <c r="A432" s="661" t="s">
        <v>1312</v>
      </c>
      <c r="B432" s="601" t="s">
        <v>1313</v>
      </c>
      <c r="C432" s="611" t="s">
        <v>110</v>
      </c>
      <c r="D432" s="576">
        <f t="shared" si="338"/>
        <v>0</v>
      </c>
      <c r="E432" s="577" t="e">
        <f t="shared" si="339"/>
        <v>#REF!</v>
      </c>
      <c r="F432" s="577" t="e">
        <f t="shared" si="340"/>
        <v>#REF!</v>
      </c>
      <c r="G432" s="578"/>
      <c r="I432" s="594"/>
      <c r="J432" s="580" t="e">
        <f t="shared" si="341"/>
        <v>#REF!</v>
      </c>
      <c r="K432" s="537"/>
      <c r="L432" s="445" t="e">
        <f t="shared" si="342"/>
        <v>#REF!</v>
      </c>
      <c r="M432" s="542"/>
      <c r="N432" s="445" t="e">
        <f t="shared" si="343"/>
        <v>#REF!</v>
      </c>
      <c r="O432" s="542"/>
      <c r="P432" s="445" t="e">
        <f t="shared" si="344"/>
        <v>#REF!</v>
      </c>
      <c r="Q432" s="542"/>
      <c r="R432" s="445" t="e">
        <f t="shared" si="345"/>
        <v>#REF!</v>
      </c>
      <c r="S432" s="542"/>
      <c r="T432" s="445" t="e">
        <f t="shared" si="346"/>
        <v>#REF!</v>
      </c>
      <c r="V432" s="581" t="e">
        <f>+'8,57'!$I$22</f>
        <v>#REF!</v>
      </c>
      <c r="W432" s="582" t="e">
        <f t="shared" si="347"/>
        <v>#REF!</v>
      </c>
      <c r="X432" s="581">
        <f>+'8,57'!$I$53</f>
        <v>83340.94</v>
      </c>
      <c r="Y432" s="582">
        <f t="shared" si="348"/>
        <v>0</v>
      </c>
      <c r="Z432" s="581">
        <f>+'8,57'!$I$33</f>
        <v>71882.659999999989</v>
      </c>
      <c r="AA432" s="582">
        <f t="shared" si="349"/>
        <v>0</v>
      </c>
      <c r="AB432" s="581">
        <f>+'8,57'!$I$44</f>
        <v>0</v>
      </c>
      <c r="AC432" s="582">
        <f t="shared" si="350"/>
        <v>0</v>
      </c>
      <c r="AE432" s="769" t="e">
        <f t="shared" si="351"/>
        <v>#REF!</v>
      </c>
    </row>
    <row r="433" spans="1:31" ht="38.25" hidden="1" customHeight="1" x14ac:dyDescent="0.2">
      <c r="A433" s="661" t="s">
        <v>1314</v>
      </c>
      <c r="B433" s="601" t="s">
        <v>1315</v>
      </c>
      <c r="C433" s="611" t="s">
        <v>110</v>
      </c>
      <c r="D433" s="576">
        <f t="shared" si="338"/>
        <v>0</v>
      </c>
      <c r="E433" s="577" t="e">
        <f t="shared" si="339"/>
        <v>#REF!</v>
      </c>
      <c r="F433" s="577" t="e">
        <f t="shared" si="340"/>
        <v>#REF!</v>
      </c>
      <c r="G433" s="578"/>
      <c r="I433" s="594"/>
      <c r="J433" s="580" t="e">
        <f t="shared" si="341"/>
        <v>#REF!</v>
      </c>
      <c r="K433" s="537"/>
      <c r="L433" s="445" t="e">
        <f t="shared" si="342"/>
        <v>#REF!</v>
      </c>
      <c r="M433" s="542"/>
      <c r="N433" s="445" t="e">
        <f t="shared" si="343"/>
        <v>#REF!</v>
      </c>
      <c r="O433" s="542"/>
      <c r="P433" s="445" t="e">
        <f t="shared" si="344"/>
        <v>#REF!</v>
      </c>
      <c r="Q433" s="542"/>
      <c r="R433" s="445" t="e">
        <f t="shared" si="345"/>
        <v>#REF!</v>
      </c>
      <c r="S433" s="542"/>
      <c r="T433" s="445" t="e">
        <f t="shared" si="346"/>
        <v>#REF!</v>
      </c>
      <c r="V433" s="581" t="e">
        <f>+'8,58'!$I$22</f>
        <v>#REF!</v>
      </c>
      <c r="W433" s="582" t="e">
        <f t="shared" si="347"/>
        <v>#REF!</v>
      </c>
      <c r="X433" s="581">
        <f>+'8,58'!$I$53</f>
        <v>83340.94</v>
      </c>
      <c r="Y433" s="582">
        <f t="shared" si="348"/>
        <v>0</v>
      </c>
      <c r="Z433" s="581">
        <f>+'8,58'!$I$33</f>
        <v>71882.659999999989</v>
      </c>
      <c r="AA433" s="582">
        <f t="shared" si="349"/>
        <v>0</v>
      </c>
      <c r="AB433" s="581">
        <f>+'8,58'!$I$44</f>
        <v>0</v>
      </c>
      <c r="AC433" s="582">
        <f t="shared" si="350"/>
        <v>0</v>
      </c>
      <c r="AE433" s="769" t="e">
        <f t="shared" si="351"/>
        <v>#REF!</v>
      </c>
    </row>
    <row r="434" spans="1:31" ht="39.950000000000003" customHeight="1" x14ac:dyDescent="0.2">
      <c r="A434" s="661" t="s">
        <v>1316</v>
      </c>
      <c r="B434" s="601" t="s">
        <v>1317</v>
      </c>
      <c r="C434" s="611" t="s">
        <v>110</v>
      </c>
      <c r="D434" s="576">
        <f t="shared" si="338"/>
        <v>2</v>
      </c>
      <c r="E434" s="577" t="e">
        <f t="shared" si="339"/>
        <v>#REF!</v>
      </c>
      <c r="F434" s="577" t="e">
        <f t="shared" si="340"/>
        <v>#REF!</v>
      </c>
      <c r="G434" s="578"/>
      <c r="I434" s="594"/>
      <c r="J434" s="580" t="e">
        <f t="shared" si="341"/>
        <v>#REF!</v>
      </c>
      <c r="K434" s="537"/>
      <c r="L434" s="445" t="e">
        <f t="shared" si="342"/>
        <v>#REF!</v>
      </c>
      <c r="M434" s="542"/>
      <c r="N434" s="445" t="e">
        <f t="shared" si="343"/>
        <v>#REF!</v>
      </c>
      <c r="O434" s="542"/>
      <c r="P434" s="445" t="e">
        <f t="shared" si="344"/>
        <v>#REF!</v>
      </c>
      <c r="Q434" s="542"/>
      <c r="R434" s="445" t="e">
        <f t="shared" si="345"/>
        <v>#REF!</v>
      </c>
      <c r="S434" s="542">
        <v>2</v>
      </c>
      <c r="T434" s="445" t="e">
        <f t="shared" si="346"/>
        <v>#REF!</v>
      </c>
      <c r="V434" s="581" t="e">
        <f>+#REF!</f>
        <v>#REF!</v>
      </c>
      <c r="W434" s="582" t="e">
        <f t="shared" si="347"/>
        <v>#REF!</v>
      </c>
      <c r="X434" s="581" t="e">
        <f>+#REF!</f>
        <v>#REF!</v>
      </c>
      <c r="Y434" s="582" t="e">
        <f t="shared" si="348"/>
        <v>#REF!</v>
      </c>
      <c r="Z434" s="581" t="e">
        <f>+#REF!</f>
        <v>#REF!</v>
      </c>
      <c r="AA434" s="582" t="e">
        <f t="shared" si="349"/>
        <v>#REF!</v>
      </c>
      <c r="AB434" s="581" t="e">
        <f>+#REF!</f>
        <v>#REF!</v>
      </c>
      <c r="AC434" s="582" t="e">
        <f t="shared" si="350"/>
        <v>#REF!</v>
      </c>
      <c r="AE434" s="769" t="e">
        <f t="shared" si="351"/>
        <v>#REF!</v>
      </c>
    </row>
    <row r="435" spans="1:31" ht="25.5" x14ac:dyDescent="0.2">
      <c r="A435" s="661" t="s">
        <v>1318</v>
      </c>
      <c r="B435" s="601" t="s">
        <v>1319</v>
      </c>
      <c r="C435" s="611" t="s">
        <v>110</v>
      </c>
      <c r="D435" s="576">
        <f t="shared" si="338"/>
        <v>7</v>
      </c>
      <c r="E435" s="577" t="e">
        <f t="shared" si="339"/>
        <v>#REF!</v>
      </c>
      <c r="F435" s="577" t="e">
        <f t="shared" si="340"/>
        <v>#REF!</v>
      </c>
      <c r="G435" s="578"/>
      <c r="I435" s="594"/>
      <c r="J435" s="580" t="e">
        <f t="shared" si="341"/>
        <v>#REF!</v>
      </c>
      <c r="K435" s="537"/>
      <c r="L435" s="445" t="e">
        <f t="shared" si="342"/>
        <v>#REF!</v>
      </c>
      <c r="M435" s="542"/>
      <c r="N435" s="445" t="e">
        <f t="shared" si="343"/>
        <v>#REF!</v>
      </c>
      <c r="O435" s="542"/>
      <c r="P435" s="445" t="e">
        <f t="shared" si="344"/>
        <v>#REF!</v>
      </c>
      <c r="Q435" s="542"/>
      <c r="R435" s="445" t="e">
        <f t="shared" si="345"/>
        <v>#REF!</v>
      </c>
      <c r="S435" s="542">
        <v>7</v>
      </c>
      <c r="T435" s="445" t="e">
        <f t="shared" si="346"/>
        <v>#REF!</v>
      </c>
      <c r="V435" s="581" t="e">
        <f>+#REF!</f>
        <v>#REF!</v>
      </c>
      <c r="W435" s="582" t="e">
        <f t="shared" si="347"/>
        <v>#REF!</v>
      </c>
      <c r="X435" s="581" t="e">
        <f>+#REF!</f>
        <v>#REF!</v>
      </c>
      <c r="Y435" s="582" t="e">
        <f t="shared" si="348"/>
        <v>#REF!</v>
      </c>
      <c r="Z435" s="581" t="e">
        <f>+#REF!</f>
        <v>#REF!</v>
      </c>
      <c r="AA435" s="582" t="e">
        <f t="shared" si="349"/>
        <v>#REF!</v>
      </c>
      <c r="AB435" s="581" t="e">
        <f>+#REF!</f>
        <v>#REF!</v>
      </c>
      <c r="AC435" s="582" t="e">
        <f t="shared" si="350"/>
        <v>#REF!</v>
      </c>
      <c r="AE435" s="769" t="e">
        <f t="shared" si="351"/>
        <v>#REF!</v>
      </c>
    </row>
    <row r="436" spans="1:31" ht="25.5" hidden="1" customHeight="1" x14ac:dyDescent="0.2">
      <c r="A436" s="661" t="s">
        <v>1320</v>
      </c>
      <c r="B436" s="601" t="s">
        <v>1321</v>
      </c>
      <c r="C436" s="611" t="s">
        <v>110</v>
      </c>
      <c r="D436" s="576">
        <f t="shared" si="338"/>
        <v>0</v>
      </c>
      <c r="E436" s="577" t="e">
        <f t="shared" si="339"/>
        <v>#REF!</v>
      </c>
      <c r="F436" s="577" t="e">
        <f t="shared" si="340"/>
        <v>#REF!</v>
      </c>
      <c r="G436" s="578"/>
      <c r="I436" s="594"/>
      <c r="J436" s="580" t="e">
        <f t="shared" si="341"/>
        <v>#REF!</v>
      </c>
      <c r="K436" s="537"/>
      <c r="L436" s="445" t="e">
        <f t="shared" si="342"/>
        <v>#REF!</v>
      </c>
      <c r="M436" s="542"/>
      <c r="N436" s="445" t="e">
        <f t="shared" si="343"/>
        <v>#REF!</v>
      </c>
      <c r="O436" s="542"/>
      <c r="P436" s="445" t="e">
        <f t="shared" si="344"/>
        <v>#REF!</v>
      </c>
      <c r="Q436" s="542"/>
      <c r="R436" s="445" t="e">
        <f t="shared" si="345"/>
        <v>#REF!</v>
      </c>
      <c r="S436" s="542"/>
      <c r="T436" s="445" t="e">
        <f t="shared" si="346"/>
        <v>#REF!</v>
      </c>
      <c r="V436" s="581" t="e">
        <f>+'8,61'!$I$22</f>
        <v>#REF!</v>
      </c>
      <c r="W436" s="582" t="e">
        <f t="shared" si="347"/>
        <v>#REF!</v>
      </c>
      <c r="X436" s="581">
        <f>+'8,61'!$I$53</f>
        <v>193218.51</v>
      </c>
      <c r="Y436" s="582">
        <f t="shared" si="348"/>
        <v>0</v>
      </c>
      <c r="Z436" s="581">
        <f>+'8,61'!$I$33</f>
        <v>1883.25</v>
      </c>
      <c r="AA436" s="582">
        <f t="shared" si="349"/>
        <v>0</v>
      </c>
      <c r="AB436" s="581">
        <f>+'8,61'!$I$44</f>
        <v>0</v>
      </c>
      <c r="AC436" s="582">
        <f t="shared" si="350"/>
        <v>0</v>
      </c>
      <c r="AE436" s="769" t="e">
        <f t="shared" si="351"/>
        <v>#REF!</v>
      </c>
    </row>
    <row r="437" spans="1:31" ht="25.5" hidden="1" customHeight="1" x14ac:dyDescent="0.2">
      <c r="A437" s="661" t="s">
        <v>1322</v>
      </c>
      <c r="B437" s="601" t="s">
        <v>1323</v>
      </c>
      <c r="C437" s="611" t="s">
        <v>110</v>
      </c>
      <c r="D437" s="576">
        <f t="shared" si="338"/>
        <v>0</v>
      </c>
      <c r="E437" s="577" t="e">
        <f t="shared" si="339"/>
        <v>#REF!</v>
      </c>
      <c r="F437" s="577" t="e">
        <f t="shared" si="340"/>
        <v>#REF!</v>
      </c>
      <c r="G437" s="578"/>
      <c r="I437" s="594"/>
      <c r="J437" s="580" t="e">
        <f t="shared" si="341"/>
        <v>#REF!</v>
      </c>
      <c r="K437" s="537"/>
      <c r="L437" s="445" t="e">
        <f t="shared" si="342"/>
        <v>#REF!</v>
      </c>
      <c r="M437" s="542"/>
      <c r="N437" s="445" t="e">
        <f t="shared" si="343"/>
        <v>#REF!</v>
      </c>
      <c r="O437" s="542"/>
      <c r="P437" s="445" t="e">
        <f t="shared" si="344"/>
        <v>#REF!</v>
      </c>
      <c r="Q437" s="542"/>
      <c r="R437" s="445" t="e">
        <f t="shared" si="345"/>
        <v>#REF!</v>
      </c>
      <c r="S437" s="542"/>
      <c r="T437" s="445" t="e">
        <f t="shared" si="346"/>
        <v>#REF!</v>
      </c>
      <c r="V437" s="581" t="e">
        <f>+'8,62'!$I$22</f>
        <v>#REF!</v>
      </c>
      <c r="W437" s="582" t="e">
        <f t="shared" si="347"/>
        <v>#REF!</v>
      </c>
      <c r="X437" s="581">
        <f>+'8,62'!$I$53</f>
        <v>289476.46000000002</v>
      </c>
      <c r="Y437" s="582">
        <f t="shared" si="348"/>
        <v>0</v>
      </c>
      <c r="Z437" s="581">
        <f>+'8,62'!$I$33</f>
        <v>1883.25</v>
      </c>
      <c r="AA437" s="582">
        <f t="shared" si="349"/>
        <v>0</v>
      </c>
      <c r="AB437" s="581">
        <f>+'8,62'!$I$44</f>
        <v>0</v>
      </c>
      <c r="AC437" s="582">
        <f t="shared" si="350"/>
        <v>0</v>
      </c>
      <c r="AE437" s="769" t="e">
        <f t="shared" si="351"/>
        <v>#REF!</v>
      </c>
    </row>
    <row r="438" spans="1:31" ht="39.950000000000003" customHeight="1" x14ac:dyDescent="0.2">
      <c r="A438" s="661" t="s">
        <v>1324</v>
      </c>
      <c r="B438" s="601" t="s">
        <v>1325</v>
      </c>
      <c r="C438" s="611" t="s">
        <v>110</v>
      </c>
      <c r="D438" s="576">
        <f t="shared" si="338"/>
        <v>1</v>
      </c>
      <c r="E438" s="577" t="e">
        <f t="shared" si="339"/>
        <v>#REF!</v>
      </c>
      <c r="F438" s="577" t="e">
        <f t="shared" si="340"/>
        <v>#REF!</v>
      </c>
      <c r="G438" s="578"/>
      <c r="I438" s="594"/>
      <c r="J438" s="580" t="e">
        <f t="shared" si="341"/>
        <v>#REF!</v>
      </c>
      <c r="K438" s="537"/>
      <c r="L438" s="445" t="e">
        <f t="shared" si="342"/>
        <v>#REF!</v>
      </c>
      <c r="M438" s="542"/>
      <c r="N438" s="445" t="e">
        <f t="shared" si="343"/>
        <v>#REF!</v>
      </c>
      <c r="O438" s="542"/>
      <c r="P438" s="445" t="e">
        <f t="shared" si="344"/>
        <v>#REF!</v>
      </c>
      <c r="Q438" s="542"/>
      <c r="R438" s="445" t="e">
        <f t="shared" si="345"/>
        <v>#REF!</v>
      </c>
      <c r="S438" s="542">
        <v>1</v>
      </c>
      <c r="T438" s="445" t="e">
        <f t="shared" si="346"/>
        <v>#REF!</v>
      </c>
      <c r="V438" s="581" t="e">
        <f>+#REF!</f>
        <v>#REF!</v>
      </c>
      <c r="W438" s="582" t="e">
        <f t="shared" si="347"/>
        <v>#REF!</v>
      </c>
      <c r="X438" s="581" t="e">
        <f>+#REF!</f>
        <v>#REF!</v>
      </c>
      <c r="Y438" s="582" t="e">
        <f t="shared" si="348"/>
        <v>#REF!</v>
      </c>
      <c r="Z438" s="581" t="e">
        <f>+#REF!</f>
        <v>#REF!</v>
      </c>
      <c r="AA438" s="582" t="e">
        <f t="shared" si="349"/>
        <v>#REF!</v>
      </c>
      <c r="AB438" s="581" t="e">
        <f>+#REF!</f>
        <v>#REF!</v>
      </c>
      <c r="AC438" s="582" t="e">
        <f t="shared" si="350"/>
        <v>#REF!</v>
      </c>
      <c r="AE438" s="769" t="e">
        <f t="shared" si="351"/>
        <v>#REF!</v>
      </c>
    </row>
    <row r="439" spans="1:31" ht="25.5" hidden="1" customHeight="1" x14ac:dyDescent="0.2">
      <c r="A439" s="661" t="s">
        <v>1326</v>
      </c>
      <c r="B439" s="601" t="s">
        <v>1327</v>
      </c>
      <c r="C439" s="611" t="s">
        <v>110</v>
      </c>
      <c r="D439" s="576">
        <f t="shared" si="338"/>
        <v>0</v>
      </c>
      <c r="E439" s="577" t="e">
        <f t="shared" si="339"/>
        <v>#REF!</v>
      </c>
      <c r="F439" s="577" t="e">
        <f t="shared" si="340"/>
        <v>#REF!</v>
      </c>
      <c r="G439" s="578"/>
      <c r="I439" s="594"/>
      <c r="J439" s="580" t="e">
        <f t="shared" si="341"/>
        <v>#REF!</v>
      </c>
      <c r="K439" s="537"/>
      <c r="L439" s="445" t="e">
        <f t="shared" si="342"/>
        <v>#REF!</v>
      </c>
      <c r="M439" s="542"/>
      <c r="N439" s="445" t="e">
        <f t="shared" si="343"/>
        <v>#REF!</v>
      </c>
      <c r="O439" s="542"/>
      <c r="P439" s="445" t="e">
        <f t="shared" si="344"/>
        <v>#REF!</v>
      </c>
      <c r="Q439" s="542"/>
      <c r="R439" s="445" t="e">
        <f t="shared" si="345"/>
        <v>#REF!</v>
      </c>
      <c r="S439" s="542"/>
      <c r="T439" s="445" t="e">
        <f t="shared" si="346"/>
        <v>#REF!</v>
      </c>
      <c r="V439" s="581" t="e">
        <f>+'8,64'!$I$22</f>
        <v>#REF!</v>
      </c>
      <c r="W439" s="582" t="e">
        <f t="shared" si="347"/>
        <v>#REF!</v>
      </c>
      <c r="X439" s="581">
        <f>+'8,64'!$I$53</f>
        <v>96570.19</v>
      </c>
      <c r="Y439" s="582">
        <f t="shared" si="348"/>
        <v>0</v>
      </c>
      <c r="Z439" s="581">
        <f>+'8,64'!$I$33</f>
        <v>78345.41</v>
      </c>
      <c r="AA439" s="582">
        <f t="shared" si="349"/>
        <v>0</v>
      </c>
      <c r="AB439" s="581">
        <f>+'8,64'!$I$44</f>
        <v>0</v>
      </c>
      <c r="AC439" s="582">
        <f t="shared" si="350"/>
        <v>0</v>
      </c>
      <c r="AE439" s="769" t="e">
        <f t="shared" si="351"/>
        <v>#REF!</v>
      </c>
    </row>
    <row r="440" spans="1:31" ht="25.5" hidden="1" customHeight="1" x14ac:dyDescent="0.2">
      <c r="A440" s="661" t="s">
        <v>1328</v>
      </c>
      <c r="B440" s="601" t="s">
        <v>1329</v>
      </c>
      <c r="C440" s="611" t="s">
        <v>110</v>
      </c>
      <c r="D440" s="576">
        <f t="shared" ref="D440:D467" si="352">+I440+K440+M440+O440+Q440+S440</f>
        <v>0</v>
      </c>
      <c r="E440" s="577" t="e">
        <f t="shared" ref="E440:E467" si="353">V440+X440+Z440+AB440</f>
        <v>#REF!</v>
      </c>
      <c r="F440" s="577" t="e">
        <f t="shared" ref="F440:F467" si="354">ROUND(D440*E440,10)</f>
        <v>#REF!</v>
      </c>
      <c r="G440" s="578"/>
      <c r="I440" s="594"/>
      <c r="J440" s="580" t="e">
        <f t="shared" si="341"/>
        <v>#REF!</v>
      </c>
      <c r="K440" s="537"/>
      <c r="L440" s="445" t="e">
        <f t="shared" si="342"/>
        <v>#REF!</v>
      </c>
      <c r="M440" s="542"/>
      <c r="N440" s="445" t="e">
        <f t="shared" si="343"/>
        <v>#REF!</v>
      </c>
      <c r="O440" s="542"/>
      <c r="P440" s="445" t="e">
        <f t="shared" si="344"/>
        <v>#REF!</v>
      </c>
      <c r="Q440" s="542"/>
      <c r="R440" s="445" t="e">
        <f t="shared" si="345"/>
        <v>#REF!</v>
      </c>
      <c r="S440" s="542"/>
      <c r="T440" s="445" t="e">
        <f t="shared" si="346"/>
        <v>#REF!</v>
      </c>
      <c r="V440" s="581" t="e">
        <f>+'8,65'!$I$22</f>
        <v>#REF!</v>
      </c>
      <c r="W440" s="582" t="e">
        <f t="shared" si="347"/>
        <v>#REF!</v>
      </c>
      <c r="X440" s="581">
        <f>+'8,65'!$I$53</f>
        <v>96570.19</v>
      </c>
      <c r="Y440" s="582">
        <f t="shared" si="348"/>
        <v>0</v>
      </c>
      <c r="Z440" s="581">
        <f>+'8,65'!$I$33</f>
        <v>78345.41</v>
      </c>
      <c r="AA440" s="582">
        <f t="shared" si="349"/>
        <v>0</v>
      </c>
      <c r="AB440" s="581">
        <f>+'8,65'!$I$44</f>
        <v>0</v>
      </c>
      <c r="AC440" s="582">
        <f t="shared" si="350"/>
        <v>0</v>
      </c>
      <c r="AE440" s="769" t="e">
        <f t="shared" si="351"/>
        <v>#REF!</v>
      </c>
    </row>
    <row r="441" spans="1:31" ht="25.5" hidden="1" customHeight="1" x14ac:dyDescent="0.2">
      <c r="A441" s="661" t="s">
        <v>1330</v>
      </c>
      <c r="B441" s="601" t="s">
        <v>1331</v>
      </c>
      <c r="C441" s="611" t="s">
        <v>110</v>
      </c>
      <c r="D441" s="576">
        <f t="shared" si="352"/>
        <v>0</v>
      </c>
      <c r="E441" s="577" t="e">
        <f t="shared" si="353"/>
        <v>#REF!</v>
      </c>
      <c r="F441" s="577" t="e">
        <f t="shared" si="354"/>
        <v>#REF!</v>
      </c>
      <c r="G441" s="578"/>
      <c r="I441" s="594"/>
      <c r="J441" s="580" t="e">
        <f t="shared" ref="J441:J467" si="355">+ROUND(E441*I441,10)</f>
        <v>#REF!</v>
      </c>
      <c r="K441" s="537"/>
      <c r="L441" s="445" t="e">
        <f t="shared" ref="L441:L467" si="356">+ROUND(E441*K441,10)</f>
        <v>#REF!</v>
      </c>
      <c r="M441" s="542"/>
      <c r="N441" s="445" t="e">
        <f t="shared" ref="N441:N467" si="357">+ROUND(E441*M441,10)</f>
        <v>#REF!</v>
      </c>
      <c r="O441" s="542"/>
      <c r="P441" s="445" t="e">
        <f t="shared" ref="P441:P467" si="358">+ROUND(E441*O441,10)</f>
        <v>#REF!</v>
      </c>
      <c r="Q441" s="542"/>
      <c r="R441" s="445" t="e">
        <f t="shared" ref="R441:R467" si="359">+ROUND(E441*Q441,10)</f>
        <v>#REF!</v>
      </c>
      <c r="S441" s="542"/>
      <c r="T441" s="445" t="e">
        <f t="shared" ref="T441:T467" si="360">+ROUND(E441*S441,10)</f>
        <v>#REF!</v>
      </c>
      <c r="V441" s="581" t="e">
        <f>+'8,66'!$I$22</f>
        <v>#REF!</v>
      </c>
      <c r="W441" s="582" t="e">
        <f t="shared" ref="W441:W467" si="361">ROUND(V441*$D441,10)</f>
        <v>#REF!</v>
      </c>
      <c r="X441" s="581">
        <f>+'8,66'!$I$53</f>
        <v>96570.19</v>
      </c>
      <c r="Y441" s="582">
        <f t="shared" si="348"/>
        <v>0</v>
      </c>
      <c r="Z441" s="581">
        <f>+'8,66'!$I$33</f>
        <v>78345.41</v>
      </c>
      <c r="AA441" s="582">
        <f t="shared" si="349"/>
        <v>0</v>
      </c>
      <c r="AB441" s="581">
        <f>+'8,66'!$I$44</f>
        <v>0</v>
      </c>
      <c r="AC441" s="582">
        <f t="shared" si="350"/>
        <v>0</v>
      </c>
      <c r="AE441" s="769" t="e">
        <f t="shared" si="351"/>
        <v>#REF!</v>
      </c>
    </row>
    <row r="442" spans="1:31" ht="42.75" hidden="1" customHeight="1" x14ac:dyDescent="0.2">
      <c r="A442" s="661" t="s">
        <v>1332</v>
      </c>
      <c r="B442" s="601" t="s">
        <v>1333</v>
      </c>
      <c r="C442" s="611" t="s">
        <v>110</v>
      </c>
      <c r="D442" s="576">
        <f t="shared" si="352"/>
        <v>0</v>
      </c>
      <c r="E442" s="577" t="e">
        <f t="shared" si="353"/>
        <v>#REF!</v>
      </c>
      <c r="F442" s="577" t="e">
        <f t="shared" si="354"/>
        <v>#REF!</v>
      </c>
      <c r="G442" s="578"/>
      <c r="I442" s="594"/>
      <c r="J442" s="580" t="e">
        <f t="shared" si="355"/>
        <v>#REF!</v>
      </c>
      <c r="K442" s="537"/>
      <c r="L442" s="445" t="e">
        <f t="shared" si="356"/>
        <v>#REF!</v>
      </c>
      <c r="M442" s="542"/>
      <c r="N442" s="445" t="e">
        <f t="shared" si="357"/>
        <v>#REF!</v>
      </c>
      <c r="O442" s="542"/>
      <c r="P442" s="445" t="e">
        <f t="shared" si="358"/>
        <v>#REF!</v>
      </c>
      <c r="Q442" s="542"/>
      <c r="R442" s="445" t="e">
        <f t="shared" si="359"/>
        <v>#REF!</v>
      </c>
      <c r="S442" s="542"/>
      <c r="T442" s="445" t="e">
        <f t="shared" si="360"/>
        <v>#REF!</v>
      </c>
      <c r="V442" s="581" t="e">
        <f>+'8,67'!$I$22</f>
        <v>#REF!</v>
      </c>
      <c r="W442" s="582" t="e">
        <f t="shared" si="361"/>
        <v>#REF!</v>
      </c>
      <c r="X442" s="581">
        <f>+'8,67'!$I$53</f>
        <v>133417.92000000001</v>
      </c>
      <c r="Y442" s="582">
        <f t="shared" ref="Y442:Y467" si="362">ROUND(X442*$D442,10)</f>
        <v>0</v>
      </c>
      <c r="Z442" s="581">
        <f>+'8,67'!$I$33</f>
        <v>74203.710000000006</v>
      </c>
      <c r="AA442" s="582">
        <f t="shared" ref="AA442:AA467" si="363">ROUND(Z442*$D442,10)</f>
        <v>0</v>
      </c>
      <c r="AB442" s="581">
        <f>+'8,67'!$I$44</f>
        <v>0</v>
      </c>
      <c r="AC442" s="582">
        <f t="shared" ref="AC442:AC467" si="364">ROUND(AB442*$D442,10)</f>
        <v>0</v>
      </c>
      <c r="AE442" s="769" t="e">
        <f t="shared" si="351"/>
        <v>#REF!</v>
      </c>
    </row>
    <row r="443" spans="1:31" ht="38.25" x14ac:dyDescent="0.2">
      <c r="A443" s="661" t="s">
        <v>1334</v>
      </c>
      <c r="B443" s="601" t="s">
        <v>1335</v>
      </c>
      <c r="C443" s="611" t="s">
        <v>110</v>
      </c>
      <c r="D443" s="576">
        <f t="shared" si="352"/>
        <v>1</v>
      </c>
      <c r="E443" s="577" t="e">
        <f t="shared" si="353"/>
        <v>#REF!</v>
      </c>
      <c r="F443" s="577" t="e">
        <f t="shared" si="354"/>
        <v>#REF!</v>
      </c>
      <c r="G443" s="578"/>
      <c r="I443" s="594"/>
      <c r="J443" s="580" t="e">
        <f t="shared" si="355"/>
        <v>#REF!</v>
      </c>
      <c r="K443" s="537"/>
      <c r="L443" s="445" t="e">
        <f t="shared" si="356"/>
        <v>#REF!</v>
      </c>
      <c r="M443" s="542"/>
      <c r="N443" s="445" t="e">
        <f t="shared" si="357"/>
        <v>#REF!</v>
      </c>
      <c r="O443" s="542"/>
      <c r="P443" s="445" t="e">
        <f t="shared" si="358"/>
        <v>#REF!</v>
      </c>
      <c r="Q443" s="542"/>
      <c r="R443" s="445" t="e">
        <f t="shared" si="359"/>
        <v>#REF!</v>
      </c>
      <c r="S443" s="542">
        <v>1</v>
      </c>
      <c r="T443" s="445" t="e">
        <f t="shared" si="360"/>
        <v>#REF!</v>
      </c>
      <c r="V443" s="581" t="e">
        <f>+#REF!</f>
        <v>#REF!</v>
      </c>
      <c r="W443" s="582" t="e">
        <f t="shared" si="361"/>
        <v>#REF!</v>
      </c>
      <c r="X443" s="581" t="e">
        <f>+#REF!</f>
        <v>#REF!</v>
      </c>
      <c r="Y443" s="582" t="e">
        <f t="shared" si="362"/>
        <v>#REF!</v>
      </c>
      <c r="Z443" s="581" t="e">
        <f>+#REF!</f>
        <v>#REF!</v>
      </c>
      <c r="AA443" s="582" t="e">
        <f t="shared" si="363"/>
        <v>#REF!</v>
      </c>
      <c r="AB443" s="581" t="e">
        <f>+#REF!</f>
        <v>#REF!</v>
      </c>
      <c r="AC443" s="582" t="e">
        <f t="shared" si="364"/>
        <v>#REF!</v>
      </c>
      <c r="AE443" s="769" t="e">
        <f t="shared" si="351"/>
        <v>#REF!</v>
      </c>
    </row>
    <row r="444" spans="1:31" ht="38.25" hidden="1" customHeight="1" x14ac:dyDescent="0.2">
      <c r="A444" s="661" t="s">
        <v>1336</v>
      </c>
      <c r="B444" s="601" t="s">
        <v>1337</v>
      </c>
      <c r="C444" s="611" t="s">
        <v>110</v>
      </c>
      <c r="D444" s="576">
        <f t="shared" si="352"/>
        <v>0</v>
      </c>
      <c r="E444" s="577" t="e">
        <f t="shared" si="353"/>
        <v>#REF!</v>
      </c>
      <c r="F444" s="577" t="e">
        <f t="shared" si="354"/>
        <v>#REF!</v>
      </c>
      <c r="G444" s="578"/>
      <c r="I444" s="594"/>
      <c r="J444" s="580" t="e">
        <f t="shared" si="355"/>
        <v>#REF!</v>
      </c>
      <c r="K444" s="537"/>
      <c r="L444" s="445" t="e">
        <f t="shared" si="356"/>
        <v>#REF!</v>
      </c>
      <c r="M444" s="542"/>
      <c r="N444" s="445" t="e">
        <f t="shared" si="357"/>
        <v>#REF!</v>
      </c>
      <c r="O444" s="542"/>
      <c r="P444" s="445" t="e">
        <f t="shared" si="358"/>
        <v>#REF!</v>
      </c>
      <c r="Q444" s="542"/>
      <c r="R444" s="445" t="e">
        <f t="shared" si="359"/>
        <v>#REF!</v>
      </c>
      <c r="S444" s="542"/>
      <c r="T444" s="445" t="e">
        <f t="shared" si="360"/>
        <v>#REF!</v>
      </c>
      <c r="V444" s="581" t="e">
        <f>+'8,69'!$I$22</f>
        <v>#REF!</v>
      </c>
      <c r="W444" s="582" t="e">
        <f t="shared" si="361"/>
        <v>#REF!</v>
      </c>
      <c r="X444" s="581">
        <f>+'8,69'!$I$53</f>
        <v>133417.92000000001</v>
      </c>
      <c r="Y444" s="582">
        <f t="shared" si="362"/>
        <v>0</v>
      </c>
      <c r="Z444" s="581">
        <f>+'8,69'!$I$33</f>
        <v>74203.710000000006</v>
      </c>
      <c r="AA444" s="582">
        <f t="shared" si="363"/>
        <v>0</v>
      </c>
      <c r="AB444" s="581">
        <f>+'8,69'!$I$44</f>
        <v>0</v>
      </c>
      <c r="AC444" s="582">
        <f t="shared" si="364"/>
        <v>0</v>
      </c>
      <c r="AE444" s="769" t="e">
        <f t="shared" si="351"/>
        <v>#REF!</v>
      </c>
    </row>
    <row r="445" spans="1:31" ht="38.25" hidden="1" customHeight="1" x14ac:dyDescent="0.2">
      <c r="A445" s="661" t="s">
        <v>1338</v>
      </c>
      <c r="B445" s="601" t="s">
        <v>1339</v>
      </c>
      <c r="C445" s="611" t="s">
        <v>110</v>
      </c>
      <c r="D445" s="576">
        <f t="shared" si="352"/>
        <v>0</v>
      </c>
      <c r="E445" s="577" t="e">
        <f t="shared" si="353"/>
        <v>#REF!</v>
      </c>
      <c r="F445" s="577" t="e">
        <f t="shared" si="354"/>
        <v>#REF!</v>
      </c>
      <c r="G445" s="578"/>
      <c r="I445" s="594"/>
      <c r="J445" s="580" t="e">
        <f t="shared" si="355"/>
        <v>#REF!</v>
      </c>
      <c r="K445" s="537"/>
      <c r="L445" s="445" t="e">
        <f t="shared" si="356"/>
        <v>#REF!</v>
      </c>
      <c r="M445" s="542"/>
      <c r="N445" s="445" t="e">
        <f t="shared" si="357"/>
        <v>#REF!</v>
      </c>
      <c r="O445" s="542"/>
      <c r="P445" s="445" t="e">
        <f t="shared" si="358"/>
        <v>#REF!</v>
      </c>
      <c r="Q445" s="542"/>
      <c r="R445" s="445" t="e">
        <f t="shared" si="359"/>
        <v>#REF!</v>
      </c>
      <c r="S445" s="542"/>
      <c r="T445" s="445" t="e">
        <f t="shared" si="360"/>
        <v>#REF!</v>
      </c>
      <c r="V445" s="581" t="e">
        <f>+'8,70'!$I$22</f>
        <v>#REF!</v>
      </c>
      <c r="W445" s="582" t="e">
        <f t="shared" si="361"/>
        <v>#REF!</v>
      </c>
      <c r="X445" s="581">
        <f>+'8,70'!$I$53</f>
        <v>133417.92000000001</v>
      </c>
      <c r="Y445" s="582">
        <f t="shared" si="362"/>
        <v>0</v>
      </c>
      <c r="Z445" s="581">
        <f>+'8,70'!$I$33</f>
        <v>74203.710000000006</v>
      </c>
      <c r="AA445" s="582">
        <f t="shared" si="363"/>
        <v>0</v>
      </c>
      <c r="AB445" s="581">
        <f>+'8,70'!$I$44</f>
        <v>0</v>
      </c>
      <c r="AC445" s="582">
        <f t="shared" si="364"/>
        <v>0</v>
      </c>
      <c r="AE445" s="769" t="e">
        <f t="shared" si="351"/>
        <v>#REF!</v>
      </c>
    </row>
    <row r="446" spans="1:31" ht="51" hidden="1" customHeight="1" x14ac:dyDescent="0.2">
      <c r="A446" s="661" t="s">
        <v>1340</v>
      </c>
      <c r="B446" s="601" t="s">
        <v>1341</v>
      </c>
      <c r="C446" s="611" t="s">
        <v>110</v>
      </c>
      <c r="D446" s="576">
        <f t="shared" si="352"/>
        <v>0</v>
      </c>
      <c r="E446" s="577" t="e">
        <f t="shared" si="353"/>
        <v>#REF!</v>
      </c>
      <c r="F446" s="577" t="e">
        <f t="shared" si="354"/>
        <v>#REF!</v>
      </c>
      <c r="G446" s="578"/>
      <c r="I446" s="594"/>
      <c r="J446" s="580" t="e">
        <f t="shared" si="355"/>
        <v>#REF!</v>
      </c>
      <c r="K446" s="537"/>
      <c r="L446" s="445" t="e">
        <f t="shared" si="356"/>
        <v>#REF!</v>
      </c>
      <c r="M446" s="542"/>
      <c r="N446" s="445" t="e">
        <f t="shared" si="357"/>
        <v>#REF!</v>
      </c>
      <c r="O446" s="542"/>
      <c r="P446" s="445" t="e">
        <f t="shared" si="358"/>
        <v>#REF!</v>
      </c>
      <c r="Q446" s="542"/>
      <c r="R446" s="445" t="e">
        <f t="shared" si="359"/>
        <v>#REF!</v>
      </c>
      <c r="S446" s="542"/>
      <c r="T446" s="445" t="e">
        <f t="shared" si="360"/>
        <v>#REF!</v>
      </c>
      <c r="V446" s="581" t="e">
        <f>+'8,71'!$I$22</f>
        <v>#REF!</v>
      </c>
      <c r="W446" s="582" t="e">
        <f t="shared" si="361"/>
        <v>#REF!</v>
      </c>
      <c r="X446" s="581">
        <f>+'8,71'!$I$53</f>
        <v>133417.92000000001</v>
      </c>
      <c r="Y446" s="582">
        <f t="shared" si="362"/>
        <v>0</v>
      </c>
      <c r="Z446" s="581">
        <f>+'8,71'!$I$33</f>
        <v>15458.33</v>
      </c>
      <c r="AA446" s="582">
        <f t="shared" si="363"/>
        <v>0</v>
      </c>
      <c r="AB446" s="581">
        <f>+'8,71'!$I$44</f>
        <v>0</v>
      </c>
      <c r="AC446" s="582">
        <f t="shared" si="364"/>
        <v>0</v>
      </c>
      <c r="AE446" s="769" t="e">
        <f t="shared" si="351"/>
        <v>#REF!</v>
      </c>
    </row>
    <row r="447" spans="1:31" ht="51" hidden="1" customHeight="1" x14ac:dyDescent="0.2">
      <c r="A447" s="661" t="s">
        <v>1342</v>
      </c>
      <c r="B447" s="601" t="s">
        <v>1343</v>
      </c>
      <c r="C447" s="611" t="s">
        <v>110</v>
      </c>
      <c r="D447" s="576">
        <f t="shared" si="352"/>
        <v>0</v>
      </c>
      <c r="E447" s="577" t="e">
        <f t="shared" si="353"/>
        <v>#REF!</v>
      </c>
      <c r="F447" s="577" t="e">
        <f t="shared" si="354"/>
        <v>#REF!</v>
      </c>
      <c r="G447" s="578"/>
      <c r="I447" s="594"/>
      <c r="J447" s="580" t="e">
        <f t="shared" si="355"/>
        <v>#REF!</v>
      </c>
      <c r="K447" s="537"/>
      <c r="L447" s="445" t="e">
        <f t="shared" si="356"/>
        <v>#REF!</v>
      </c>
      <c r="M447" s="542"/>
      <c r="N447" s="445" t="e">
        <f t="shared" si="357"/>
        <v>#REF!</v>
      </c>
      <c r="O447" s="542"/>
      <c r="P447" s="445" t="e">
        <f t="shared" si="358"/>
        <v>#REF!</v>
      </c>
      <c r="Q447" s="542"/>
      <c r="R447" s="445" t="e">
        <f t="shared" si="359"/>
        <v>#REF!</v>
      </c>
      <c r="S447" s="542"/>
      <c r="T447" s="445" t="e">
        <f t="shared" si="360"/>
        <v>#REF!</v>
      </c>
      <c r="V447" s="581" t="e">
        <f>+'8,72'!$I$22</f>
        <v>#REF!</v>
      </c>
      <c r="W447" s="582" t="e">
        <f t="shared" si="361"/>
        <v>#REF!</v>
      </c>
      <c r="X447" s="581">
        <f>+'8,72'!$I$53</f>
        <v>133417.92000000001</v>
      </c>
      <c r="Y447" s="582">
        <f t="shared" si="362"/>
        <v>0</v>
      </c>
      <c r="Z447" s="581">
        <f>+'8,72'!$I$33</f>
        <v>15458.33</v>
      </c>
      <c r="AA447" s="582">
        <f t="shared" si="363"/>
        <v>0</v>
      </c>
      <c r="AB447" s="581">
        <f>+'8,72'!$I$44</f>
        <v>0</v>
      </c>
      <c r="AC447" s="582">
        <f t="shared" si="364"/>
        <v>0</v>
      </c>
      <c r="AE447" s="769" t="e">
        <f t="shared" si="351"/>
        <v>#REF!</v>
      </c>
    </row>
    <row r="448" spans="1:31" ht="51" hidden="1" customHeight="1" x14ac:dyDescent="0.2">
      <c r="A448" s="661" t="s">
        <v>1344</v>
      </c>
      <c r="B448" s="601" t="s">
        <v>1345</v>
      </c>
      <c r="C448" s="611" t="s">
        <v>110</v>
      </c>
      <c r="D448" s="576">
        <f t="shared" si="352"/>
        <v>0</v>
      </c>
      <c r="E448" s="577" t="e">
        <f t="shared" si="353"/>
        <v>#REF!</v>
      </c>
      <c r="F448" s="577" t="e">
        <f t="shared" si="354"/>
        <v>#REF!</v>
      </c>
      <c r="G448" s="578"/>
      <c r="I448" s="594"/>
      <c r="J448" s="580" t="e">
        <f t="shared" si="355"/>
        <v>#REF!</v>
      </c>
      <c r="K448" s="537"/>
      <c r="L448" s="445" t="e">
        <f t="shared" si="356"/>
        <v>#REF!</v>
      </c>
      <c r="M448" s="542"/>
      <c r="N448" s="445" t="e">
        <f t="shared" si="357"/>
        <v>#REF!</v>
      </c>
      <c r="O448" s="542"/>
      <c r="P448" s="445" t="e">
        <f t="shared" si="358"/>
        <v>#REF!</v>
      </c>
      <c r="Q448" s="542"/>
      <c r="R448" s="445" t="e">
        <f t="shared" si="359"/>
        <v>#REF!</v>
      </c>
      <c r="S448" s="542"/>
      <c r="T448" s="445" t="e">
        <f t="shared" si="360"/>
        <v>#REF!</v>
      </c>
      <c r="V448" s="581" t="e">
        <f>+'8,73'!$I$22</f>
        <v>#REF!</v>
      </c>
      <c r="W448" s="582" t="e">
        <f t="shared" si="361"/>
        <v>#REF!</v>
      </c>
      <c r="X448" s="581">
        <f>+'8,73'!$I$53</f>
        <v>133417.92000000001</v>
      </c>
      <c r="Y448" s="582">
        <f t="shared" si="362"/>
        <v>0</v>
      </c>
      <c r="Z448" s="581">
        <f>+'8,73'!$I$33</f>
        <v>15458.33</v>
      </c>
      <c r="AA448" s="582">
        <f t="shared" si="363"/>
        <v>0</v>
      </c>
      <c r="AB448" s="581">
        <f>+'8,73'!$I$44</f>
        <v>0</v>
      </c>
      <c r="AC448" s="582">
        <f t="shared" si="364"/>
        <v>0</v>
      </c>
      <c r="AE448" s="769" t="e">
        <f t="shared" si="351"/>
        <v>#REF!</v>
      </c>
    </row>
    <row r="449" spans="1:31" ht="38.25" x14ac:dyDescent="0.2">
      <c r="A449" s="661" t="s">
        <v>1346</v>
      </c>
      <c r="B449" s="601" t="s">
        <v>1347</v>
      </c>
      <c r="C449" s="611" t="s">
        <v>110</v>
      </c>
      <c r="D449" s="576">
        <f t="shared" si="352"/>
        <v>1</v>
      </c>
      <c r="E449" s="577" t="e">
        <f t="shared" si="353"/>
        <v>#REF!</v>
      </c>
      <c r="F449" s="577" t="e">
        <f t="shared" si="354"/>
        <v>#REF!</v>
      </c>
      <c r="G449" s="578"/>
      <c r="I449" s="594"/>
      <c r="J449" s="580" t="e">
        <f t="shared" si="355"/>
        <v>#REF!</v>
      </c>
      <c r="K449" s="537"/>
      <c r="L449" s="445" t="e">
        <f t="shared" si="356"/>
        <v>#REF!</v>
      </c>
      <c r="M449" s="542"/>
      <c r="N449" s="445" t="e">
        <f t="shared" si="357"/>
        <v>#REF!</v>
      </c>
      <c r="O449" s="542"/>
      <c r="P449" s="445" t="e">
        <f t="shared" si="358"/>
        <v>#REF!</v>
      </c>
      <c r="Q449" s="542"/>
      <c r="R449" s="445" t="e">
        <f t="shared" si="359"/>
        <v>#REF!</v>
      </c>
      <c r="S449" s="542">
        <v>1</v>
      </c>
      <c r="T449" s="445" t="e">
        <f t="shared" si="360"/>
        <v>#REF!</v>
      </c>
      <c r="V449" s="581" t="e">
        <f>+#REF!</f>
        <v>#REF!</v>
      </c>
      <c r="W449" s="582" t="e">
        <f t="shared" si="361"/>
        <v>#REF!</v>
      </c>
      <c r="X449" s="581" t="e">
        <f>+#REF!</f>
        <v>#REF!</v>
      </c>
      <c r="Y449" s="582" t="e">
        <f t="shared" si="362"/>
        <v>#REF!</v>
      </c>
      <c r="Z449" s="581" t="e">
        <f>+#REF!</f>
        <v>#REF!</v>
      </c>
      <c r="AA449" s="582" t="e">
        <f t="shared" si="363"/>
        <v>#REF!</v>
      </c>
      <c r="AB449" s="581" t="e">
        <f>+#REF!</f>
        <v>#REF!</v>
      </c>
      <c r="AC449" s="582" t="e">
        <f t="shared" si="364"/>
        <v>#REF!</v>
      </c>
      <c r="AE449" s="769" t="e">
        <f t="shared" si="351"/>
        <v>#REF!</v>
      </c>
    </row>
    <row r="450" spans="1:31" ht="38.25" x14ac:dyDescent="0.2">
      <c r="A450" s="661" t="s">
        <v>1348</v>
      </c>
      <c r="B450" s="601" t="s">
        <v>1349</v>
      </c>
      <c r="C450" s="611" t="s">
        <v>110</v>
      </c>
      <c r="D450" s="576">
        <f t="shared" si="352"/>
        <v>1</v>
      </c>
      <c r="E450" s="577" t="e">
        <f t="shared" si="353"/>
        <v>#REF!</v>
      </c>
      <c r="F450" s="577" t="e">
        <f t="shared" si="354"/>
        <v>#REF!</v>
      </c>
      <c r="G450" s="578"/>
      <c r="I450" s="594"/>
      <c r="J450" s="580" t="e">
        <f t="shared" si="355"/>
        <v>#REF!</v>
      </c>
      <c r="K450" s="537"/>
      <c r="L450" s="445" t="e">
        <f t="shared" si="356"/>
        <v>#REF!</v>
      </c>
      <c r="M450" s="542"/>
      <c r="N450" s="445" t="e">
        <f t="shared" si="357"/>
        <v>#REF!</v>
      </c>
      <c r="O450" s="542"/>
      <c r="P450" s="445" t="e">
        <f t="shared" si="358"/>
        <v>#REF!</v>
      </c>
      <c r="Q450" s="542"/>
      <c r="R450" s="445" t="e">
        <f t="shared" si="359"/>
        <v>#REF!</v>
      </c>
      <c r="S450" s="542">
        <v>1</v>
      </c>
      <c r="T450" s="445" t="e">
        <f t="shared" si="360"/>
        <v>#REF!</v>
      </c>
      <c r="V450" s="581" t="e">
        <f>+#REF!</f>
        <v>#REF!</v>
      </c>
      <c r="W450" s="582" t="e">
        <f t="shared" si="361"/>
        <v>#REF!</v>
      </c>
      <c r="X450" s="581" t="e">
        <f>+#REF!</f>
        <v>#REF!</v>
      </c>
      <c r="Y450" s="582" t="e">
        <f t="shared" si="362"/>
        <v>#REF!</v>
      </c>
      <c r="Z450" s="581" t="e">
        <f>+#REF!</f>
        <v>#REF!</v>
      </c>
      <c r="AA450" s="582" t="e">
        <f t="shared" si="363"/>
        <v>#REF!</v>
      </c>
      <c r="AB450" s="581" t="e">
        <f>+#REF!</f>
        <v>#REF!</v>
      </c>
      <c r="AC450" s="582" t="e">
        <f t="shared" si="364"/>
        <v>#REF!</v>
      </c>
      <c r="AE450" s="769" t="e">
        <f t="shared" si="351"/>
        <v>#REF!</v>
      </c>
    </row>
    <row r="451" spans="1:31" ht="38.25" x14ac:dyDescent="0.2">
      <c r="A451" s="661" t="s">
        <v>1350</v>
      </c>
      <c r="B451" s="601" t="s">
        <v>1351</v>
      </c>
      <c r="C451" s="611" t="s">
        <v>110</v>
      </c>
      <c r="D451" s="576">
        <f t="shared" si="352"/>
        <v>1</v>
      </c>
      <c r="E451" s="577" t="e">
        <f t="shared" si="353"/>
        <v>#REF!</v>
      </c>
      <c r="F451" s="577" t="e">
        <f t="shared" si="354"/>
        <v>#REF!</v>
      </c>
      <c r="G451" s="578"/>
      <c r="I451" s="594"/>
      <c r="J451" s="580" t="e">
        <f t="shared" si="355"/>
        <v>#REF!</v>
      </c>
      <c r="K451" s="537"/>
      <c r="L451" s="445" t="e">
        <f t="shared" si="356"/>
        <v>#REF!</v>
      </c>
      <c r="M451" s="542"/>
      <c r="N451" s="445" t="e">
        <f t="shared" si="357"/>
        <v>#REF!</v>
      </c>
      <c r="O451" s="542"/>
      <c r="P451" s="445" t="e">
        <f t="shared" si="358"/>
        <v>#REF!</v>
      </c>
      <c r="Q451" s="542"/>
      <c r="R451" s="445" t="e">
        <f t="shared" si="359"/>
        <v>#REF!</v>
      </c>
      <c r="S451" s="542">
        <v>1</v>
      </c>
      <c r="T451" s="445" t="e">
        <f t="shared" si="360"/>
        <v>#REF!</v>
      </c>
      <c r="V451" s="581" t="e">
        <f>+#REF!</f>
        <v>#REF!</v>
      </c>
      <c r="W451" s="582" t="e">
        <f t="shared" si="361"/>
        <v>#REF!</v>
      </c>
      <c r="X451" s="581" t="e">
        <f>+#REF!</f>
        <v>#REF!</v>
      </c>
      <c r="Y451" s="582" t="e">
        <f t="shared" si="362"/>
        <v>#REF!</v>
      </c>
      <c r="Z451" s="581" t="e">
        <f>+#REF!</f>
        <v>#REF!</v>
      </c>
      <c r="AA451" s="582" t="e">
        <f t="shared" si="363"/>
        <v>#REF!</v>
      </c>
      <c r="AB451" s="581" t="e">
        <f>+#REF!</f>
        <v>#REF!</v>
      </c>
      <c r="AC451" s="582" t="e">
        <f t="shared" si="364"/>
        <v>#REF!</v>
      </c>
      <c r="AE451" s="769" t="e">
        <f t="shared" si="351"/>
        <v>#REF!</v>
      </c>
    </row>
    <row r="452" spans="1:31" ht="25.5" hidden="1" customHeight="1" x14ac:dyDescent="0.2">
      <c r="A452" s="661" t="s">
        <v>1352</v>
      </c>
      <c r="B452" s="601" t="s">
        <v>1353</v>
      </c>
      <c r="C452" s="611" t="s">
        <v>144</v>
      </c>
      <c r="D452" s="576">
        <f t="shared" si="352"/>
        <v>0</v>
      </c>
      <c r="E452" s="577" t="e">
        <f t="shared" si="353"/>
        <v>#REF!</v>
      </c>
      <c r="F452" s="577" t="e">
        <f t="shared" si="354"/>
        <v>#REF!</v>
      </c>
      <c r="G452" s="578"/>
      <c r="I452" s="594"/>
      <c r="J452" s="580" t="e">
        <f t="shared" si="355"/>
        <v>#REF!</v>
      </c>
      <c r="K452" s="537"/>
      <c r="L452" s="445" t="e">
        <f t="shared" si="356"/>
        <v>#REF!</v>
      </c>
      <c r="M452" s="542"/>
      <c r="N452" s="445" t="e">
        <f t="shared" si="357"/>
        <v>#REF!</v>
      </c>
      <c r="O452" s="542"/>
      <c r="P452" s="445" t="e">
        <f t="shared" si="358"/>
        <v>#REF!</v>
      </c>
      <c r="Q452" s="542"/>
      <c r="R452" s="445" t="e">
        <f t="shared" si="359"/>
        <v>#REF!</v>
      </c>
      <c r="S452" s="542"/>
      <c r="T452" s="445" t="e">
        <f t="shared" si="360"/>
        <v>#REF!</v>
      </c>
      <c r="V452" s="581" t="e">
        <f>+'8,77'!$I$22</f>
        <v>#REF!</v>
      </c>
      <c r="W452" s="582" t="e">
        <f t="shared" si="361"/>
        <v>#REF!</v>
      </c>
      <c r="X452" s="581">
        <f>+'8,77'!$I$53</f>
        <v>5334.75</v>
      </c>
      <c r="Y452" s="582">
        <f t="shared" si="362"/>
        <v>0</v>
      </c>
      <c r="Z452" s="581">
        <f>+'8,77'!$I$33</f>
        <v>307.42</v>
      </c>
      <c r="AA452" s="582">
        <f t="shared" si="363"/>
        <v>0</v>
      </c>
      <c r="AB452" s="581">
        <f>+'8,77'!$I$44</f>
        <v>0</v>
      </c>
      <c r="AC452" s="582">
        <f t="shared" si="364"/>
        <v>0</v>
      </c>
      <c r="AE452" s="769" t="e">
        <f t="shared" si="351"/>
        <v>#REF!</v>
      </c>
    </row>
    <row r="453" spans="1:31" ht="25.5" hidden="1" customHeight="1" x14ac:dyDescent="0.2">
      <c r="A453" s="661" t="s">
        <v>1354</v>
      </c>
      <c r="B453" s="601" t="s">
        <v>1355</v>
      </c>
      <c r="C453" s="611" t="s">
        <v>144</v>
      </c>
      <c r="D453" s="576">
        <f t="shared" si="352"/>
        <v>0</v>
      </c>
      <c r="E453" s="577" t="e">
        <f t="shared" si="353"/>
        <v>#REF!</v>
      </c>
      <c r="F453" s="577" t="e">
        <f t="shared" si="354"/>
        <v>#REF!</v>
      </c>
      <c r="G453" s="578"/>
      <c r="I453" s="594"/>
      <c r="J453" s="580" t="e">
        <f t="shared" si="355"/>
        <v>#REF!</v>
      </c>
      <c r="K453" s="537"/>
      <c r="L453" s="445" t="e">
        <f t="shared" si="356"/>
        <v>#REF!</v>
      </c>
      <c r="M453" s="542"/>
      <c r="N453" s="445" t="e">
        <f t="shared" si="357"/>
        <v>#REF!</v>
      </c>
      <c r="O453" s="542"/>
      <c r="P453" s="445" t="e">
        <f t="shared" si="358"/>
        <v>#REF!</v>
      </c>
      <c r="Q453" s="542"/>
      <c r="R453" s="445" t="e">
        <f t="shared" si="359"/>
        <v>#REF!</v>
      </c>
      <c r="S453" s="542"/>
      <c r="T453" s="445" t="e">
        <f t="shared" si="360"/>
        <v>#REF!</v>
      </c>
      <c r="V453" s="581" t="e">
        <f>+'8,78'!$I$22</f>
        <v>#REF!</v>
      </c>
      <c r="W453" s="582" t="e">
        <f t="shared" si="361"/>
        <v>#REF!</v>
      </c>
      <c r="X453" s="581">
        <f>+'8,78'!$I$53</f>
        <v>4001.91</v>
      </c>
      <c r="Y453" s="582">
        <f t="shared" si="362"/>
        <v>0</v>
      </c>
      <c r="Z453" s="581">
        <f>+'8,78'!$I$33</f>
        <v>307.42</v>
      </c>
      <c r="AA453" s="582">
        <f t="shared" si="363"/>
        <v>0</v>
      </c>
      <c r="AB453" s="581">
        <f>+'8,78'!$I$44</f>
        <v>0</v>
      </c>
      <c r="AC453" s="582">
        <f t="shared" si="364"/>
        <v>0</v>
      </c>
      <c r="AE453" s="769" t="e">
        <f t="shared" si="351"/>
        <v>#REF!</v>
      </c>
    </row>
    <row r="454" spans="1:31" ht="25.5" hidden="1" customHeight="1" x14ac:dyDescent="0.2">
      <c r="A454" s="661" t="s">
        <v>1356</v>
      </c>
      <c r="B454" s="601" t="s">
        <v>1357</v>
      </c>
      <c r="C454" s="611" t="s">
        <v>144</v>
      </c>
      <c r="D454" s="576">
        <f t="shared" si="352"/>
        <v>0</v>
      </c>
      <c r="E454" s="577" t="e">
        <f t="shared" si="353"/>
        <v>#REF!</v>
      </c>
      <c r="F454" s="577" t="e">
        <f t="shared" si="354"/>
        <v>#REF!</v>
      </c>
      <c r="G454" s="578"/>
      <c r="I454" s="594"/>
      <c r="J454" s="580" t="e">
        <f t="shared" si="355"/>
        <v>#REF!</v>
      </c>
      <c r="K454" s="537"/>
      <c r="L454" s="445" t="e">
        <f t="shared" si="356"/>
        <v>#REF!</v>
      </c>
      <c r="M454" s="542"/>
      <c r="N454" s="445" t="e">
        <f t="shared" si="357"/>
        <v>#REF!</v>
      </c>
      <c r="O454" s="542"/>
      <c r="P454" s="445" t="e">
        <f t="shared" si="358"/>
        <v>#REF!</v>
      </c>
      <c r="Q454" s="542"/>
      <c r="R454" s="445" t="e">
        <f t="shared" si="359"/>
        <v>#REF!</v>
      </c>
      <c r="S454" s="542"/>
      <c r="T454" s="445" t="e">
        <f t="shared" si="360"/>
        <v>#REF!</v>
      </c>
      <c r="V454" s="581" t="e">
        <f>+'8,79'!$I$22</f>
        <v>#REF!</v>
      </c>
      <c r="W454" s="582" t="e">
        <f t="shared" si="361"/>
        <v>#REF!</v>
      </c>
      <c r="X454" s="581">
        <f>+'8,79'!$I$53</f>
        <v>5334.81</v>
      </c>
      <c r="Y454" s="582">
        <f t="shared" si="362"/>
        <v>0</v>
      </c>
      <c r="Z454" s="581">
        <f>+'8,79'!$I$33</f>
        <v>307.42</v>
      </c>
      <c r="AA454" s="582">
        <f t="shared" si="363"/>
        <v>0</v>
      </c>
      <c r="AB454" s="581">
        <f>+'8,79'!$I$44</f>
        <v>0</v>
      </c>
      <c r="AC454" s="582">
        <f t="shared" si="364"/>
        <v>0</v>
      </c>
      <c r="AE454" s="769" t="e">
        <f t="shared" si="351"/>
        <v>#REF!</v>
      </c>
    </row>
    <row r="455" spans="1:31" ht="25.5" hidden="1" customHeight="1" x14ac:dyDescent="0.2">
      <c r="A455" s="661" t="s">
        <v>1358</v>
      </c>
      <c r="B455" s="601" t="s">
        <v>1359</v>
      </c>
      <c r="C455" s="611" t="s">
        <v>144</v>
      </c>
      <c r="D455" s="576">
        <f t="shared" si="352"/>
        <v>0</v>
      </c>
      <c r="E455" s="577" t="e">
        <f t="shared" si="353"/>
        <v>#REF!</v>
      </c>
      <c r="F455" s="577" t="e">
        <f t="shared" si="354"/>
        <v>#REF!</v>
      </c>
      <c r="G455" s="578"/>
      <c r="I455" s="594"/>
      <c r="J455" s="580" t="e">
        <f t="shared" si="355"/>
        <v>#REF!</v>
      </c>
      <c r="K455" s="537"/>
      <c r="L455" s="445" t="e">
        <f t="shared" si="356"/>
        <v>#REF!</v>
      </c>
      <c r="M455" s="542"/>
      <c r="N455" s="445" t="e">
        <f t="shared" si="357"/>
        <v>#REF!</v>
      </c>
      <c r="O455" s="542"/>
      <c r="P455" s="445" t="e">
        <f t="shared" si="358"/>
        <v>#REF!</v>
      </c>
      <c r="Q455" s="542"/>
      <c r="R455" s="445" t="e">
        <f t="shared" si="359"/>
        <v>#REF!</v>
      </c>
      <c r="S455" s="542"/>
      <c r="T455" s="445" t="e">
        <f t="shared" si="360"/>
        <v>#REF!</v>
      </c>
      <c r="V455" s="581" t="e">
        <f>+'8,80'!$I$22</f>
        <v>#REF!</v>
      </c>
      <c r="W455" s="582" t="e">
        <f t="shared" si="361"/>
        <v>#REF!</v>
      </c>
      <c r="X455" s="581">
        <f>+'8,80'!$I$53</f>
        <v>4002.31</v>
      </c>
      <c r="Y455" s="582">
        <f t="shared" si="362"/>
        <v>0</v>
      </c>
      <c r="Z455" s="581">
        <f>+'8,80'!$I$33</f>
        <v>307.42</v>
      </c>
      <c r="AA455" s="582">
        <f t="shared" si="363"/>
        <v>0</v>
      </c>
      <c r="AB455" s="581">
        <f>+'8,80'!$I$44</f>
        <v>0</v>
      </c>
      <c r="AC455" s="582">
        <f t="shared" si="364"/>
        <v>0</v>
      </c>
      <c r="AE455" s="769" t="e">
        <f t="shared" si="351"/>
        <v>#REF!</v>
      </c>
    </row>
    <row r="456" spans="1:31" ht="38.25" x14ac:dyDescent="0.2">
      <c r="A456" s="661" t="s">
        <v>1360</v>
      </c>
      <c r="B456" s="601" t="s">
        <v>1361</v>
      </c>
      <c r="C456" s="611" t="s">
        <v>144</v>
      </c>
      <c r="D456" s="576">
        <f t="shared" si="352"/>
        <v>1</v>
      </c>
      <c r="E456" s="577" t="e">
        <f t="shared" si="353"/>
        <v>#REF!</v>
      </c>
      <c r="F456" s="577" t="e">
        <f t="shared" si="354"/>
        <v>#REF!</v>
      </c>
      <c r="G456" s="578"/>
      <c r="I456" s="594"/>
      <c r="J456" s="580" t="e">
        <f t="shared" si="355"/>
        <v>#REF!</v>
      </c>
      <c r="K456" s="537">
        <v>1</v>
      </c>
      <c r="L456" s="445" t="e">
        <f t="shared" si="356"/>
        <v>#REF!</v>
      </c>
      <c r="M456" s="542"/>
      <c r="N456" s="445" t="e">
        <f t="shared" si="357"/>
        <v>#REF!</v>
      </c>
      <c r="O456" s="542"/>
      <c r="P456" s="445" t="e">
        <f t="shared" si="358"/>
        <v>#REF!</v>
      </c>
      <c r="Q456" s="542"/>
      <c r="R456" s="445" t="e">
        <f t="shared" si="359"/>
        <v>#REF!</v>
      </c>
      <c r="S456" s="542"/>
      <c r="T456" s="445" t="e">
        <f t="shared" si="360"/>
        <v>#REF!</v>
      </c>
      <c r="V456" s="581" t="e">
        <f>+#REF!</f>
        <v>#REF!</v>
      </c>
      <c r="W456" s="582" t="e">
        <f t="shared" si="361"/>
        <v>#REF!</v>
      </c>
      <c r="X456" s="581" t="e">
        <f>+#REF!</f>
        <v>#REF!</v>
      </c>
      <c r="Y456" s="582" t="e">
        <f t="shared" si="362"/>
        <v>#REF!</v>
      </c>
      <c r="Z456" s="581" t="e">
        <f>+#REF!</f>
        <v>#REF!</v>
      </c>
      <c r="AA456" s="582" t="e">
        <f t="shared" si="363"/>
        <v>#REF!</v>
      </c>
      <c r="AB456" s="581" t="e">
        <f>+#REF!</f>
        <v>#REF!</v>
      </c>
      <c r="AC456" s="582" t="e">
        <f t="shared" si="364"/>
        <v>#REF!</v>
      </c>
      <c r="AE456" s="769" t="e">
        <f t="shared" si="351"/>
        <v>#REF!</v>
      </c>
    </row>
    <row r="457" spans="1:31" ht="38.25" hidden="1" customHeight="1" x14ac:dyDescent="0.2">
      <c r="A457" s="661" t="s">
        <v>1362</v>
      </c>
      <c r="B457" s="601" t="s">
        <v>1363</v>
      </c>
      <c r="C457" s="611" t="s">
        <v>144</v>
      </c>
      <c r="D457" s="576">
        <f t="shared" si="352"/>
        <v>0</v>
      </c>
      <c r="E457" s="577" t="e">
        <f t="shared" si="353"/>
        <v>#REF!</v>
      </c>
      <c r="F457" s="577" t="e">
        <f t="shared" si="354"/>
        <v>#REF!</v>
      </c>
      <c r="G457" s="578"/>
      <c r="I457" s="594"/>
      <c r="J457" s="580" t="e">
        <f t="shared" si="355"/>
        <v>#REF!</v>
      </c>
      <c r="K457" s="537"/>
      <c r="L457" s="445" t="e">
        <f t="shared" si="356"/>
        <v>#REF!</v>
      </c>
      <c r="M457" s="542"/>
      <c r="N457" s="445" t="e">
        <f t="shared" si="357"/>
        <v>#REF!</v>
      </c>
      <c r="O457" s="542"/>
      <c r="P457" s="445" t="e">
        <f t="shared" si="358"/>
        <v>#REF!</v>
      </c>
      <c r="Q457" s="542"/>
      <c r="R457" s="445" t="e">
        <f t="shared" si="359"/>
        <v>#REF!</v>
      </c>
      <c r="S457" s="542"/>
      <c r="T457" s="445" t="e">
        <f t="shared" si="360"/>
        <v>#REF!</v>
      </c>
      <c r="V457" s="581" t="e">
        <f>+'8,82'!$I$22</f>
        <v>#REF!</v>
      </c>
      <c r="W457" s="582" t="e">
        <f t="shared" si="361"/>
        <v>#REF!</v>
      </c>
      <c r="X457" s="581">
        <f>+'8,82'!$I$53</f>
        <v>125035.65</v>
      </c>
      <c r="Y457" s="582">
        <f t="shared" si="362"/>
        <v>0</v>
      </c>
      <c r="Z457" s="581">
        <f>+'8,82'!$I$33</f>
        <v>4478.6100000000006</v>
      </c>
      <c r="AA457" s="582">
        <f t="shared" si="363"/>
        <v>0</v>
      </c>
      <c r="AB457" s="581">
        <f>+'8,82'!$I$44</f>
        <v>0</v>
      </c>
      <c r="AC457" s="582">
        <f t="shared" si="364"/>
        <v>0</v>
      </c>
      <c r="AE457" s="769" t="e">
        <f t="shared" si="351"/>
        <v>#REF!</v>
      </c>
    </row>
    <row r="458" spans="1:31" ht="25.5" hidden="1" customHeight="1" x14ac:dyDescent="0.2">
      <c r="A458" s="661" t="s">
        <v>1364</v>
      </c>
      <c r="B458" s="601" t="s">
        <v>1365</v>
      </c>
      <c r="C458" s="611" t="s">
        <v>110</v>
      </c>
      <c r="D458" s="576">
        <f t="shared" si="352"/>
        <v>0</v>
      </c>
      <c r="E458" s="577" t="e">
        <f t="shared" si="353"/>
        <v>#REF!</v>
      </c>
      <c r="F458" s="577" t="e">
        <f t="shared" si="354"/>
        <v>#REF!</v>
      </c>
      <c r="G458" s="578"/>
      <c r="I458" s="594"/>
      <c r="J458" s="580" t="e">
        <f t="shared" si="355"/>
        <v>#REF!</v>
      </c>
      <c r="K458" s="537"/>
      <c r="L458" s="445" t="e">
        <f t="shared" si="356"/>
        <v>#REF!</v>
      </c>
      <c r="M458" s="542"/>
      <c r="N458" s="445" t="e">
        <f t="shared" si="357"/>
        <v>#REF!</v>
      </c>
      <c r="O458" s="542"/>
      <c r="P458" s="445" t="e">
        <f t="shared" si="358"/>
        <v>#REF!</v>
      </c>
      <c r="Q458" s="542"/>
      <c r="R458" s="445" t="e">
        <f t="shared" si="359"/>
        <v>#REF!</v>
      </c>
      <c r="S458" s="542"/>
      <c r="T458" s="445" t="e">
        <f t="shared" si="360"/>
        <v>#REF!</v>
      </c>
      <c r="V458" s="581" t="e">
        <f>+'8,83'!$I$22</f>
        <v>#REF!</v>
      </c>
      <c r="W458" s="582" t="e">
        <f t="shared" si="361"/>
        <v>#REF!</v>
      </c>
      <c r="X458" s="581">
        <f>+'8,83'!$I$53</f>
        <v>138928.5</v>
      </c>
      <c r="Y458" s="582">
        <f t="shared" si="362"/>
        <v>0</v>
      </c>
      <c r="Z458" s="581">
        <f>+'8,83'!$I$33</f>
        <v>4478.6100000000006</v>
      </c>
      <c r="AA458" s="582">
        <f t="shared" si="363"/>
        <v>0</v>
      </c>
      <c r="AB458" s="581">
        <f>+'8,83'!$I$44</f>
        <v>0</v>
      </c>
      <c r="AC458" s="582">
        <f t="shared" si="364"/>
        <v>0</v>
      </c>
      <c r="AE458" s="769" t="e">
        <f t="shared" si="351"/>
        <v>#REF!</v>
      </c>
    </row>
    <row r="459" spans="1:31" ht="38.25" x14ac:dyDescent="0.2">
      <c r="A459" s="661" t="s">
        <v>1366</v>
      </c>
      <c r="B459" s="601" t="s">
        <v>1367</v>
      </c>
      <c r="C459" s="611" t="s">
        <v>126</v>
      </c>
      <c r="D459" s="576">
        <f t="shared" si="352"/>
        <v>1</v>
      </c>
      <c r="E459" s="577" t="e">
        <f t="shared" si="353"/>
        <v>#REF!</v>
      </c>
      <c r="F459" s="577" t="e">
        <f t="shared" si="354"/>
        <v>#REF!</v>
      </c>
      <c r="G459" s="578"/>
      <c r="I459" s="594"/>
      <c r="J459" s="580" t="e">
        <f t="shared" si="355"/>
        <v>#REF!</v>
      </c>
      <c r="K459" s="537">
        <v>1</v>
      </c>
      <c r="L459" s="445" t="e">
        <f t="shared" si="356"/>
        <v>#REF!</v>
      </c>
      <c r="M459" s="542"/>
      <c r="N459" s="445" t="e">
        <f t="shared" si="357"/>
        <v>#REF!</v>
      </c>
      <c r="O459" s="542"/>
      <c r="P459" s="445" t="e">
        <f t="shared" si="358"/>
        <v>#REF!</v>
      </c>
      <c r="Q459" s="542"/>
      <c r="R459" s="445" t="e">
        <f t="shared" si="359"/>
        <v>#REF!</v>
      </c>
      <c r="S459" s="542"/>
      <c r="T459" s="445" t="e">
        <f t="shared" si="360"/>
        <v>#REF!</v>
      </c>
      <c r="V459" s="581" t="e">
        <f>+#REF!</f>
        <v>#REF!</v>
      </c>
      <c r="W459" s="582" t="e">
        <f t="shared" si="361"/>
        <v>#REF!</v>
      </c>
      <c r="X459" s="581" t="e">
        <f>+#REF!</f>
        <v>#REF!</v>
      </c>
      <c r="Y459" s="582" t="e">
        <f t="shared" si="362"/>
        <v>#REF!</v>
      </c>
      <c r="Z459" s="581" t="e">
        <f>+#REF!</f>
        <v>#REF!</v>
      </c>
      <c r="AA459" s="582" t="e">
        <f t="shared" si="363"/>
        <v>#REF!</v>
      </c>
      <c r="AB459" s="581" t="e">
        <f>+#REF!</f>
        <v>#REF!</v>
      </c>
      <c r="AC459" s="582" t="e">
        <f t="shared" si="364"/>
        <v>#REF!</v>
      </c>
      <c r="AE459" s="769" t="e">
        <f t="shared" si="351"/>
        <v>#REF!</v>
      </c>
    </row>
    <row r="460" spans="1:31" ht="25.5" hidden="1" customHeight="1" x14ac:dyDescent="0.2">
      <c r="A460" s="661" t="s">
        <v>1368</v>
      </c>
      <c r="B460" s="601" t="s">
        <v>1369</v>
      </c>
      <c r="C460" s="611" t="s">
        <v>126</v>
      </c>
      <c r="D460" s="576">
        <f t="shared" si="352"/>
        <v>0</v>
      </c>
      <c r="E460" s="577">
        <f t="shared" si="353"/>
        <v>297192.53000000003</v>
      </c>
      <c r="F460" s="577">
        <f t="shared" si="354"/>
        <v>0</v>
      </c>
      <c r="G460" s="578"/>
      <c r="I460" s="594"/>
      <c r="J460" s="580">
        <f t="shared" si="355"/>
        <v>0</v>
      </c>
      <c r="K460" s="537"/>
      <c r="L460" s="445">
        <f t="shared" si="356"/>
        <v>0</v>
      </c>
      <c r="M460" s="542"/>
      <c r="N460" s="445">
        <f t="shared" si="357"/>
        <v>0</v>
      </c>
      <c r="O460" s="542"/>
      <c r="P460" s="445">
        <f t="shared" si="358"/>
        <v>0</v>
      </c>
      <c r="Q460" s="542"/>
      <c r="R460" s="445">
        <f t="shared" si="359"/>
        <v>0</v>
      </c>
      <c r="S460" s="542"/>
      <c r="T460" s="445">
        <f t="shared" si="360"/>
        <v>0</v>
      </c>
      <c r="V460" s="581">
        <f>+'8,85'!$I$22</f>
        <v>0</v>
      </c>
      <c r="W460" s="582">
        <f t="shared" si="361"/>
        <v>0</v>
      </c>
      <c r="X460" s="581">
        <f>+'8,85'!$I$53</f>
        <v>144826.01</v>
      </c>
      <c r="Y460" s="582">
        <f t="shared" si="362"/>
        <v>0</v>
      </c>
      <c r="Z460" s="581">
        <f>+'8,85'!$I$33</f>
        <v>152366.52000000002</v>
      </c>
      <c r="AA460" s="582">
        <f t="shared" si="363"/>
        <v>0</v>
      </c>
      <c r="AB460" s="581">
        <f>+'8,85'!$I$44</f>
        <v>0</v>
      </c>
      <c r="AC460" s="582">
        <f t="shared" si="364"/>
        <v>0</v>
      </c>
      <c r="AE460" s="769">
        <f t="shared" si="351"/>
        <v>0</v>
      </c>
    </row>
    <row r="461" spans="1:31" ht="25.5" hidden="1" customHeight="1" x14ac:dyDescent="0.2">
      <c r="A461" s="661" t="s">
        <v>1370</v>
      </c>
      <c r="B461" s="601" t="s">
        <v>1371</v>
      </c>
      <c r="C461" s="611" t="s">
        <v>126</v>
      </c>
      <c r="D461" s="576">
        <f t="shared" si="352"/>
        <v>0</v>
      </c>
      <c r="E461" s="577">
        <f t="shared" si="353"/>
        <v>8309.6200000000008</v>
      </c>
      <c r="F461" s="577">
        <f t="shared" si="354"/>
        <v>0</v>
      </c>
      <c r="G461" s="578"/>
      <c r="I461" s="594"/>
      <c r="J461" s="580">
        <f t="shared" si="355"/>
        <v>0</v>
      </c>
      <c r="K461" s="537"/>
      <c r="L461" s="445">
        <f t="shared" si="356"/>
        <v>0</v>
      </c>
      <c r="M461" s="542"/>
      <c r="N461" s="445">
        <f t="shared" si="357"/>
        <v>0</v>
      </c>
      <c r="O461" s="542"/>
      <c r="P461" s="445">
        <f t="shared" si="358"/>
        <v>0</v>
      </c>
      <c r="Q461" s="542"/>
      <c r="R461" s="445">
        <f t="shared" si="359"/>
        <v>0</v>
      </c>
      <c r="S461" s="542"/>
      <c r="T461" s="445">
        <f t="shared" si="360"/>
        <v>0</v>
      </c>
      <c r="V461" s="581">
        <f>+'8,86'!$I$22</f>
        <v>0</v>
      </c>
      <c r="W461" s="582">
        <f t="shared" si="361"/>
        <v>0</v>
      </c>
      <c r="X461" s="581">
        <f>+'8,86'!$I$53</f>
        <v>8002.21</v>
      </c>
      <c r="Y461" s="582">
        <f t="shared" si="362"/>
        <v>0</v>
      </c>
      <c r="Z461" s="581">
        <f>+'8,86'!$I$33</f>
        <v>307.41000000000003</v>
      </c>
      <c r="AA461" s="582">
        <f t="shared" si="363"/>
        <v>0</v>
      </c>
      <c r="AB461" s="581">
        <f>+'8,86'!$I$44</f>
        <v>0</v>
      </c>
      <c r="AC461" s="582">
        <f t="shared" si="364"/>
        <v>0</v>
      </c>
      <c r="AE461" s="769">
        <f t="shared" ref="AE461:AE529" si="365">SUM(AC461,AA461,Y461,W461)-SUM(T461,R461,P461,N461,L461)</f>
        <v>0</v>
      </c>
    </row>
    <row r="462" spans="1:31" ht="15" hidden="1" customHeight="1" x14ac:dyDescent="0.2">
      <c r="A462" s="661" t="s">
        <v>1372</v>
      </c>
      <c r="B462" s="601" t="s">
        <v>1373</v>
      </c>
      <c r="C462" s="611" t="s">
        <v>126</v>
      </c>
      <c r="D462" s="576">
        <f t="shared" si="352"/>
        <v>0</v>
      </c>
      <c r="E462" s="577">
        <f t="shared" si="353"/>
        <v>761.06000000000006</v>
      </c>
      <c r="F462" s="577">
        <f t="shared" si="354"/>
        <v>0</v>
      </c>
      <c r="G462" s="578"/>
      <c r="I462" s="594"/>
      <c r="J462" s="580">
        <f t="shared" si="355"/>
        <v>0</v>
      </c>
      <c r="K462" s="537"/>
      <c r="L462" s="445">
        <f t="shared" si="356"/>
        <v>0</v>
      </c>
      <c r="M462" s="542"/>
      <c r="N462" s="445">
        <f t="shared" si="357"/>
        <v>0</v>
      </c>
      <c r="O462" s="542"/>
      <c r="P462" s="445">
        <f t="shared" si="358"/>
        <v>0</v>
      </c>
      <c r="Q462" s="542"/>
      <c r="R462" s="445">
        <f t="shared" si="359"/>
        <v>0</v>
      </c>
      <c r="S462" s="542"/>
      <c r="T462" s="445">
        <f t="shared" si="360"/>
        <v>0</v>
      </c>
      <c r="V462" s="581">
        <f>+'8,87'!$I$22</f>
        <v>0</v>
      </c>
      <c r="W462" s="582">
        <f t="shared" si="361"/>
        <v>0</v>
      </c>
      <c r="X462" s="581">
        <f>+'8,87'!$I$53</f>
        <v>695.34</v>
      </c>
      <c r="Y462" s="582">
        <f t="shared" si="362"/>
        <v>0</v>
      </c>
      <c r="Z462" s="581">
        <f>+'8,87'!$I$33</f>
        <v>65.72</v>
      </c>
      <c r="AA462" s="582">
        <f t="shared" si="363"/>
        <v>0</v>
      </c>
      <c r="AB462" s="581">
        <f>+'8,87'!$I$44</f>
        <v>0</v>
      </c>
      <c r="AC462" s="582">
        <f t="shared" si="364"/>
        <v>0</v>
      </c>
      <c r="AE462" s="769">
        <f t="shared" si="365"/>
        <v>0</v>
      </c>
    </row>
    <row r="463" spans="1:31" ht="38.25" x14ac:dyDescent="0.2">
      <c r="A463" s="661" t="s">
        <v>1374</v>
      </c>
      <c r="B463" s="601" t="s">
        <v>1375</v>
      </c>
      <c r="C463" s="611" t="s">
        <v>114</v>
      </c>
      <c r="D463" s="576">
        <f t="shared" si="352"/>
        <v>210</v>
      </c>
      <c r="E463" s="577" t="e">
        <f t="shared" si="353"/>
        <v>#REF!</v>
      </c>
      <c r="F463" s="577" t="e">
        <f t="shared" si="354"/>
        <v>#REF!</v>
      </c>
      <c r="G463" s="578"/>
      <c r="I463" s="594"/>
      <c r="J463" s="580" t="e">
        <f t="shared" si="355"/>
        <v>#REF!</v>
      </c>
      <c r="K463" s="537"/>
      <c r="L463" s="445" t="e">
        <f t="shared" si="356"/>
        <v>#REF!</v>
      </c>
      <c r="M463" s="542"/>
      <c r="N463" s="445" t="e">
        <f t="shared" si="357"/>
        <v>#REF!</v>
      </c>
      <c r="O463" s="542"/>
      <c r="P463" s="445" t="e">
        <f t="shared" si="358"/>
        <v>#REF!</v>
      </c>
      <c r="Q463" s="542"/>
      <c r="R463" s="445" t="e">
        <f t="shared" si="359"/>
        <v>#REF!</v>
      </c>
      <c r="S463" s="542">
        <v>210</v>
      </c>
      <c r="T463" s="445" t="e">
        <f t="shared" si="360"/>
        <v>#REF!</v>
      </c>
      <c r="V463" s="581" t="e">
        <f>+#REF!</f>
        <v>#REF!</v>
      </c>
      <c r="W463" s="582" t="e">
        <f t="shared" si="361"/>
        <v>#REF!</v>
      </c>
      <c r="X463" s="581" t="e">
        <f>+#REF!</f>
        <v>#REF!</v>
      </c>
      <c r="Y463" s="582" t="e">
        <f t="shared" si="362"/>
        <v>#REF!</v>
      </c>
      <c r="Z463" s="581" t="e">
        <f>+#REF!</f>
        <v>#REF!</v>
      </c>
      <c r="AA463" s="582" t="e">
        <f t="shared" si="363"/>
        <v>#REF!</v>
      </c>
      <c r="AB463" s="581" t="e">
        <f>+#REF!</f>
        <v>#REF!</v>
      </c>
      <c r="AC463" s="582" t="e">
        <f t="shared" si="364"/>
        <v>#REF!</v>
      </c>
      <c r="AE463" s="769" t="e">
        <f t="shared" si="365"/>
        <v>#REF!</v>
      </c>
    </row>
    <row r="464" spans="1:31" ht="29.25" customHeight="1" x14ac:dyDescent="0.2">
      <c r="A464" s="661" t="s">
        <v>1376</v>
      </c>
      <c r="B464" s="601" t="s">
        <v>1377</v>
      </c>
      <c r="C464" s="611" t="s">
        <v>111</v>
      </c>
      <c r="D464" s="576">
        <f t="shared" si="352"/>
        <v>2</v>
      </c>
      <c r="E464" s="577" t="e">
        <f t="shared" si="353"/>
        <v>#REF!</v>
      </c>
      <c r="F464" s="577" t="e">
        <f t="shared" si="354"/>
        <v>#REF!</v>
      </c>
      <c r="G464" s="578"/>
      <c r="I464" s="594"/>
      <c r="J464" s="580" t="e">
        <f t="shared" si="355"/>
        <v>#REF!</v>
      </c>
      <c r="K464" s="537"/>
      <c r="L464" s="445" t="e">
        <f t="shared" si="356"/>
        <v>#REF!</v>
      </c>
      <c r="M464" s="542"/>
      <c r="N464" s="445" t="e">
        <f t="shared" si="357"/>
        <v>#REF!</v>
      </c>
      <c r="O464" s="542"/>
      <c r="P464" s="445" t="e">
        <f t="shared" si="358"/>
        <v>#REF!</v>
      </c>
      <c r="Q464" s="542"/>
      <c r="R464" s="445" t="e">
        <f t="shared" si="359"/>
        <v>#REF!</v>
      </c>
      <c r="S464" s="542">
        <v>2</v>
      </c>
      <c r="T464" s="445" t="e">
        <f t="shared" si="360"/>
        <v>#REF!</v>
      </c>
      <c r="V464" s="581" t="e">
        <f>+#REF!</f>
        <v>#REF!</v>
      </c>
      <c r="W464" s="582" t="e">
        <f t="shared" si="361"/>
        <v>#REF!</v>
      </c>
      <c r="X464" s="581" t="e">
        <f>+#REF!</f>
        <v>#REF!</v>
      </c>
      <c r="Y464" s="582" t="e">
        <f t="shared" si="362"/>
        <v>#REF!</v>
      </c>
      <c r="Z464" s="581" t="e">
        <f>+#REF!</f>
        <v>#REF!</v>
      </c>
      <c r="AA464" s="582" t="e">
        <f t="shared" si="363"/>
        <v>#REF!</v>
      </c>
      <c r="AB464" s="581" t="e">
        <f>+#REF!</f>
        <v>#REF!</v>
      </c>
      <c r="AC464" s="582" t="e">
        <f t="shared" si="364"/>
        <v>#REF!</v>
      </c>
      <c r="AE464" s="769" t="e">
        <f t="shared" si="365"/>
        <v>#REF!</v>
      </c>
    </row>
    <row r="465" spans="1:31" ht="51" x14ac:dyDescent="0.2">
      <c r="A465" s="661" t="s">
        <v>1378</v>
      </c>
      <c r="B465" s="601" t="s">
        <v>1379</v>
      </c>
      <c r="C465" s="611" t="s">
        <v>111</v>
      </c>
      <c r="D465" s="576">
        <f t="shared" si="352"/>
        <v>4</v>
      </c>
      <c r="E465" s="577" t="e">
        <f t="shared" si="353"/>
        <v>#REF!</v>
      </c>
      <c r="F465" s="577" t="e">
        <f t="shared" si="354"/>
        <v>#REF!</v>
      </c>
      <c r="G465" s="578"/>
      <c r="I465" s="594"/>
      <c r="J465" s="580" t="e">
        <f t="shared" si="355"/>
        <v>#REF!</v>
      </c>
      <c r="K465" s="537"/>
      <c r="L465" s="445" t="e">
        <f t="shared" si="356"/>
        <v>#REF!</v>
      </c>
      <c r="M465" s="542"/>
      <c r="N465" s="445" t="e">
        <f t="shared" si="357"/>
        <v>#REF!</v>
      </c>
      <c r="O465" s="542"/>
      <c r="P465" s="445" t="e">
        <f t="shared" si="358"/>
        <v>#REF!</v>
      </c>
      <c r="Q465" s="542"/>
      <c r="R465" s="445" t="e">
        <f t="shared" si="359"/>
        <v>#REF!</v>
      </c>
      <c r="S465" s="542">
        <v>4</v>
      </c>
      <c r="T465" s="445" t="e">
        <f t="shared" si="360"/>
        <v>#REF!</v>
      </c>
      <c r="V465" s="581" t="e">
        <f>+#REF!</f>
        <v>#REF!</v>
      </c>
      <c r="W465" s="582" t="e">
        <f t="shared" si="361"/>
        <v>#REF!</v>
      </c>
      <c r="X465" s="581" t="e">
        <f>+#REF!</f>
        <v>#REF!</v>
      </c>
      <c r="Y465" s="582" t="e">
        <f t="shared" si="362"/>
        <v>#REF!</v>
      </c>
      <c r="Z465" s="581" t="e">
        <f>+#REF!</f>
        <v>#REF!</v>
      </c>
      <c r="AA465" s="582" t="e">
        <f t="shared" si="363"/>
        <v>#REF!</v>
      </c>
      <c r="AB465" s="581" t="e">
        <f>+#REF!</f>
        <v>#REF!</v>
      </c>
      <c r="AC465" s="582" t="e">
        <f t="shared" si="364"/>
        <v>#REF!</v>
      </c>
      <c r="AE465" s="769" t="e">
        <f t="shared" si="365"/>
        <v>#REF!</v>
      </c>
    </row>
    <row r="466" spans="1:31" ht="51" x14ac:dyDescent="0.2">
      <c r="A466" s="661" t="s">
        <v>1380</v>
      </c>
      <c r="B466" s="601" t="s">
        <v>1381</v>
      </c>
      <c r="C466" s="611" t="s">
        <v>111</v>
      </c>
      <c r="D466" s="576">
        <f t="shared" si="352"/>
        <v>1</v>
      </c>
      <c r="E466" s="577" t="e">
        <f t="shared" si="353"/>
        <v>#REF!</v>
      </c>
      <c r="F466" s="577" t="e">
        <f t="shared" si="354"/>
        <v>#REF!</v>
      </c>
      <c r="G466" s="578"/>
      <c r="I466" s="594"/>
      <c r="J466" s="580" t="e">
        <f t="shared" si="355"/>
        <v>#REF!</v>
      </c>
      <c r="K466" s="537"/>
      <c r="L466" s="445" t="e">
        <f t="shared" si="356"/>
        <v>#REF!</v>
      </c>
      <c r="M466" s="542"/>
      <c r="N466" s="445" t="e">
        <f t="shared" si="357"/>
        <v>#REF!</v>
      </c>
      <c r="O466" s="542">
        <v>1</v>
      </c>
      <c r="P466" s="445" t="e">
        <f t="shared" si="358"/>
        <v>#REF!</v>
      </c>
      <c r="Q466" s="542"/>
      <c r="R466" s="445" t="e">
        <f t="shared" si="359"/>
        <v>#REF!</v>
      </c>
      <c r="S466" s="542"/>
      <c r="T466" s="445" t="e">
        <f t="shared" si="360"/>
        <v>#REF!</v>
      </c>
      <c r="V466" s="581" t="e">
        <f>+#REF!</f>
        <v>#REF!</v>
      </c>
      <c r="W466" s="582" t="e">
        <f t="shared" si="361"/>
        <v>#REF!</v>
      </c>
      <c r="X466" s="581" t="e">
        <f>+#REF!</f>
        <v>#REF!</v>
      </c>
      <c r="Y466" s="582" t="e">
        <f t="shared" si="362"/>
        <v>#REF!</v>
      </c>
      <c r="Z466" s="581" t="e">
        <f>+#REF!</f>
        <v>#REF!</v>
      </c>
      <c r="AA466" s="582" t="e">
        <f t="shared" si="363"/>
        <v>#REF!</v>
      </c>
      <c r="AB466" s="581" t="e">
        <f>+#REF!</f>
        <v>#REF!</v>
      </c>
      <c r="AC466" s="582" t="e">
        <f t="shared" si="364"/>
        <v>#REF!</v>
      </c>
      <c r="AE466" s="769" t="e">
        <f t="shared" si="365"/>
        <v>#REF!</v>
      </c>
    </row>
    <row r="467" spans="1:31" x14ac:dyDescent="0.2">
      <c r="A467" s="661" t="s">
        <v>1382</v>
      </c>
      <c r="B467" s="601" t="s">
        <v>1383</v>
      </c>
      <c r="C467" s="611" t="s">
        <v>111</v>
      </c>
      <c r="D467" s="576">
        <f t="shared" si="352"/>
        <v>1</v>
      </c>
      <c r="E467" s="577" t="e">
        <f t="shared" si="353"/>
        <v>#REF!</v>
      </c>
      <c r="F467" s="577" t="e">
        <f t="shared" si="354"/>
        <v>#REF!</v>
      </c>
      <c r="G467" s="578"/>
      <c r="I467" s="594"/>
      <c r="J467" s="580" t="e">
        <f t="shared" si="355"/>
        <v>#REF!</v>
      </c>
      <c r="K467" s="537"/>
      <c r="L467" s="445" t="e">
        <f t="shared" si="356"/>
        <v>#REF!</v>
      </c>
      <c r="M467" s="542"/>
      <c r="N467" s="445" t="e">
        <f t="shared" si="357"/>
        <v>#REF!</v>
      </c>
      <c r="O467" s="542">
        <v>1</v>
      </c>
      <c r="P467" s="445" t="e">
        <f t="shared" si="358"/>
        <v>#REF!</v>
      </c>
      <c r="Q467" s="542"/>
      <c r="R467" s="445" t="e">
        <f t="shared" si="359"/>
        <v>#REF!</v>
      </c>
      <c r="S467" s="542"/>
      <c r="T467" s="445" t="e">
        <f t="shared" si="360"/>
        <v>#REF!</v>
      </c>
      <c r="V467" s="581" t="e">
        <f>+#REF!</f>
        <v>#REF!</v>
      </c>
      <c r="W467" s="582" t="e">
        <f t="shared" si="361"/>
        <v>#REF!</v>
      </c>
      <c r="X467" s="581" t="e">
        <f>+#REF!</f>
        <v>#REF!</v>
      </c>
      <c r="Y467" s="582" t="e">
        <f t="shared" si="362"/>
        <v>#REF!</v>
      </c>
      <c r="Z467" s="581" t="e">
        <f>+#REF!</f>
        <v>#REF!</v>
      </c>
      <c r="AA467" s="582" t="e">
        <f t="shared" si="363"/>
        <v>#REF!</v>
      </c>
      <c r="AB467" s="581" t="e">
        <f>+#REF!</f>
        <v>#REF!</v>
      </c>
      <c r="AC467" s="582" t="e">
        <f t="shared" si="364"/>
        <v>#REF!</v>
      </c>
      <c r="AE467" s="769" t="e">
        <f t="shared" si="365"/>
        <v>#REF!</v>
      </c>
    </row>
    <row r="468" spans="1:31" s="666" customFormat="1" ht="8.25" customHeight="1" thickBot="1" x14ac:dyDescent="0.25">
      <c r="A468" s="662"/>
      <c r="B468" s="663"/>
      <c r="C468" s="116"/>
      <c r="D468" s="173"/>
      <c r="E468" s="177"/>
      <c r="F468" s="177"/>
      <c r="G468" s="177"/>
      <c r="H468" s="642"/>
      <c r="I468" s="644"/>
      <c r="J468" s="644"/>
      <c r="K468" s="664"/>
      <c r="L468" s="644"/>
      <c r="M468" s="177"/>
      <c r="N468" s="644"/>
      <c r="O468" s="177"/>
      <c r="P468" s="644"/>
      <c r="Q468" s="177"/>
      <c r="R468" s="644"/>
      <c r="S468" s="177"/>
      <c r="T468" s="644"/>
      <c r="U468" s="642"/>
      <c r="V468" s="665"/>
      <c r="W468" s="665"/>
      <c r="X468" s="665"/>
      <c r="Y468" s="665"/>
      <c r="Z468" s="665"/>
      <c r="AA468" s="665"/>
      <c r="AB468" s="665"/>
      <c r="AC468" s="665"/>
      <c r="AD468" s="921"/>
      <c r="AE468" s="769">
        <f t="shared" si="365"/>
        <v>0</v>
      </c>
    </row>
    <row r="469" spans="1:31" ht="30" customHeight="1" thickTop="1" thickBot="1" x14ac:dyDescent="0.25">
      <c r="A469" s="564" t="s">
        <v>1384</v>
      </c>
      <c r="B469" s="1068" t="s">
        <v>1385</v>
      </c>
      <c r="C469" s="1069"/>
      <c r="D469" s="1069"/>
      <c r="E469" s="1069"/>
      <c r="F469" s="1070"/>
      <c r="G469" s="180" t="e">
        <f>+ROUND(F470+F475,10)</f>
        <v>#REF!</v>
      </c>
      <c r="H469" s="568"/>
      <c r="I469" s="616"/>
      <c r="J469" s="439" t="e">
        <f>+ROUND(J470+J475,10)</f>
        <v>#REF!</v>
      </c>
      <c r="K469" s="617"/>
      <c r="L469" s="180" t="e">
        <f>+ROUND(L470+L475,10)</f>
        <v>#REF!</v>
      </c>
      <c r="M469" s="180"/>
      <c r="N469" s="180" t="e">
        <f>+ROUND(N470+N475,10)</f>
        <v>#REF!</v>
      </c>
      <c r="O469" s="180"/>
      <c r="P469" s="180" t="e">
        <f>+ROUND(P470+P475,10)</f>
        <v>#REF!</v>
      </c>
      <c r="Q469" s="180"/>
      <c r="R469" s="180" t="e">
        <f>+ROUND(R470+R475,10)</f>
        <v>#REF!</v>
      </c>
      <c r="S469" s="180"/>
      <c r="T469" s="180" t="e">
        <f>+ROUND(T470+T475,10)</f>
        <v>#REF!</v>
      </c>
      <c r="U469" s="568"/>
      <c r="V469" s="569" t="e">
        <f>W469/$G$469</f>
        <v>#REF!</v>
      </c>
      <c r="W469" s="570" t="e">
        <f>ROUND(W470+W475,10)</f>
        <v>#REF!</v>
      </c>
      <c r="X469" s="569" t="e">
        <f>Y469/$G$469</f>
        <v>#REF!</v>
      </c>
      <c r="Y469" s="570" t="e">
        <f>ROUND(Y470+Y475,10)</f>
        <v>#REF!</v>
      </c>
      <c r="Z469" s="569" t="e">
        <f>AA469/$G$469</f>
        <v>#REF!</v>
      </c>
      <c r="AA469" s="570" t="e">
        <f>ROUND(AA470+AA475,10)</f>
        <v>#REF!</v>
      </c>
      <c r="AB469" s="569" t="e">
        <f>AC469/$G$469</f>
        <v>#REF!</v>
      </c>
      <c r="AC469" s="570">
        <f>ROUND(AC470+AC475,10)</f>
        <v>0</v>
      </c>
      <c r="AE469" s="769" t="e">
        <f t="shared" si="365"/>
        <v>#REF!</v>
      </c>
    </row>
    <row r="470" spans="1:31" s="595" customFormat="1" ht="16.5" thickTop="1" x14ac:dyDescent="0.2">
      <c r="A470" s="572" t="s">
        <v>1386</v>
      </c>
      <c r="B470" s="573" t="s">
        <v>1387</v>
      </c>
      <c r="C470" s="846"/>
      <c r="D470" s="576"/>
      <c r="E470" s="180"/>
      <c r="F470" s="180" t="e">
        <f>+ROUND(SUM(F471:F474),10)</f>
        <v>#REF!</v>
      </c>
      <c r="G470" s="473"/>
      <c r="H470" s="568"/>
      <c r="I470" s="618"/>
      <c r="J470" s="439" t="e">
        <f>ROUND(SUM(J471:J474),10)</f>
        <v>#REF!</v>
      </c>
      <c r="K470" s="539"/>
      <c r="L470" s="180" t="e">
        <f>ROUND(SUM(L471:L474),10)</f>
        <v>#REF!</v>
      </c>
      <c r="M470" s="541"/>
      <c r="N470" s="180" t="e">
        <f>ROUND(SUM(N471:N474),10)</f>
        <v>#REF!</v>
      </c>
      <c r="O470" s="541"/>
      <c r="P470" s="180" t="e">
        <f>ROUND(SUM(P471:P474),10)</f>
        <v>#REF!</v>
      </c>
      <c r="Q470" s="541"/>
      <c r="R470" s="180" t="e">
        <f>ROUND(SUM(R471:R474),10)</f>
        <v>#REF!</v>
      </c>
      <c r="S470" s="541"/>
      <c r="T470" s="180" t="e">
        <f>ROUND(SUM(T471:T474),10)</f>
        <v>#REF!</v>
      </c>
      <c r="U470" s="568"/>
      <c r="V470" s="575"/>
      <c r="W470" s="570" t="e">
        <f>ROUND(SUM(W471:W474),10)</f>
        <v>#REF!</v>
      </c>
      <c r="X470" s="575"/>
      <c r="Y470" s="570" t="e">
        <f>ROUND(SUM(Y471:Y474),10)</f>
        <v>#REF!</v>
      </c>
      <c r="Z470" s="575"/>
      <c r="AA470" s="570" t="e">
        <f>ROUND(SUM(AA471:AA474),10)</f>
        <v>#REF!</v>
      </c>
      <c r="AB470" s="575"/>
      <c r="AC470" s="570">
        <f>ROUND(SUM(AC471:AC474),10)</f>
        <v>0</v>
      </c>
      <c r="AD470" s="912"/>
      <c r="AE470" s="769" t="e">
        <f t="shared" si="365"/>
        <v>#REF!</v>
      </c>
    </row>
    <row r="471" spans="1:31" s="595" customFormat="1" x14ac:dyDescent="0.2">
      <c r="A471" s="611" t="s">
        <v>1388</v>
      </c>
      <c r="B471" s="601" t="s">
        <v>1389</v>
      </c>
      <c r="C471" s="611" t="s">
        <v>130</v>
      </c>
      <c r="D471" s="576">
        <f>+I471+K471+M471+O471+Q471+S471</f>
        <v>737.82</v>
      </c>
      <c r="E471" s="577" t="e">
        <f t="shared" ref="E471:E478" si="366">V471+X471+Z471+AB471</f>
        <v>#REF!</v>
      </c>
      <c r="F471" s="577" t="e">
        <f>ROUND(D471*E471,10)</f>
        <v>#REF!</v>
      </c>
      <c r="G471" s="578"/>
      <c r="H471" s="552"/>
      <c r="I471" s="594"/>
      <c r="J471" s="580" t="e">
        <f>+ROUND(E471*I471,10)</f>
        <v>#REF!</v>
      </c>
      <c r="K471" s="537">
        <v>66.989999999999995</v>
      </c>
      <c r="L471" s="445" t="e">
        <f>+ROUND(E471*K471,10)</f>
        <v>#REF!</v>
      </c>
      <c r="M471" s="542">
        <f>140.26+4.86+43.92</f>
        <v>189.04000000000002</v>
      </c>
      <c r="N471" s="445" t="e">
        <f>+ROUND(E471*M471,10)</f>
        <v>#REF!</v>
      </c>
      <c r="O471" s="537">
        <f>174.95+52.28+12.6+147.13+67.86+10.36+16.61</f>
        <v>481.79</v>
      </c>
      <c r="P471" s="445" t="e">
        <f>+ROUND(E471*O471,10)</f>
        <v>#REF!</v>
      </c>
      <c r="Q471" s="542"/>
      <c r="R471" s="445" t="e">
        <f>+ROUND(E471*Q471,10)</f>
        <v>#REF!</v>
      </c>
      <c r="S471" s="542"/>
      <c r="T471" s="445" t="e">
        <f>+ROUND(E471*S471,10)</f>
        <v>#REF!</v>
      </c>
      <c r="U471" s="552"/>
      <c r="V471" s="581" t="e">
        <f>+#REF!</f>
        <v>#REF!</v>
      </c>
      <c r="W471" s="582" t="e">
        <f>ROUND(V471*$D471,10)</f>
        <v>#REF!</v>
      </c>
      <c r="X471" s="581" t="e">
        <f>+#REF!</f>
        <v>#REF!</v>
      </c>
      <c r="Y471" s="582" t="e">
        <f>ROUND(X471*$D471,10)</f>
        <v>#REF!</v>
      </c>
      <c r="Z471" s="581" t="e">
        <f>+#REF!</f>
        <v>#REF!</v>
      </c>
      <c r="AA471" s="582" t="e">
        <f>ROUND(Z471*$D471,10)</f>
        <v>#REF!</v>
      </c>
      <c r="AB471" s="581"/>
      <c r="AC471" s="582">
        <f>ROUND(AB471*$D471,10)</f>
        <v>0</v>
      </c>
      <c r="AD471" s="912"/>
      <c r="AE471" s="769" t="e">
        <f t="shared" si="365"/>
        <v>#REF!</v>
      </c>
    </row>
    <row r="472" spans="1:31" s="595" customFormat="1" x14ac:dyDescent="0.2">
      <c r="A472" s="611" t="s">
        <v>1390</v>
      </c>
      <c r="B472" s="601" t="s">
        <v>1391</v>
      </c>
      <c r="C472" s="611" t="s">
        <v>130</v>
      </c>
      <c r="D472" s="576">
        <f>+I472+K472+M472+O472+Q472+S472</f>
        <v>754.67000000000007</v>
      </c>
      <c r="E472" s="577" t="e">
        <f t="shared" si="366"/>
        <v>#REF!</v>
      </c>
      <c r="F472" s="577" t="e">
        <f>ROUND(D472*E472,10)</f>
        <v>#REF!</v>
      </c>
      <c r="G472" s="578"/>
      <c r="H472" s="552"/>
      <c r="I472" s="584"/>
      <c r="J472" s="585" t="e">
        <f>+ROUND(E472*I472,10)</f>
        <v>#REF!</v>
      </c>
      <c r="K472" s="537">
        <f>309.27+24.34+57.8+214.97+19.47+38.24+18.88+42.04</f>
        <v>725.01</v>
      </c>
      <c r="L472" s="445" t="e">
        <f>+ROUND(E472*K472,10)</f>
        <v>#REF!</v>
      </c>
      <c r="M472" s="542">
        <f>2.6+7.11</f>
        <v>9.7100000000000009</v>
      </c>
      <c r="N472" s="445" t="e">
        <f>+ROUND(E472*M472,10)</f>
        <v>#REF!</v>
      </c>
      <c r="O472" s="537">
        <f>9.44+10.51</f>
        <v>19.95</v>
      </c>
      <c r="P472" s="445" t="e">
        <f>+ROUND(E472*O472,10)</f>
        <v>#REF!</v>
      </c>
      <c r="Q472" s="542"/>
      <c r="R472" s="445" t="e">
        <f>+ROUND(E472*Q472,10)</f>
        <v>#REF!</v>
      </c>
      <c r="S472" s="542"/>
      <c r="T472" s="445" t="e">
        <f>+ROUND(E472*S472,10)</f>
        <v>#REF!</v>
      </c>
      <c r="U472" s="552"/>
      <c r="V472" s="581" t="e">
        <f>+#REF!</f>
        <v>#REF!</v>
      </c>
      <c r="W472" s="582" t="e">
        <f>ROUND(V472*$D472,10)</f>
        <v>#REF!</v>
      </c>
      <c r="X472" s="581" t="e">
        <f>+#REF!</f>
        <v>#REF!</v>
      </c>
      <c r="Y472" s="582" t="e">
        <f>ROUND(X472*$D472,10)</f>
        <v>#REF!</v>
      </c>
      <c r="Z472" s="581" t="e">
        <f>+#REF!</f>
        <v>#REF!</v>
      </c>
      <c r="AA472" s="582" t="e">
        <f>ROUND(Z472*$D472,10)</f>
        <v>#REF!</v>
      </c>
      <c r="AB472" s="581"/>
      <c r="AC472" s="582">
        <f>ROUND(AB472*$D472,10)</f>
        <v>0</v>
      </c>
      <c r="AD472" s="912"/>
      <c r="AE472" s="769" t="e">
        <f t="shared" si="365"/>
        <v>#REF!</v>
      </c>
    </row>
    <row r="473" spans="1:31" s="595" customFormat="1" x14ac:dyDescent="0.2">
      <c r="A473" s="611" t="s">
        <v>1392</v>
      </c>
      <c r="B473" s="601" t="s">
        <v>1393</v>
      </c>
      <c r="C473" s="611" t="s">
        <v>130</v>
      </c>
      <c r="D473" s="576">
        <f>+I473+K473+M473+O473+Q473+S473</f>
        <v>671.5</v>
      </c>
      <c r="E473" s="577" t="e">
        <f t="shared" si="366"/>
        <v>#REF!</v>
      </c>
      <c r="F473" s="577" t="e">
        <f>ROUND(D473*E473,10)</f>
        <v>#REF!</v>
      </c>
      <c r="G473" s="578"/>
      <c r="H473" s="552"/>
      <c r="I473" s="584"/>
      <c r="J473" s="585" t="e">
        <f>+ROUND(E473*I473,10)</f>
        <v>#REF!</v>
      </c>
      <c r="K473" s="537">
        <f>116.51+28.08+57.8+73.35+22.46+38.24+9.44+42.04</f>
        <v>387.92</v>
      </c>
      <c r="L473" s="445" t="e">
        <f>+ROUND(E473*K473,10)</f>
        <v>#REF!</v>
      </c>
      <c r="M473" s="542">
        <f>1.3+10.51+28.17</f>
        <v>39.980000000000004</v>
      </c>
      <c r="N473" s="445" t="e">
        <f>+ROUND(E473*M473,10)</f>
        <v>#REF!</v>
      </c>
      <c r="O473" s="537">
        <f>4.72+10.51</f>
        <v>15.23</v>
      </c>
      <c r="P473" s="445" t="e">
        <f>+ROUND(E473*O473,10)</f>
        <v>#REF!</v>
      </c>
      <c r="Q473" s="537">
        <v>121.98</v>
      </c>
      <c r="R473" s="445" t="e">
        <f>+ROUND(E473*Q473,10)</f>
        <v>#REF!</v>
      </c>
      <c r="S473" s="537">
        <f>61.72+44.67</f>
        <v>106.39</v>
      </c>
      <c r="T473" s="445" t="e">
        <f>+ROUND(E473*S473,10)</f>
        <v>#REF!</v>
      </c>
      <c r="U473" s="552"/>
      <c r="V473" s="581" t="e">
        <f>+#REF!</f>
        <v>#REF!</v>
      </c>
      <c r="W473" s="582" t="e">
        <f>ROUND(V473*$D473,10)</f>
        <v>#REF!</v>
      </c>
      <c r="X473" s="581" t="e">
        <f>+#REF!</f>
        <v>#REF!</v>
      </c>
      <c r="Y473" s="582" t="e">
        <f>ROUND(X473*$D473,10)</f>
        <v>#REF!</v>
      </c>
      <c r="Z473" s="581" t="e">
        <f>+#REF!</f>
        <v>#REF!</v>
      </c>
      <c r="AA473" s="582" t="e">
        <f>ROUND(Z473*$D473,10)</f>
        <v>#REF!</v>
      </c>
      <c r="AB473" s="581"/>
      <c r="AC473" s="582">
        <f>ROUND(AB473*$D473,10)</f>
        <v>0</v>
      </c>
      <c r="AD473" s="912"/>
      <c r="AE473" s="769" t="e">
        <f t="shared" si="365"/>
        <v>#REF!</v>
      </c>
    </row>
    <row r="474" spans="1:31" s="595" customFormat="1" ht="15" hidden="1" customHeight="1" x14ac:dyDescent="0.2">
      <c r="A474" s="611" t="s">
        <v>1394</v>
      </c>
      <c r="B474" s="601" t="s">
        <v>1395</v>
      </c>
      <c r="C474" s="611"/>
      <c r="D474" s="576">
        <f>+I474+K474+M474+O474+Q474+S474</f>
        <v>0</v>
      </c>
      <c r="E474" s="577">
        <f t="shared" si="366"/>
        <v>0</v>
      </c>
      <c r="F474" s="577">
        <f>ROUND(D474*E474,10)</f>
        <v>0</v>
      </c>
      <c r="G474" s="578"/>
      <c r="H474" s="552"/>
      <c r="I474" s="597"/>
      <c r="J474" s="598">
        <f>+ROUND(E474*I474,10)</f>
        <v>0</v>
      </c>
      <c r="K474" s="537"/>
      <c r="L474" s="445">
        <f>+ROUND(E474*K474,10)</f>
        <v>0</v>
      </c>
      <c r="M474" s="542"/>
      <c r="N474" s="445">
        <f>+ROUND(E474*M474,10)</f>
        <v>0</v>
      </c>
      <c r="O474" s="542"/>
      <c r="P474" s="445">
        <f>+ROUND(E474*O474,10)</f>
        <v>0</v>
      </c>
      <c r="Q474" s="542"/>
      <c r="R474" s="445">
        <f>+ROUND(E474*Q474,10)</f>
        <v>0</v>
      </c>
      <c r="S474" s="542"/>
      <c r="T474" s="445">
        <f>+ROUND(E474*S474,10)</f>
        <v>0</v>
      </c>
      <c r="U474" s="552"/>
      <c r="V474" s="581"/>
      <c r="W474" s="582">
        <f>ROUND(V474*$D474,10)</f>
        <v>0</v>
      </c>
      <c r="X474" s="581"/>
      <c r="Y474" s="582">
        <f>ROUND(X474*$D474,10)</f>
        <v>0</v>
      </c>
      <c r="Z474" s="581"/>
      <c r="AA474" s="582">
        <f>ROUND(Z474*$D474,10)</f>
        <v>0</v>
      </c>
      <c r="AB474" s="581"/>
      <c r="AC474" s="582">
        <f>ROUND(AB474*$D474,10)</f>
        <v>0</v>
      </c>
      <c r="AD474" s="912"/>
      <c r="AE474" s="769">
        <f t="shared" si="365"/>
        <v>0</v>
      </c>
    </row>
    <row r="475" spans="1:31" s="595" customFormat="1" ht="15.75" x14ac:dyDescent="0.2">
      <c r="A475" s="572" t="s">
        <v>1396</v>
      </c>
      <c r="B475" s="573" t="s">
        <v>1397</v>
      </c>
      <c r="C475" s="846"/>
      <c r="D475" s="576"/>
      <c r="E475" s="577"/>
      <c r="F475" s="180" t="e">
        <f>+ROUND(SUM(F476:F478),10)</f>
        <v>#REF!</v>
      </c>
      <c r="G475" s="473"/>
      <c r="H475" s="565"/>
      <c r="I475" s="613"/>
      <c r="J475" s="440" t="e">
        <f>ROUND(SUM(J476:J478),10)</f>
        <v>#REF!</v>
      </c>
      <c r="K475" s="537"/>
      <c r="L475" s="180" t="e">
        <f>ROUND(SUM(L476:L478),10)</f>
        <v>#REF!</v>
      </c>
      <c r="M475" s="542"/>
      <c r="N475" s="180" t="e">
        <f>ROUND(SUM(N476:N478),10)</f>
        <v>#REF!</v>
      </c>
      <c r="O475" s="542"/>
      <c r="P475" s="180" t="e">
        <f>ROUND(SUM(P476:P478),10)</f>
        <v>#REF!</v>
      </c>
      <c r="Q475" s="542"/>
      <c r="R475" s="180" t="e">
        <f>ROUND(SUM(R476:R478),10)</f>
        <v>#REF!</v>
      </c>
      <c r="S475" s="542"/>
      <c r="T475" s="180" t="e">
        <f>ROUND(SUM(T476:T478),10)</f>
        <v>#REF!</v>
      </c>
      <c r="U475" s="565"/>
      <c r="V475" s="575"/>
      <c r="W475" s="570" t="e">
        <f>ROUND(SUM(W476:W478),10)</f>
        <v>#REF!</v>
      </c>
      <c r="X475" s="575"/>
      <c r="Y475" s="570" t="e">
        <f>ROUND(SUM(Y476:Y478),10)</f>
        <v>#REF!</v>
      </c>
      <c r="Z475" s="575"/>
      <c r="AA475" s="570" t="e">
        <f>ROUND(SUM(AA476:AA478),10)</f>
        <v>#REF!</v>
      </c>
      <c r="AB475" s="575"/>
      <c r="AC475" s="570">
        <f>ROUND(SUM(AC476:AC478),10)</f>
        <v>0</v>
      </c>
      <c r="AD475" s="912"/>
      <c r="AE475" s="769" t="e">
        <f t="shared" si="365"/>
        <v>#REF!</v>
      </c>
    </row>
    <row r="476" spans="1:31" s="595" customFormat="1" x14ac:dyDescent="0.2">
      <c r="A476" s="611" t="s">
        <v>1398</v>
      </c>
      <c r="B476" s="601" t="s">
        <v>1399</v>
      </c>
      <c r="C476" s="611" t="s">
        <v>130</v>
      </c>
      <c r="D476" s="768">
        <f>+I476+K476+M476+O476+Q476+S476</f>
        <v>506.90999999999997</v>
      </c>
      <c r="E476" s="577" t="e">
        <f t="shared" si="366"/>
        <v>#REF!</v>
      </c>
      <c r="F476" s="577" t="e">
        <f>ROUND(D476*E476,10)</f>
        <v>#REF!</v>
      </c>
      <c r="G476" s="578"/>
      <c r="H476" s="554"/>
      <c r="I476" s="594"/>
      <c r="J476" s="580" t="e">
        <f>+ROUND(E476*I476,10)</f>
        <v>#REF!</v>
      </c>
      <c r="K476" s="537">
        <v>283.61</v>
      </c>
      <c r="L476" s="445" t="e">
        <f>+ROUND(E476*K476,10)</f>
        <v>#REF!</v>
      </c>
      <c r="M476" s="542">
        <v>30.96</v>
      </c>
      <c r="N476" s="445" t="e">
        <f>+ROUND(E476*M476,10)</f>
        <v>#REF!</v>
      </c>
      <c r="O476" s="542">
        <v>73.959999999999994</v>
      </c>
      <c r="P476" s="445" t="e">
        <f>+ROUND(E476*O476,10)</f>
        <v>#REF!</v>
      </c>
      <c r="Q476" s="537">
        <v>118.38</v>
      </c>
      <c r="R476" s="445" t="e">
        <f>+ROUND(E476*Q476,10)</f>
        <v>#REF!</v>
      </c>
      <c r="S476" s="537"/>
      <c r="T476" s="445" t="e">
        <f>+ROUND(E476*S476,10)</f>
        <v>#REF!</v>
      </c>
      <c r="U476" s="554"/>
      <c r="V476" s="581" t="e">
        <f>+#REF!</f>
        <v>#REF!</v>
      </c>
      <c r="W476" s="582" t="e">
        <f>ROUND(V476*$D476,10)</f>
        <v>#REF!</v>
      </c>
      <c r="X476" s="581" t="e">
        <f>+#REF!</f>
        <v>#REF!</v>
      </c>
      <c r="Y476" s="582" t="e">
        <f>ROUND(X476*$D476,10)</f>
        <v>#REF!</v>
      </c>
      <c r="Z476" s="581" t="e">
        <f>+#REF!</f>
        <v>#REF!</v>
      </c>
      <c r="AA476" s="582" t="e">
        <f>ROUND(Z476*$D476,10)</f>
        <v>#REF!</v>
      </c>
      <c r="AB476" s="581"/>
      <c r="AC476" s="582">
        <f>ROUND(AB476*$D476,10)</f>
        <v>0</v>
      </c>
      <c r="AD476" s="912"/>
      <c r="AE476" s="769" t="e">
        <f t="shared" si="365"/>
        <v>#REF!</v>
      </c>
    </row>
    <row r="477" spans="1:31" s="595" customFormat="1" ht="15" hidden="1" customHeight="1" x14ac:dyDescent="0.2">
      <c r="A477" s="611" t="s">
        <v>1400</v>
      </c>
      <c r="B477" s="601" t="s">
        <v>1401</v>
      </c>
      <c r="C477" s="611" t="s">
        <v>130</v>
      </c>
      <c r="D477" s="576">
        <f>+I477+K477+M477+O477+Q477+S477</f>
        <v>0</v>
      </c>
      <c r="E477" s="577">
        <f t="shared" si="366"/>
        <v>0</v>
      </c>
      <c r="F477" s="577">
        <f>ROUND(D477*E477,10)</f>
        <v>0</v>
      </c>
      <c r="G477" s="578"/>
      <c r="H477" s="552"/>
      <c r="I477" s="584"/>
      <c r="J477" s="585">
        <f>+ROUND(E477*I477,10)</f>
        <v>0</v>
      </c>
      <c r="K477" s="537"/>
      <c r="L477" s="445">
        <f>+ROUND(E477*K477,10)</f>
        <v>0</v>
      </c>
      <c r="M477" s="542"/>
      <c r="N477" s="445">
        <f>+ROUND(E477*M477,10)</f>
        <v>0</v>
      </c>
      <c r="O477" s="542"/>
      <c r="P477" s="445">
        <f>+ROUND(E477*O477,10)</f>
        <v>0</v>
      </c>
      <c r="Q477" s="542"/>
      <c r="R477" s="445">
        <f>+ROUND(E477*Q477,10)</f>
        <v>0</v>
      </c>
      <c r="S477" s="542"/>
      <c r="T477" s="445">
        <f>+ROUND(E477*S477,10)</f>
        <v>0</v>
      </c>
      <c r="U477" s="552"/>
      <c r="V477" s="581"/>
      <c r="W477" s="582">
        <f>ROUND(V477*$D477,10)</f>
        <v>0</v>
      </c>
      <c r="X477" s="581"/>
      <c r="Y477" s="582">
        <f>ROUND(X477*$D477,10)</f>
        <v>0</v>
      </c>
      <c r="Z477" s="581"/>
      <c r="AA477" s="582">
        <f>ROUND(Z477*$D477,10)</f>
        <v>0</v>
      </c>
      <c r="AB477" s="581"/>
      <c r="AC477" s="582">
        <f>ROUND(AB477*$D477,10)</f>
        <v>0</v>
      </c>
      <c r="AD477" s="912"/>
      <c r="AE477" s="769">
        <f t="shared" si="365"/>
        <v>0</v>
      </c>
    </row>
    <row r="478" spans="1:31" s="595" customFormat="1" ht="15.75" hidden="1" customHeight="1" thickBot="1" x14ac:dyDescent="0.25">
      <c r="A478" s="611" t="s">
        <v>1402</v>
      </c>
      <c r="B478" s="601" t="s">
        <v>1395</v>
      </c>
      <c r="C478" s="611"/>
      <c r="D478" s="576">
        <f>+I478+K478+M478+O478+Q478+S478</f>
        <v>0</v>
      </c>
      <c r="E478" s="577">
        <f t="shared" si="366"/>
        <v>0</v>
      </c>
      <c r="F478" s="577">
        <f>ROUND(D478*E478,10)</f>
        <v>0</v>
      </c>
      <c r="G478" s="578"/>
      <c r="H478" s="552"/>
      <c r="I478" s="602"/>
      <c r="J478" s="603">
        <f>+ROUND(E478*I478,10)</f>
        <v>0</v>
      </c>
      <c r="K478" s="537"/>
      <c r="L478" s="445">
        <f>+ROUND(E478*K478,10)</f>
        <v>0</v>
      </c>
      <c r="M478" s="542"/>
      <c r="N478" s="445">
        <f>+ROUND(E478*M478,10)</f>
        <v>0</v>
      </c>
      <c r="O478" s="542"/>
      <c r="P478" s="445">
        <f>+ROUND(E478*O478,10)</f>
        <v>0</v>
      </c>
      <c r="Q478" s="542"/>
      <c r="R478" s="445">
        <f>+ROUND(E478*Q478,10)</f>
        <v>0</v>
      </c>
      <c r="S478" s="542"/>
      <c r="T478" s="445">
        <f>+ROUND(E478*S478,10)</f>
        <v>0</v>
      </c>
      <c r="U478" s="552"/>
      <c r="V478" s="581"/>
      <c r="W478" s="582">
        <f>ROUND(V478*$D478,10)</f>
        <v>0</v>
      </c>
      <c r="X478" s="581"/>
      <c r="Y478" s="582">
        <f>ROUND(X478*$D478,10)</f>
        <v>0</v>
      </c>
      <c r="Z478" s="581"/>
      <c r="AA478" s="582">
        <f>ROUND(Z478*$D478,10)</f>
        <v>0</v>
      </c>
      <c r="AB478" s="581"/>
      <c r="AC478" s="582">
        <f>ROUND(AB478*$D478,10)</f>
        <v>0</v>
      </c>
      <c r="AD478" s="912"/>
      <c r="AE478" s="769">
        <f t="shared" si="365"/>
        <v>0</v>
      </c>
    </row>
    <row r="479" spans="1:31" s="595" customFormat="1" ht="15" hidden="1" customHeight="1" x14ac:dyDescent="0.2">
      <c r="A479" s="611"/>
      <c r="B479" s="601"/>
      <c r="C479" s="611"/>
      <c r="D479" s="576"/>
      <c r="E479" s="577"/>
      <c r="F479" s="577"/>
      <c r="G479" s="578"/>
      <c r="H479" s="552"/>
      <c r="I479" s="604"/>
      <c r="J479" s="635"/>
      <c r="K479" s="537"/>
      <c r="L479" s="445"/>
      <c r="M479" s="542"/>
      <c r="N479" s="445"/>
      <c r="O479" s="542"/>
      <c r="P479" s="445"/>
      <c r="Q479" s="542"/>
      <c r="R479" s="445"/>
      <c r="S479" s="542"/>
      <c r="T479" s="445"/>
      <c r="U479" s="552"/>
      <c r="V479" s="581"/>
      <c r="W479" s="582"/>
      <c r="X479" s="581"/>
      <c r="Y479" s="582"/>
      <c r="Z479" s="581"/>
      <c r="AA479" s="582"/>
      <c r="AB479" s="581"/>
      <c r="AC479" s="582"/>
      <c r="AD479" s="912"/>
      <c r="AE479" s="769">
        <f t="shared" si="365"/>
        <v>0</v>
      </c>
    </row>
    <row r="480" spans="1:31" s="666" customFormat="1" ht="6.75" customHeight="1" thickBot="1" x14ac:dyDescent="0.25">
      <c r="A480" s="919"/>
      <c r="B480" s="920"/>
      <c r="C480" s="919"/>
      <c r="D480" s="655"/>
      <c r="E480" s="656"/>
      <c r="F480" s="656"/>
      <c r="G480" s="656"/>
      <c r="H480" s="657"/>
      <c r="I480" s="658"/>
      <c r="J480" s="658"/>
      <c r="K480" s="659"/>
      <c r="L480" s="658"/>
      <c r="M480" s="174"/>
      <c r="N480" s="658"/>
      <c r="O480" s="174"/>
      <c r="P480" s="658"/>
      <c r="Q480" s="174"/>
      <c r="R480" s="658"/>
      <c r="S480" s="174"/>
      <c r="T480" s="658"/>
      <c r="U480" s="657"/>
      <c r="V480" s="667"/>
      <c r="W480" s="667"/>
      <c r="X480" s="667"/>
      <c r="Y480" s="667"/>
      <c r="Z480" s="667"/>
      <c r="AA480" s="667"/>
      <c r="AB480" s="667"/>
      <c r="AC480" s="667"/>
      <c r="AD480" s="921"/>
      <c r="AE480" s="769"/>
    </row>
    <row r="481" spans="1:31" ht="30" customHeight="1" thickTop="1" thickBot="1" x14ac:dyDescent="0.25">
      <c r="A481" s="564" t="s">
        <v>1403</v>
      </c>
      <c r="B481" s="1068" t="s">
        <v>1404</v>
      </c>
      <c r="C481" s="1069"/>
      <c r="D481" s="1069"/>
      <c r="E481" s="1069"/>
      <c r="F481" s="1070"/>
      <c r="G481" s="180" t="e">
        <f>+ROUND(F482+F490+F495+F499+F502+F506+F509+F511+F513+F515+F517+F524+F527+F529+F531+F537,10)</f>
        <v>#REF!</v>
      </c>
      <c r="H481" s="568"/>
      <c r="I481" s="616"/>
      <c r="J481" s="439" t="e">
        <f>+ROUND(J482+J490+J495+J499+J502+J506+J509+J511+J513+J515+J517+J524+J527+J529+J531+J537,10)</f>
        <v>#REF!</v>
      </c>
      <c r="K481" s="617"/>
      <c r="L481" s="180" t="e">
        <f>+ROUND(L482+L490+L495+L499+L502+L506+L509+L511+L513+L515+L517+L524+L527+L529+L531+L537,10)</f>
        <v>#REF!</v>
      </c>
      <c r="M481" s="180"/>
      <c r="N481" s="180" t="e">
        <f>+ROUND(N482+N490+N495+N499+N502+N506+N509+N511+N513+N515+N517+N524+N527+N529+N531+N537,10)</f>
        <v>#REF!</v>
      </c>
      <c r="O481" s="180"/>
      <c r="P481" s="180" t="e">
        <f>+ROUND(P482+P490+P495+P499+P502+P506+P509+P511+P513+P515+P517+P524+P527+P529+P531+P537,10)</f>
        <v>#REF!</v>
      </c>
      <c r="Q481" s="180"/>
      <c r="R481" s="180" t="e">
        <f>+ROUND(R482+R490+R495+R499+R502+R506+R509+R511+R513+R515+R517+R524+R527+R529+R531+R537,10)</f>
        <v>#REF!</v>
      </c>
      <c r="S481" s="180"/>
      <c r="T481" s="180" t="e">
        <f>+ROUND(T482+T490+T495+T499+T502+T506+T509+T511+T513+T515+T517+T524+T527+T529+T531+T537,10)</f>
        <v>#REF!</v>
      </c>
      <c r="U481" s="568"/>
      <c r="V481" s="569" t="e">
        <f>W481/$G$481</f>
        <v>#REF!</v>
      </c>
      <c r="W481" s="570" t="e">
        <f>ROUND(W482+W490+W495+W499+W502+W506+W509+W511+W513+W515+W517+W524+W527+W529+W531+W537,10)</f>
        <v>#REF!</v>
      </c>
      <c r="X481" s="569" t="e">
        <f>Y481/$G$481</f>
        <v>#REF!</v>
      </c>
      <c r="Y481" s="570" t="e">
        <f>ROUND(Y482+Y490+Y495+Y499+Y502+Y506+Y509+Y511+Y513+Y515+Y517+Y524+Y527+Y529+Y531+Y537,10)</f>
        <v>#REF!</v>
      </c>
      <c r="Z481" s="569" t="e">
        <f>AA481/$G$481</f>
        <v>#REF!</v>
      </c>
      <c r="AA481" s="570" t="e">
        <f>ROUND(AA482+AA490+AA495+AA499+AA502+AA506+AA509+AA511+AA513+AA515+AA517+AA524+AA527+AA529+AA531+AA537,10)</f>
        <v>#REF!</v>
      </c>
      <c r="AB481" s="569" t="e">
        <f>AC481/$G$481</f>
        <v>#REF!</v>
      </c>
      <c r="AC481" s="570" t="e">
        <f>ROUND(AC482+AC490+AC495+AC499+AC502+AC506+AC509+AC511+AC513+AC515+AC517+AC524+AC527+AC529+AC531+AC537,10)</f>
        <v>#REF!</v>
      </c>
      <c r="AE481" s="769" t="e">
        <f t="shared" si="365"/>
        <v>#REF!</v>
      </c>
    </row>
    <row r="482" spans="1:31" ht="15" customHeight="1" thickTop="1" x14ac:dyDescent="0.2">
      <c r="A482" s="572" t="s">
        <v>1405</v>
      </c>
      <c r="B482" s="573" t="s">
        <v>1406</v>
      </c>
      <c r="C482" s="846"/>
      <c r="D482" s="576"/>
      <c r="E482" s="180"/>
      <c r="F482" s="180" t="e">
        <f>+ROUND(SUM(F483:F488),10)</f>
        <v>#REF!</v>
      </c>
      <c r="G482" s="473"/>
      <c r="H482" s="568"/>
      <c r="I482" s="618"/>
      <c r="J482" s="439" t="e">
        <f>ROUND(SUM(J483:J489),10)</f>
        <v>#REF!</v>
      </c>
      <c r="K482" s="619"/>
      <c r="L482" s="180" t="e">
        <f>ROUND(SUM(L483:L489),10)</f>
        <v>#REF!</v>
      </c>
      <c r="M482" s="473"/>
      <c r="N482" s="180" t="e">
        <f>ROUND(SUM(N483:N489),10)</f>
        <v>#REF!</v>
      </c>
      <c r="O482" s="473"/>
      <c r="P482" s="180" t="e">
        <f>ROUND(SUM(P483:P489),10)</f>
        <v>#REF!</v>
      </c>
      <c r="Q482" s="473"/>
      <c r="R482" s="180" t="e">
        <f>ROUND(SUM(R483:R489),10)</f>
        <v>#REF!</v>
      </c>
      <c r="S482" s="473"/>
      <c r="T482" s="180" t="e">
        <f>ROUND(SUM(T483:T489),10)</f>
        <v>#REF!</v>
      </c>
      <c r="U482" s="568"/>
      <c r="V482" s="575"/>
      <c r="W482" s="570" t="e">
        <f>ROUND(SUM(W483:W488),10)</f>
        <v>#REF!</v>
      </c>
      <c r="X482" s="575"/>
      <c r="Y482" s="570" t="e">
        <f>ROUND(SUM(Y483:Y488),10)</f>
        <v>#REF!</v>
      </c>
      <c r="Z482" s="575"/>
      <c r="AA482" s="570" t="e">
        <f>ROUND(SUM(AA483:AA488),10)</f>
        <v>#REF!</v>
      </c>
      <c r="AB482" s="575"/>
      <c r="AC482" s="570" t="e">
        <f>ROUND(SUM(AC483:AC488),10)</f>
        <v>#REF!</v>
      </c>
      <c r="AE482" s="769" t="e">
        <f t="shared" si="365"/>
        <v>#REF!</v>
      </c>
    </row>
    <row r="483" spans="1:31" ht="15" customHeight="1" x14ac:dyDescent="0.2">
      <c r="A483" s="611" t="s">
        <v>1407</v>
      </c>
      <c r="B483" s="601" t="s">
        <v>1408</v>
      </c>
      <c r="C483" s="611" t="s">
        <v>130</v>
      </c>
      <c r="D483" s="576">
        <f t="shared" ref="D483:D488" si="367">+I483+K483+M483+O483+Q483+S483</f>
        <v>22.4</v>
      </c>
      <c r="E483" s="577" t="e">
        <f t="shared" ref="E483:E542" si="368">V483+X483+Z483+AB483</f>
        <v>#REF!</v>
      </c>
      <c r="F483" s="577" t="e">
        <f t="shared" ref="F483:F488" si="369">ROUND(D483*E483,10)</f>
        <v>#REF!</v>
      </c>
      <c r="G483" s="578"/>
      <c r="I483" s="594"/>
      <c r="J483" s="580" t="e">
        <f t="shared" ref="J483:J488" si="370">+ROUND(E483*I483,10)</f>
        <v>#REF!</v>
      </c>
      <c r="K483" s="538">
        <v>20.16</v>
      </c>
      <c r="L483" s="445" t="e">
        <f t="shared" ref="L483:L488" si="371">+ROUND(E483*K483,10)</f>
        <v>#REF!</v>
      </c>
      <c r="M483" s="542">
        <v>2.2400000000000002</v>
      </c>
      <c r="N483" s="445" t="e">
        <f t="shared" ref="N483:N488" si="372">+ROUND(E483*M483,10)</f>
        <v>#REF!</v>
      </c>
      <c r="O483" s="542"/>
      <c r="P483" s="445" t="e">
        <f t="shared" ref="P483:P488" si="373">+ROUND(E483*O483,10)</f>
        <v>#REF!</v>
      </c>
      <c r="Q483" s="542"/>
      <c r="R483" s="445" t="e">
        <f t="shared" ref="R483:R488" si="374">+ROUND(E483*Q483,10)</f>
        <v>#REF!</v>
      </c>
      <c r="S483" s="542"/>
      <c r="T483" s="445" t="e">
        <f t="shared" ref="T483:T488" si="375">+ROUND(E483*S483,10)</f>
        <v>#REF!</v>
      </c>
      <c r="V483" s="581" t="e">
        <f>+'10,1,1 base mueble concreto'!I19</f>
        <v>#REF!</v>
      </c>
      <c r="W483" s="582" t="e">
        <f t="shared" ref="W483:W488" si="376">ROUND(V483*$D483,10)</f>
        <v>#REF!</v>
      </c>
      <c r="X483" s="581">
        <f>+'10,1,1 base mueble concreto'!I50</f>
        <v>9407.1200000000008</v>
      </c>
      <c r="Y483" s="582">
        <f t="shared" ref="Y483:Y488" si="377">ROUND(X483*$D483,10)</f>
        <v>210719.48800000001</v>
      </c>
      <c r="Z483" s="581">
        <f>+'10,1,1 base mueble concreto'!I30</f>
        <v>185.5</v>
      </c>
      <c r="AA483" s="582">
        <f t="shared" ref="AA483:AA488" si="378">ROUND(Z483*$D483,10)</f>
        <v>4155.2</v>
      </c>
      <c r="AB483" s="581">
        <f>+'10,1,1 base mueble concreto'!I41</f>
        <v>0</v>
      </c>
      <c r="AC483" s="582">
        <f t="shared" ref="AC483:AC488" si="379">ROUND(AB483*$D483,10)</f>
        <v>0</v>
      </c>
      <c r="AE483" s="769" t="e">
        <f t="shared" si="365"/>
        <v>#REF!</v>
      </c>
    </row>
    <row r="484" spans="1:31" ht="15" hidden="1" customHeight="1" x14ac:dyDescent="0.2">
      <c r="A484" s="611" t="s">
        <v>1409</v>
      </c>
      <c r="B484" s="601" t="s">
        <v>1410</v>
      </c>
      <c r="C484" s="611" t="s">
        <v>130</v>
      </c>
      <c r="D484" s="576">
        <f t="shared" si="367"/>
        <v>0</v>
      </c>
      <c r="E484" s="577">
        <f t="shared" si="368"/>
        <v>0</v>
      </c>
      <c r="F484" s="577">
        <f t="shared" si="369"/>
        <v>0</v>
      </c>
      <c r="G484" s="578"/>
      <c r="I484" s="584"/>
      <c r="J484" s="585">
        <f t="shared" si="370"/>
        <v>0</v>
      </c>
      <c r="K484" s="537"/>
      <c r="L484" s="445">
        <f t="shared" si="371"/>
        <v>0</v>
      </c>
      <c r="M484" s="542"/>
      <c r="N484" s="445">
        <f t="shared" si="372"/>
        <v>0</v>
      </c>
      <c r="O484" s="542"/>
      <c r="P484" s="445">
        <f t="shared" si="373"/>
        <v>0</v>
      </c>
      <c r="Q484" s="542"/>
      <c r="R484" s="445">
        <f t="shared" si="374"/>
        <v>0</v>
      </c>
      <c r="S484" s="542"/>
      <c r="T484" s="445">
        <f t="shared" si="375"/>
        <v>0</v>
      </c>
      <c r="V484" s="581"/>
      <c r="W484" s="582">
        <f t="shared" si="376"/>
        <v>0</v>
      </c>
      <c r="X484" s="581"/>
      <c r="Y484" s="582">
        <f t="shared" si="377"/>
        <v>0</v>
      </c>
      <c r="Z484" s="581"/>
      <c r="AA484" s="582">
        <f t="shared" si="378"/>
        <v>0</v>
      </c>
      <c r="AB484" s="581"/>
      <c r="AC484" s="582">
        <f t="shared" si="379"/>
        <v>0</v>
      </c>
      <c r="AE484" s="769">
        <f t="shared" si="365"/>
        <v>0</v>
      </c>
    </row>
    <row r="485" spans="1:31" ht="25.5" hidden="1" customHeight="1" x14ac:dyDescent="0.2">
      <c r="A485" s="611" t="s">
        <v>1411</v>
      </c>
      <c r="B485" s="601" t="s">
        <v>1412</v>
      </c>
      <c r="C485" s="611" t="s">
        <v>130</v>
      </c>
      <c r="D485" s="576">
        <f t="shared" si="367"/>
        <v>0</v>
      </c>
      <c r="E485" s="577" t="e">
        <f t="shared" si="368"/>
        <v>#REF!</v>
      </c>
      <c r="F485" s="577" t="e">
        <f t="shared" si="369"/>
        <v>#REF!</v>
      </c>
      <c r="G485" s="578"/>
      <c r="I485" s="584"/>
      <c r="J485" s="585" t="e">
        <f t="shared" si="370"/>
        <v>#REF!</v>
      </c>
      <c r="K485" s="537"/>
      <c r="L485" s="445" t="e">
        <f t="shared" si="371"/>
        <v>#REF!</v>
      </c>
      <c r="M485" s="542"/>
      <c r="N485" s="445" t="e">
        <f t="shared" si="372"/>
        <v>#REF!</v>
      </c>
      <c r="O485" s="542"/>
      <c r="P485" s="445" t="e">
        <f t="shared" si="373"/>
        <v>#REF!</v>
      </c>
      <c r="Q485" s="542"/>
      <c r="R485" s="445" t="e">
        <f t="shared" si="374"/>
        <v>#REF!</v>
      </c>
      <c r="S485" s="542"/>
      <c r="T485" s="445" t="e">
        <f t="shared" si="375"/>
        <v>#REF!</v>
      </c>
      <c r="V485" s="581" t="e">
        <f>+'10,1,3 Alistado pisos'!I19</f>
        <v>#REF!</v>
      </c>
      <c r="W485" s="582" t="e">
        <f t="shared" si="376"/>
        <v>#REF!</v>
      </c>
      <c r="X485" s="581">
        <f>+'10,1,3 Alistado pisos'!I50</f>
        <v>3873.52</v>
      </c>
      <c r="Y485" s="582">
        <f t="shared" si="377"/>
        <v>0</v>
      </c>
      <c r="Z485" s="581">
        <f>+'10,1,3 Alistado pisos'!I30</f>
        <v>185.5</v>
      </c>
      <c r="AA485" s="582">
        <f t="shared" si="378"/>
        <v>0</v>
      </c>
      <c r="AB485" s="581"/>
      <c r="AC485" s="582">
        <f t="shared" si="379"/>
        <v>0</v>
      </c>
      <c r="AE485" s="769" t="e">
        <f t="shared" si="365"/>
        <v>#REF!</v>
      </c>
    </row>
    <row r="486" spans="1:31" ht="15" hidden="1" customHeight="1" x14ac:dyDescent="0.2">
      <c r="A486" s="611" t="s">
        <v>1413</v>
      </c>
      <c r="B486" s="601" t="s">
        <v>1414</v>
      </c>
      <c r="C486" s="611" t="s">
        <v>130</v>
      </c>
      <c r="D486" s="576">
        <f t="shared" si="367"/>
        <v>0</v>
      </c>
      <c r="E486" s="577" t="e">
        <f t="shared" si="368"/>
        <v>#REF!</v>
      </c>
      <c r="F486" s="577" t="e">
        <f t="shared" si="369"/>
        <v>#REF!</v>
      </c>
      <c r="G486" s="578"/>
      <c r="I486" s="584"/>
      <c r="J486" s="585" t="e">
        <f t="shared" si="370"/>
        <v>#REF!</v>
      </c>
      <c r="K486" s="537"/>
      <c r="L486" s="445" t="e">
        <f t="shared" si="371"/>
        <v>#REF!</v>
      </c>
      <c r="M486" s="542"/>
      <c r="N486" s="445" t="e">
        <f t="shared" si="372"/>
        <v>#REF!</v>
      </c>
      <c r="O486" s="542"/>
      <c r="P486" s="445" t="e">
        <f t="shared" si="373"/>
        <v>#REF!</v>
      </c>
      <c r="Q486" s="542"/>
      <c r="R486" s="445" t="e">
        <f t="shared" si="374"/>
        <v>#REF!</v>
      </c>
      <c r="S486" s="542"/>
      <c r="T486" s="445" t="e">
        <f t="shared" si="375"/>
        <v>#REF!</v>
      </c>
      <c r="V486" s="581" t="e">
        <f>+'10,1,4 Mortero afinado'!I19</f>
        <v>#REF!</v>
      </c>
      <c r="W486" s="582" t="e">
        <f t="shared" si="376"/>
        <v>#REF!</v>
      </c>
      <c r="X486" s="581">
        <f>+'10,1,4 Mortero afinado'!I50</f>
        <v>3873.52</v>
      </c>
      <c r="Y486" s="582">
        <f t="shared" si="377"/>
        <v>0</v>
      </c>
      <c r="Z486" s="581">
        <f>+'10,1,4 Mortero afinado'!I30</f>
        <v>185.5</v>
      </c>
      <c r="AA486" s="582">
        <f t="shared" si="378"/>
        <v>0</v>
      </c>
      <c r="AB486" s="581"/>
      <c r="AC486" s="582">
        <f t="shared" si="379"/>
        <v>0</v>
      </c>
      <c r="AE486" s="769" t="e">
        <f t="shared" si="365"/>
        <v>#REF!</v>
      </c>
    </row>
    <row r="487" spans="1:31" ht="15" hidden="1" customHeight="1" x14ac:dyDescent="0.2">
      <c r="A487" s="611" t="s">
        <v>1415</v>
      </c>
      <c r="B487" s="601" t="s">
        <v>1416</v>
      </c>
      <c r="C487" s="611" t="s">
        <v>130</v>
      </c>
      <c r="D487" s="576">
        <f t="shared" si="367"/>
        <v>0</v>
      </c>
      <c r="E487" s="577">
        <f t="shared" si="368"/>
        <v>0</v>
      </c>
      <c r="F487" s="577">
        <f t="shared" si="369"/>
        <v>0</v>
      </c>
      <c r="G487" s="578"/>
      <c r="I487" s="584"/>
      <c r="J487" s="585">
        <f t="shared" si="370"/>
        <v>0</v>
      </c>
      <c r="K487" s="537"/>
      <c r="L487" s="445">
        <f t="shared" si="371"/>
        <v>0</v>
      </c>
      <c r="M487" s="542"/>
      <c r="N487" s="445">
        <f t="shared" si="372"/>
        <v>0</v>
      </c>
      <c r="O487" s="542"/>
      <c r="P487" s="445">
        <f t="shared" si="373"/>
        <v>0</v>
      </c>
      <c r="Q487" s="542"/>
      <c r="R487" s="445">
        <f t="shared" si="374"/>
        <v>0</v>
      </c>
      <c r="S487" s="542"/>
      <c r="T487" s="445">
        <f t="shared" si="375"/>
        <v>0</v>
      </c>
      <c r="V487" s="581"/>
      <c r="W487" s="582">
        <f t="shared" si="376"/>
        <v>0</v>
      </c>
      <c r="X487" s="581"/>
      <c r="Y487" s="582">
        <f t="shared" si="377"/>
        <v>0</v>
      </c>
      <c r="Z487" s="581"/>
      <c r="AA487" s="582">
        <f t="shared" si="378"/>
        <v>0</v>
      </c>
      <c r="AB487" s="581"/>
      <c r="AC487" s="582">
        <f t="shared" si="379"/>
        <v>0</v>
      </c>
      <c r="AE487" s="769">
        <f t="shared" si="365"/>
        <v>0</v>
      </c>
    </row>
    <row r="488" spans="1:31" ht="25.5" x14ac:dyDescent="0.2">
      <c r="A488" s="611" t="s">
        <v>1417</v>
      </c>
      <c r="B488" s="601" t="s">
        <v>1418</v>
      </c>
      <c r="C488" s="611" t="s">
        <v>130</v>
      </c>
      <c r="D488" s="576">
        <f t="shared" si="367"/>
        <v>187.63</v>
      </c>
      <c r="E488" s="577" t="e">
        <f t="shared" si="368"/>
        <v>#REF!</v>
      </c>
      <c r="F488" s="577" t="e">
        <f t="shared" si="369"/>
        <v>#REF!</v>
      </c>
      <c r="G488" s="578"/>
      <c r="I488" s="597"/>
      <c r="J488" s="598" t="e">
        <f t="shared" si="370"/>
        <v>#REF!</v>
      </c>
      <c r="K488" s="537">
        <v>10</v>
      </c>
      <c r="L488" s="445" t="e">
        <f t="shared" si="371"/>
        <v>#REF!</v>
      </c>
      <c r="M488" s="542"/>
      <c r="N488" s="445" t="e">
        <f t="shared" si="372"/>
        <v>#REF!</v>
      </c>
      <c r="O488" s="542"/>
      <c r="P488" s="445" t="e">
        <f t="shared" si="373"/>
        <v>#REF!</v>
      </c>
      <c r="Q488" s="542"/>
      <c r="R488" s="445" t="e">
        <f t="shared" si="374"/>
        <v>#REF!</v>
      </c>
      <c r="S488" s="542">
        <v>177.63</v>
      </c>
      <c r="T488" s="445" t="e">
        <f t="shared" si="375"/>
        <v>#REF!</v>
      </c>
      <c r="V488" s="581" t="e">
        <f>+#REF!</f>
        <v>#REF!</v>
      </c>
      <c r="W488" s="582" t="e">
        <f t="shared" si="376"/>
        <v>#REF!</v>
      </c>
      <c r="X488" s="581" t="e">
        <f>+#REF!</f>
        <v>#REF!</v>
      </c>
      <c r="Y488" s="582" t="e">
        <f t="shared" si="377"/>
        <v>#REF!</v>
      </c>
      <c r="Z488" s="581" t="e">
        <f>+#REF!</f>
        <v>#REF!</v>
      </c>
      <c r="AA488" s="582" t="e">
        <f t="shared" si="378"/>
        <v>#REF!</v>
      </c>
      <c r="AB488" s="581" t="e">
        <f>+#REF!</f>
        <v>#REF!</v>
      </c>
      <c r="AC488" s="582" t="e">
        <f t="shared" si="379"/>
        <v>#REF!</v>
      </c>
      <c r="AE488" s="769" t="e">
        <f t="shared" si="365"/>
        <v>#REF!</v>
      </c>
    </row>
    <row r="489" spans="1:31" ht="15" customHeight="1" x14ac:dyDescent="0.2">
      <c r="A489" s="572" t="s">
        <v>1419</v>
      </c>
      <c r="B489" s="573" t="s">
        <v>1420</v>
      </c>
      <c r="C489" s="846"/>
      <c r="D489" s="576"/>
      <c r="E489" s="577"/>
      <c r="F489" s="180"/>
      <c r="G489" s="473"/>
      <c r="H489" s="568"/>
      <c r="I489" s="613"/>
      <c r="J489" s="652"/>
      <c r="K489" s="537"/>
      <c r="L489" s="445"/>
      <c r="M489" s="542"/>
      <c r="N489" s="445"/>
      <c r="O489" s="542"/>
      <c r="P489" s="445"/>
      <c r="Q489" s="542"/>
      <c r="R489" s="445"/>
      <c r="S489" s="542"/>
      <c r="T489" s="445"/>
      <c r="U489" s="568"/>
      <c r="V489" s="575"/>
      <c r="W489" s="570"/>
      <c r="X489" s="575"/>
      <c r="Y489" s="570"/>
      <c r="Z489" s="575"/>
      <c r="AA489" s="570"/>
      <c r="AB489" s="575"/>
      <c r="AC489" s="570"/>
      <c r="AE489" s="769">
        <f t="shared" si="365"/>
        <v>0</v>
      </c>
    </row>
    <row r="490" spans="1:31" s="595" customFormat="1" ht="18" hidden="1" customHeight="1" x14ac:dyDescent="0.2">
      <c r="A490" s="572" t="s">
        <v>1421</v>
      </c>
      <c r="B490" s="573" t="s">
        <v>1422</v>
      </c>
      <c r="C490" s="846"/>
      <c r="D490" s="576"/>
      <c r="E490" s="577"/>
      <c r="F490" s="180" t="e">
        <f>+ROUND(SUM(F491:F494),10)</f>
        <v>#REF!</v>
      </c>
      <c r="G490" s="473"/>
      <c r="H490" s="568"/>
      <c r="I490" s="633"/>
      <c r="J490" s="441" t="e">
        <f>ROUND(SUM(J491:J494),10)</f>
        <v>#REF!</v>
      </c>
      <c r="K490" s="537"/>
      <c r="L490" s="180" t="e">
        <f>ROUND(SUM(L491:L494),10)</f>
        <v>#REF!</v>
      </c>
      <c r="M490" s="542"/>
      <c r="N490" s="180" t="e">
        <f>ROUND(SUM(N491:N494),10)</f>
        <v>#REF!</v>
      </c>
      <c r="O490" s="542"/>
      <c r="P490" s="180" t="e">
        <f>ROUND(SUM(P491:P494),10)</f>
        <v>#REF!</v>
      </c>
      <c r="Q490" s="542"/>
      <c r="R490" s="180" t="e">
        <f>ROUND(SUM(R491:R494),10)</f>
        <v>#REF!</v>
      </c>
      <c r="S490" s="542"/>
      <c r="T490" s="180" t="e">
        <f>ROUND(SUM(T491:T494),10)</f>
        <v>#REF!</v>
      </c>
      <c r="U490" s="568"/>
      <c r="V490" s="575"/>
      <c r="W490" s="570" t="e">
        <f>ROUND(SUM(W491:W494),10)</f>
        <v>#REF!</v>
      </c>
      <c r="X490" s="575"/>
      <c r="Y490" s="570">
        <f>ROUND(SUM(Y491:Y494),10)</f>
        <v>0</v>
      </c>
      <c r="Z490" s="575"/>
      <c r="AA490" s="570">
        <f>ROUND(SUM(AA491:AA494),10)</f>
        <v>0</v>
      </c>
      <c r="AB490" s="575"/>
      <c r="AC490" s="570">
        <f>ROUND(SUM(AC491:AC494),10)</f>
        <v>0</v>
      </c>
      <c r="AD490" s="912"/>
      <c r="AE490" s="769" t="e">
        <f t="shared" si="365"/>
        <v>#REF!</v>
      </c>
    </row>
    <row r="491" spans="1:31" s="595" customFormat="1" ht="15" hidden="1" customHeight="1" x14ac:dyDescent="0.2">
      <c r="A491" s="611" t="s">
        <v>1423</v>
      </c>
      <c r="B491" s="601" t="s">
        <v>1424</v>
      </c>
      <c r="C491" s="611" t="s">
        <v>130</v>
      </c>
      <c r="D491" s="576">
        <f>+I491+K491+M491+O491+Q491+S491</f>
        <v>0</v>
      </c>
      <c r="E491" s="577">
        <f t="shared" si="368"/>
        <v>0</v>
      </c>
      <c r="F491" s="577">
        <f>ROUND(D491*E491,10)</f>
        <v>0</v>
      </c>
      <c r="G491" s="578"/>
      <c r="H491" s="552"/>
      <c r="I491" s="594"/>
      <c r="J491" s="580">
        <f>+ROUND(E491*I491,10)</f>
        <v>0</v>
      </c>
      <c r="K491" s="537"/>
      <c r="L491" s="445">
        <f>+ROUND(E491*K491,10)</f>
        <v>0</v>
      </c>
      <c r="M491" s="542"/>
      <c r="N491" s="445">
        <f>+ROUND(E491*M491,10)</f>
        <v>0</v>
      </c>
      <c r="O491" s="542"/>
      <c r="P491" s="445">
        <f>+ROUND(E491*O491,10)</f>
        <v>0</v>
      </c>
      <c r="Q491" s="542"/>
      <c r="R491" s="445">
        <f>+ROUND(E491*Q491,10)</f>
        <v>0</v>
      </c>
      <c r="S491" s="542"/>
      <c r="T491" s="445">
        <f>+ROUND(E491*S491,10)</f>
        <v>0</v>
      </c>
      <c r="U491" s="552"/>
      <c r="V491" s="581"/>
      <c r="W491" s="582">
        <f>ROUND(V491*$D491,10)</f>
        <v>0</v>
      </c>
      <c r="X491" s="581"/>
      <c r="Y491" s="582">
        <f>ROUND(X491*$D491,10)</f>
        <v>0</v>
      </c>
      <c r="Z491" s="581"/>
      <c r="AA491" s="582">
        <f>ROUND(Z491*$D491,10)</f>
        <v>0</v>
      </c>
      <c r="AB491" s="581"/>
      <c r="AC491" s="582">
        <f>ROUND(AB491*$D491,10)</f>
        <v>0</v>
      </c>
      <c r="AD491" s="912"/>
      <c r="AE491" s="769">
        <f t="shared" si="365"/>
        <v>0</v>
      </c>
    </row>
    <row r="492" spans="1:31" s="595" customFormat="1" ht="15" hidden="1" customHeight="1" x14ac:dyDescent="0.2">
      <c r="A492" s="611" t="s">
        <v>1425</v>
      </c>
      <c r="B492" s="601" t="s">
        <v>1426</v>
      </c>
      <c r="C492" s="611" t="s">
        <v>130</v>
      </c>
      <c r="D492" s="576">
        <f>+I492+K492+M492+O492+Q492+S492</f>
        <v>0</v>
      </c>
      <c r="E492" s="577">
        <f t="shared" si="368"/>
        <v>0</v>
      </c>
      <c r="F492" s="577">
        <f>ROUND(D492*E492,10)</f>
        <v>0</v>
      </c>
      <c r="G492" s="578"/>
      <c r="H492" s="552"/>
      <c r="I492" s="584"/>
      <c r="J492" s="585">
        <f>+ROUND(E492*I492,10)</f>
        <v>0</v>
      </c>
      <c r="K492" s="537"/>
      <c r="L492" s="445">
        <f>+ROUND(E492*K492,10)</f>
        <v>0</v>
      </c>
      <c r="M492" s="542"/>
      <c r="N492" s="445">
        <f>+ROUND(E492*M492,10)</f>
        <v>0</v>
      </c>
      <c r="O492" s="542"/>
      <c r="P492" s="445">
        <f>+ROUND(E492*O492,10)</f>
        <v>0</v>
      </c>
      <c r="Q492" s="542"/>
      <c r="R492" s="445">
        <f>+ROUND(E492*Q492,10)</f>
        <v>0</v>
      </c>
      <c r="S492" s="542"/>
      <c r="T492" s="445">
        <f>+ROUND(E492*S492,10)</f>
        <v>0</v>
      </c>
      <c r="U492" s="552"/>
      <c r="V492" s="581"/>
      <c r="W492" s="582">
        <f>ROUND(V492*$D492,10)</f>
        <v>0</v>
      </c>
      <c r="X492" s="581"/>
      <c r="Y492" s="582">
        <f>ROUND(X492*$D492,10)</f>
        <v>0</v>
      </c>
      <c r="Z492" s="581"/>
      <c r="AA492" s="582">
        <f>ROUND(Z492*$D492,10)</f>
        <v>0</v>
      </c>
      <c r="AB492" s="581"/>
      <c r="AC492" s="582">
        <f>ROUND(AB492*$D492,10)</f>
        <v>0</v>
      </c>
      <c r="AD492" s="912"/>
      <c r="AE492" s="769">
        <f t="shared" si="365"/>
        <v>0</v>
      </c>
    </row>
    <row r="493" spans="1:31" s="595" customFormat="1" ht="15" hidden="1" customHeight="1" x14ac:dyDescent="0.2">
      <c r="A493" s="611" t="s">
        <v>1427</v>
      </c>
      <c r="B493" s="601" t="s">
        <v>1428</v>
      </c>
      <c r="C493" s="611" t="s">
        <v>130</v>
      </c>
      <c r="D493" s="576">
        <f>+I493+K493+M493+O493+Q493+S493</f>
        <v>0</v>
      </c>
      <c r="E493" s="577" t="e">
        <f t="shared" si="368"/>
        <v>#REF!</v>
      </c>
      <c r="F493" s="577" t="e">
        <f>ROUND(D493*E493,10)</f>
        <v>#REF!</v>
      </c>
      <c r="G493" s="578"/>
      <c r="H493" s="552"/>
      <c r="I493" s="584"/>
      <c r="J493" s="585" t="e">
        <f>+ROUND(E493*I493,10)</f>
        <v>#REF!</v>
      </c>
      <c r="K493" s="537"/>
      <c r="L493" s="445" t="e">
        <f>+ROUND(E493*K493,10)</f>
        <v>#REF!</v>
      </c>
      <c r="M493" s="542"/>
      <c r="N493" s="445" t="e">
        <f>+ROUND(E493*M493,10)</f>
        <v>#REF!</v>
      </c>
      <c r="O493" s="542"/>
      <c r="P493" s="445" t="e">
        <f>+ROUND(E493*O493,10)</f>
        <v>#REF!</v>
      </c>
      <c r="Q493" s="542"/>
      <c r="R493" s="445" t="e">
        <f>+ROUND(E493*Q493,10)</f>
        <v>#REF!</v>
      </c>
      <c r="S493" s="542"/>
      <c r="T493" s="445" t="e">
        <f>+ROUND(E493*S493,10)</f>
        <v>#REF!</v>
      </c>
      <c r="U493" s="552"/>
      <c r="V493" s="581" t="e">
        <f>+'10,2,1,3 Ceramica 0,20 x 0,20 '!I19</f>
        <v>#REF!</v>
      </c>
      <c r="W493" s="582" t="e">
        <f>ROUND(V493*$D493,10)</f>
        <v>#REF!</v>
      </c>
      <c r="X493" s="581">
        <f>+'10,2,1,3 Ceramica 0,20 x 0,20 '!I50</f>
        <v>19033.62</v>
      </c>
      <c r="Y493" s="582">
        <f>ROUND(X493*$D493,10)</f>
        <v>0</v>
      </c>
      <c r="Z493" s="581">
        <f>+'10,2,1,3 Ceramica 0,20 x 0,20 '!I30</f>
        <v>742</v>
      </c>
      <c r="AA493" s="582">
        <f>ROUND(Z493*$D493,10)</f>
        <v>0</v>
      </c>
      <c r="AB493" s="581">
        <f>+'10,2,1,3 Ceramica 0,20 x 0,20 '!I41</f>
        <v>0</v>
      </c>
      <c r="AC493" s="582">
        <f>ROUND(AB493*$D493,10)</f>
        <v>0</v>
      </c>
      <c r="AD493" s="912"/>
      <c r="AE493" s="769" t="e">
        <f t="shared" si="365"/>
        <v>#REF!</v>
      </c>
    </row>
    <row r="494" spans="1:31" s="595" customFormat="1" ht="15" hidden="1" customHeight="1" x14ac:dyDescent="0.2">
      <c r="A494" s="611" t="s">
        <v>1429</v>
      </c>
      <c r="B494" s="601" t="s">
        <v>1430</v>
      </c>
      <c r="C494" s="611" t="s">
        <v>130</v>
      </c>
      <c r="D494" s="576">
        <f>+I494+K494+M494+O494+Q494+S494</f>
        <v>0</v>
      </c>
      <c r="E494" s="577">
        <f t="shared" si="368"/>
        <v>0</v>
      </c>
      <c r="F494" s="577">
        <f>ROUND(D494*E494,10)</f>
        <v>0</v>
      </c>
      <c r="G494" s="578"/>
      <c r="H494" s="552"/>
      <c r="I494" s="597"/>
      <c r="J494" s="598">
        <f>+ROUND(E494*I494,10)</f>
        <v>0</v>
      </c>
      <c r="K494" s="537"/>
      <c r="L494" s="445">
        <f>+ROUND(E494*K494,10)</f>
        <v>0</v>
      </c>
      <c r="M494" s="542"/>
      <c r="N494" s="445">
        <f>+ROUND(E494*M494,10)</f>
        <v>0</v>
      </c>
      <c r="O494" s="542"/>
      <c r="P494" s="445">
        <f>+ROUND(E494*O494,10)</f>
        <v>0</v>
      </c>
      <c r="Q494" s="542"/>
      <c r="R494" s="445">
        <f>+ROUND(E494*Q494,10)</f>
        <v>0</v>
      </c>
      <c r="S494" s="542"/>
      <c r="T494" s="445">
        <f>+ROUND(E494*S494,10)</f>
        <v>0</v>
      </c>
      <c r="U494" s="552"/>
      <c r="V494" s="581"/>
      <c r="W494" s="582">
        <f>ROUND(V494*$D494,10)</f>
        <v>0</v>
      </c>
      <c r="X494" s="581"/>
      <c r="Y494" s="582">
        <f>ROUND(X494*$D494,10)</f>
        <v>0</v>
      </c>
      <c r="Z494" s="581"/>
      <c r="AA494" s="582">
        <f>ROUND(Z494*$D494,10)</f>
        <v>0</v>
      </c>
      <c r="AB494" s="581"/>
      <c r="AC494" s="582">
        <f>ROUND(AB494*$D494,10)</f>
        <v>0</v>
      </c>
      <c r="AD494" s="912"/>
      <c r="AE494" s="769">
        <f t="shared" si="365"/>
        <v>0</v>
      </c>
    </row>
    <row r="495" spans="1:31" ht="15.75" hidden="1" customHeight="1" x14ac:dyDescent="0.2">
      <c r="A495" s="572" t="s">
        <v>1431</v>
      </c>
      <c r="B495" s="573" t="s">
        <v>1432</v>
      </c>
      <c r="C495" s="846"/>
      <c r="D495" s="576"/>
      <c r="E495" s="577"/>
      <c r="F495" s="626" t="e">
        <f>+ROUND(SUM(F496:F498),10)</f>
        <v>#REF!</v>
      </c>
      <c r="G495" s="473"/>
      <c r="H495" s="568"/>
      <c r="I495" s="613"/>
      <c r="J495" s="440" t="e">
        <f>ROUND(SUM(J496:J498),10)</f>
        <v>#REF!</v>
      </c>
      <c r="K495" s="537"/>
      <c r="L495" s="180" t="e">
        <f>ROUND(SUM(L496:L498),10)</f>
        <v>#REF!</v>
      </c>
      <c r="M495" s="542"/>
      <c r="N495" s="180" t="e">
        <f>ROUND(SUM(N496:N498),10)</f>
        <v>#REF!</v>
      </c>
      <c r="O495" s="542"/>
      <c r="P495" s="180" t="e">
        <f>ROUND(SUM(P496:P498),10)</f>
        <v>#REF!</v>
      </c>
      <c r="Q495" s="542"/>
      <c r="R495" s="180" t="e">
        <f>ROUND(SUM(R496:R498),10)</f>
        <v>#REF!</v>
      </c>
      <c r="S495" s="542"/>
      <c r="T495" s="180" t="e">
        <f>ROUND(SUM(T496:T498),10)</f>
        <v>#REF!</v>
      </c>
      <c r="U495" s="568"/>
      <c r="V495" s="575"/>
      <c r="W495" s="570" t="e">
        <f>ROUND(SUM(W496:W498),10)</f>
        <v>#REF!</v>
      </c>
      <c r="X495" s="575"/>
      <c r="Y495" s="570">
        <f>ROUND(SUM(Y496:Y498),10)</f>
        <v>0</v>
      </c>
      <c r="Z495" s="575"/>
      <c r="AA495" s="570">
        <f>ROUND(SUM(AA496:AA498),10)</f>
        <v>0</v>
      </c>
      <c r="AB495" s="575"/>
      <c r="AC495" s="570">
        <f>ROUND(SUM(AC496:AC498),10)</f>
        <v>0</v>
      </c>
      <c r="AE495" s="769" t="e">
        <f t="shared" si="365"/>
        <v>#REF!</v>
      </c>
    </row>
    <row r="496" spans="1:31" ht="15" hidden="1" customHeight="1" x14ac:dyDescent="0.2">
      <c r="A496" s="611" t="s">
        <v>1433</v>
      </c>
      <c r="B496" s="601" t="s">
        <v>1434</v>
      </c>
      <c r="C496" s="611" t="s">
        <v>130</v>
      </c>
      <c r="D496" s="576">
        <f>+I496+K496+M496+O496+Q496+S496</f>
        <v>0</v>
      </c>
      <c r="E496" s="577">
        <f t="shared" si="368"/>
        <v>0</v>
      </c>
      <c r="F496" s="577">
        <f>ROUND(D496*E496,10)</f>
        <v>0</v>
      </c>
      <c r="G496" s="578"/>
      <c r="I496" s="594"/>
      <c r="J496" s="580">
        <f>+ROUND(E496*I496,10)</f>
        <v>0</v>
      </c>
      <c r="K496" s="537"/>
      <c r="L496" s="445">
        <f>+ROUND(E496*K496,10)</f>
        <v>0</v>
      </c>
      <c r="M496" s="542"/>
      <c r="N496" s="445">
        <f>+ROUND(E496*M496,10)</f>
        <v>0</v>
      </c>
      <c r="O496" s="542"/>
      <c r="P496" s="445">
        <f>+ROUND(E496*O496,10)</f>
        <v>0</v>
      </c>
      <c r="Q496" s="542"/>
      <c r="R496" s="445">
        <f>+ROUND(E496*Q496,10)</f>
        <v>0</v>
      </c>
      <c r="S496" s="542"/>
      <c r="T496" s="445">
        <f>+ROUND(E496*S496,10)</f>
        <v>0</v>
      </c>
      <c r="V496" s="581"/>
      <c r="W496" s="582">
        <f>ROUND(V496*$D496,10)</f>
        <v>0</v>
      </c>
      <c r="X496" s="581"/>
      <c r="Y496" s="582">
        <f>ROUND(X496*$D496,10)</f>
        <v>0</v>
      </c>
      <c r="Z496" s="581"/>
      <c r="AA496" s="582">
        <f>ROUND(Z496*$D496,10)</f>
        <v>0</v>
      </c>
      <c r="AB496" s="581"/>
      <c r="AC496" s="582">
        <f>ROUND(AB496*$D496,10)</f>
        <v>0</v>
      </c>
      <c r="AE496" s="769">
        <f t="shared" si="365"/>
        <v>0</v>
      </c>
    </row>
    <row r="497" spans="1:31" ht="15" hidden="1" customHeight="1" x14ac:dyDescent="0.2">
      <c r="A497" s="611" t="s">
        <v>1435</v>
      </c>
      <c r="B497" s="601" t="s">
        <v>1436</v>
      </c>
      <c r="C497" s="611" t="s">
        <v>130</v>
      </c>
      <c r="D497" s="576">
        <f>+I497+K497+M497+O497+Q497+S497</f>
        <v>0</v>
      </c>
      <c r="E497" s="577">
        <f t="shared" si="368"/>
        <v>0</v>
      </c>
      <c r="F497" s="577">
        <f>ROUND(D497*E497,10)</f>
        <v>0</v>
      </c>
      <c r="G497" s="578"/>
      <c r="I497" s="584"/>
      <c r="J497" s="585">
        <f>+ROUND(E497*I497,10)</f>
        <v>0</v>
      </c>
      <c r="K497" s="537"/>
      <c r="L497" s="445">
        <f>+ROUND(E497*K497,10)</f>
        <v>0</v>
      </c>
      <c r="M497" s="542"/>
      <c r="N497" s="445">
        <f>+ROUND(E497*M497,10)</f>
        <v>0</v>
      </c>
      <c r="O497" s="542"/>
      <c r="P497" s="445">
        <f>+ROUND(E497*O497,10)</f>
        <v>0</v>
      </c>
      <c r="Q497" s="542"/>
      <c r="R497" s="445">
        <f>+ROUND(E497*Q497,10)</f>
        <v>0</v>
      </c>
      <c r="S497" s="542"/>
      <c r="T497" s="445">
        <f>+ROUND(E497*S497,10)</f>
        <v>0</v>
      </c>
      <c r="V497" s="581"/>
      <c r="W497" s="582">
        <f>ROUND(V497*$D497,10)</f>
        <v>0</v>
      </c>
      <c r="X497" s="581"/>
      <c r="Y497" s="582">
        <f>ROUND(X497*$D497,10)</f>
        <v>0</v>
      </c>
      <c r="Z497" s="581"/>
      <c r="AA497" s="582">
        <f>ROUND(Z497*$D497,10)</f>
        <v>0</v>
      </c>
      <c r="AB497" s="581"/>
      <c r="AC497" s="582">
        <f>ROUND(AB497*$D497,10)</f>
        <v>0</v>
      </c>
      <c r="AE497" s="769">
        <f t="shared" si="365"/>
        <v>0</v>
      </c>
    </row>
    <row r="498" spans="1:31" ht="15" hidden="1" customHeight="1" x14ac:dyDescent="0.2">
      <c r="A498" s="611" t="s">
        <v>1437</v>
      </c>
      <c r="B498" s="601" t="s">
        <v>1438</v>
      </c>
      <c r="C498" s="611" t="s">
        <v>130</v>
      </c>
      <c r="D498" s="576">
        <f>+I498+K498+M498+O498+Q498+S498</f>
        <v>0</v>
      </c>
      <c r="E498" s="577" t="e">
        <f t="shared" si="368"/>
        <v>#REF!</v>
      </c>
      <c r="F498" s="577" t="e">
        <f>ROUND(D498*E498,10)</f>
        <v>#REF!</v>
      </c>
      <c r="G498" s="578"/>
      <c r="I498" s="597"/>
      <c r="J498" s="598" t="e">
        <f>+ROUND(E498*I498,10)</f>
        <v>#REF!</v>
      </c>
      <c r="K498" s="537"/>
      <c r="L498" s="445" t="e">
        <f>+ROUND(E498*K498,10)</f>
        <v>#REF!</v>
      </c>
      <c r="M498" s="542"/>
      <c r="N498" s="445" t="e">
        <f>+ROUND(E498*M498,10)</f>
        <v>#REF!</v>
      </c>
      <c r="O498" s="542"/>
      <c r="P498" s="445" t="e">
        <f>+ROUND(E498*O498,10)</f>
        <v>#REF!</v>
      </c>
      <c r="Q498" s="542"/>
      <c r="R498" s="445" t="e">
        <f>+ROUND(E498*Q498,10)</f>
        <v>#REF!</v>
      </c>
      <c r="S498" s="542"/>
      <c r="T498" s="445" t="e">
        <f>+ROUND(E498*S498,10)</f>
        <v>#REF!</v>
      </c>
      <c r="V498" s="581" t="e">
        <f>'10,2,2,3 Piso tablòn ges 0,30 '!I19</f>
        <v>#REF!</v>
      </c>
      <c r="W498" s="582" t="e">
        <f>ROUND(V498*$D498,10)</f>
        <v>#REF!</v>
      </c>
      <c r="X498" s="581">
        <f>'10,2,2,3 Piso tablòn ges 0,30 '!I50</f>
        <v>14659.15</v>
      </c>
      <c r="Y498" s="582">
        <f>ROUND(X498*$D498,10)</f>
        <v>0</v>
      </c>
      <c r="Z498" s="581">
        <f>'10,2,2,3 Piso tablòn ges 0,30 '!I30</f>
        <v>351.86</v>
      </c>
      <c r="AA498" s="582">
        <f>ROUND(Z498*$D498,10)</f>
        <v>0</v>
      </c>
      <c r="AB498" s="581">
        <f>'10,2,2,3 Piso tablòn ges 0,30 '!I41</f>
        <v>0</v>
      </c>
      <c r="AC498" s="582">
        <f>ROUND(AB498*$D498,10)</f>
        <v>0</v>
      </c>
      <c r="AE498" s="769" t="e">
        <f t="shared" si="365"/>
        <v>#REF!</v>
      </c>
    </row>
    <row r="499" spans="1:31" ht="15" hidden="1" customHeight="1" x14ac:dyDescent="0.2">
      <c r="A499" s="572" t="s">
        <v>1439</v>
      </c>
      <c r="B499" s="573" t="s">
        <v>1440</v>
      </c>
      <c r="C499" s="846"/>
      <c r="D499" s="576"/>
      <c r="E499" s="577"/>
      <c r="F499" s="626">
        <f>+ROUND(SUM(F500:F501),10)</f>
        <v>0</v>
      </c>
      <c r="G499" s="473"/>
      <c r="H499" s="568"/>
      <c r="I499" s="613"/>
      <c r="J499" s="440">
        <f>ROUND(SUM(J500:J501),10)</f>
        <v>0</v>
      </c>
      <c r="K499" s="537"/>
      <c r="L499" s="180">
        <f>ROUND(SUM(L500:L501),10)</f>
        <v>0</v>
      </c>
      <c r="M499" s="542"/>
      <c r="N499" s="180">
        <f>ROUND(SUM(N500:N501),10)</f>
        <v>0</v>
      </c>
      <c r="O499" s="542"/>
      <c r="P499" s="180">
        <f>ROUND(SUM(P500:P501),10)</f>
        <v>0</v>
      </c>
      <c r="Q499" s="542"/>
      <c r="R499" s="180">
        <f>ROUND(SUM(R500:R501),10)</f>
        <v>0</v>
      </c>
      <c r="S499" s="542"/>
      <c r="T499" s="180">
        <f>ROUND(SUM(T500:T501),10)</f>
        <v>0</v>
      </c>
      <c r="U499" s="568"/>
      <c r="V499" s="575"/>
      <c r="W499" s="570">
        <f>ROUND(SUM(W500:W501),10)</f>
        <v>0</v>
      </c>
      <c r="X499" s="575"/>
      <c r="Y499" s="570">
        <f>ROUND(SUM(Y500:Y501),10)</f>
        <v>0</v>
      </c>
      <c r="Z499" s="575"/>
      <c r="AA499" s="570">
        <f>ROUND(SUM(AA500:AA501),10)</f>
        <v>0</v>
      </c>
      <c r="AB499" s="575"/>
      <c r="AC499" s="570">
        <f>ROUND(SUM(AC500:AC501),10)</f>
        <v>0</v>
      </c>
      <c r="AE499" s="769">
        <f t="shared" si="365"/>
        <v>0</v>
      </c>
    </row>
    <row r="500" spans="1:31" ht="15" hidden="1" customHeight="1" x14ac:dyDescent="0.2">
      <c r="A500" s="611" t="s">
        <v>1441</v>
      </c>
      <c r="B500" s="601" t="s">
        <v>1442</v>
      </c>
      <c r="C500" s="611" t="s">
        <v>130</v>
      </c>
      <c r="D500" s="576">
        <f>+I500+K500+M500+O500+Q500+S500</f>
        <v>0</v>
      </c>
      <c r="E500" s="577">
        <f t="shared" si="368"/>
        <v>0</v>
      </c>
      <c r="F500" s="577">
        <f>ROUND(D500*E500,10)</f>
        <v>0</v>
      </c>
      <c r="G500" s="578"/>
      <c r="I500" s="594"/>
      <c r="J500" s="580">
        <f>+ROUND(E500*I500,10)</f>
        <v>0</v>
      </c>
      <c r="K500" s="537"/>
      <c r="L500" s="445">
        <f>+ROUND(E500*K500,10)</f>
        <v>0</v>
      </c>
      <c r="M500" s="542"/>
      <c r="N500" s="445">
        <f>+ROUND(E500*M500,10)</f>
        <v>0</v>
      </c>
      <c r="O500" s="542"/>
      <c r="P500" s="445">
        <f>+ROUND(E500*O500,10)</f>
        <v>0</v>
      </c>
      <c r="Q500" s="542"/>
      <c r="R500" s="445">
        <f>+ROUND(E500*Q500,10)</f>
        <v>0</v>
      </c>
      <c r="S500" s="542"/>
      <c r="T500" s="445">
        <f>+ROUND(E500*S500,10)</f>
        <v>0</v>
      </c>
      <c r="V500" s="581"/>
      <c r="W500" s="582">
        <f>ROUND(V500*$D500,10)</f>
        <v>0</v>
      </c>
      <c r="X500" s="581"/>
      <c r="Y500" s="582">
        <f>ROUND(X500*$D500,10)</f>
        <v>0</v>
      </c>
      <c r="Z500" s="581"/>
      <c r="AA500" s="582">
        <f>ROUND(Z500*$D500,10)</f>
        <v>0</v>
      </c>
      <c r="AB500" s="581"/>
      <c r="AC500" s="582">
        <f>ROUND(AB500*$D500,10)</f>
        <v>0</v>
      </c>
      <c r="AE500" s="769">
        <f t="shared" si="365"/>
        <v>0</v>
      </c>
    </row>
    <row r="501" spans="1:31" ht="15" hidden="1" customHeight="1" x14ac:dyDescent="0.2">
      <c r="A501" s="611" t="s">
        <v>1443</v>
      </c>
      <c r="B501" s="601" t="s">
        <v>1444</v>
      </c>
      <c r="C501" s="611" t="s">
        <v>130</v>
      </c>
      <c r="D501" s="576">
        <f>+I501+K501+M501+O501+Q501+S501</f>
        <v>0</v>
      </c>
      <c r="E501" s="577">
        <f t="shared" si="368"/>
        <v>0</v>
      </c>
      <c r="F501" s="577">
        <f>ROUND(D501*E501,10)</f>
        <v>0</v>
      </c>
      <c r="G501" s="578"/>
      <c r="I501" s="597"/>
      <c r="J501" s="598">
        <f>+ROUND(E501*I501,10)</f>
        <v>0</v>
      </c>
      <c r="K501" s="537"/>
      <c r="L501" s="445">
        <f>+ROUND(E501*K501,10)</f>
        <v>0</v>
      </c>
      <c r="M501" s="542"/>
      <c r="N501" s="445">
        <f>+ROUND(E501*M501,10)</f>
        <v>0</v>
      </c>
      <c r="O501" s="542"/>
      <c r="P501" s="445">
        <f>+ROUND(E501*O501,10)</f>
        <v>0</v>
      </c>
      <c r="Q501" s="542"/>
      <c r="R501" s="445">
        <f>+ROUND(E501*Q501,10)</f>
        <v>0</v>
      </c>
      <c r="S501" s="542"/>
      <c r="T501" s="445">
        <f>+ROUND(E501*S501,10)</f>
        <v>0</v>
      </c>
      <c r="V501" s="581"/>
      <c r="W501" s="582">
        <f>ROUND(V501*$D501,10)</f>
        <v>0</v>
      </c>
      <c r="X501" s="581"/>
      <c r="Y501" s="582">
        <f>ROUND(X501*$D501,10)</f>
        <v>0</v>
      </c>
      <c r="Z501" s="581"/>
      <c r="AA501" s="582">
        <f>ROUND(Z501*$D501,10)</f>
        <v>0</v>
      </c>
      <c r="AB501" s="581"/>
      <c r="AC501" s="582">
        <f>ROUND(AB501*$D501,10)</f>
        <v>0</v>
      </c>
      <c r="AE501" s="769">
        <f t="shared" si="365"/>
        <v>0</v>
      </c>
    </row>
    <row r="502" spans="1:31" ht="15.75" x14ac:dyDescent="0.2">
      <c r="A502" s="572" t="s">
        <v>1445</v>
      </c>
      <c r="B502" s="573" t="s">
        <v>1446</v>
      </c>
      <c r="C502" s="846"/>
      <c r="D502" s="576"/>
      <c r="E502" s="641"/>
      <c r="F502" s="626" t="e">
        <f>+ROUND(SUM(F503:F505),10)</f>
        <v>#REF!</v>
      </c>
      <c r="G502" s="473"/>
      <c r="H502" s="568"/>
      <c r="I502" s="613"/>
      <c r="J502" s="440" t="e">
        <f>ROUND(SUM(J503:J505),10)</f>
        <v>#REF!</v>
      </c>
      <c r="K502" s="537"/>
      <c r="L502" s="180" t="e">
        <f>ROUND(SUM(L503:L505),10)</f>
        <v>#REF!</v>
      </c>
      <c r="M502" s="542"/>
      <c r="N502" s="180" t="e">
        <f>ROUND(SUM(N503:N505),10)</f>
        <v>#REF!</v>
      </c>
      <c r="O502" s="542"/>
      <c r="P502" s="180" t="e">
        <f>ROUND(SUM(P503:P505),10)</f>
        <v>#REF!</v>
      </c>
      <c r="Q502" s="542"/>
      <c r="R502" s="180" t="e">
        <f>ROUND(SUM(R503:R505),10)</f>
        <v>#REF!</v>
      </c>
      <c r="S502" s="542"/>
      <c r="T502" s="180" t="e">
        <f>ROUND(SUM(T503:T505),10)</f>
        <v>#REF!</v>
      </c>
      <c r="U502" s="568"/>
      <c r="V502" s="575"/>
      <c r="W502" s="570" t="e">
        <f>ROUND(SUM(W503:W505),10)</f>
        <v>#REF!</v>
      </c>
      <c r="X502" s="575"/>
      <c r="Y502" s="570" t="e">
        <f>ROUND(SUM(Y503:Y505),10)</f>
        <v>#REF!</v>
      </c>
      <c r="Z502" s="575"/>
      <c r="AA502" s="570" t="e">
        <f>ROUND(SUM(AA503:AA505),10)</f>
        <v>#REF!</v>
      </c>
      <c r="AB502" s="575"/>
      <c r="AC502" s="570">
        <f>ROUND(SUM(AC503:AC505),10)</f>
        <v>0</v>
      </c>
      <c r="AE502" s="769" t="e">
        <f t="shared" si="365"/>
        <v>#REF!</v>
      </c>
    </row>
    <row r="503" spans="1:31" s="672" customFormat="1" ht="25.5" x14ac:dyDescent="0.2">
      <c r="A503" s="627" t="s">
        <v>1447</v>
      </c>
      <c r="B503" s="610" t="s">
        <v>1448</v>
      </c>
      <c r="C503" s="627" t="s">
        <v>130</v>
      </c>
      <c r="D503" s="576">
        <f>+I503+K503+M503+O503+Q503+S503</f>
        <v>928.88999999999987</v>
      </c>
      <c r="E503" s="641" t="e">
        <f t="shared" si="368"/>
        <v>#REF!</v>
      </c>
      <c r="F503" s="641" t="e">
        <f>ROUND(D503*E503,10)</f>
        <v>#REF!</v>
      </c>
      <c r="G503" s="668"/>
      <c r="H503" s="657"/>
      <c r="I503" s="669"/>
      <c r="J503" s="670" t="e">
        <f>+ROUND(E503*I503,10)</f>
        <v>#REF!</v>
      </c>
      <c r="K503" s="538">
        <v>607.5</v>
      </c>
      <c r="L503" s="474" t="e">
        <f>+ROUND(E503*K503,10)</f>
        <v>#REF!</v>
      </c>
      <c r="M503" s="543">
        <v>80.05</v>
      </c>
      <c r="N503" s="474" t="e">
        <f>+ROUND(E503*M503,10)</f>
        <v>#REF!</v>
      </c>
      <c r="O503" s="543">
        <v>104.57</v>
      </c>
      <c r="P503" s="474" t="e">
        <f>+ROUND(E503*O503,10)</f>
        <v>#REF!</v>
      </c>
      <c r="Q503" s="543">
        <v>119.55</v>
      </c>
      <c r="R503" s="474" t="e">
        <f>+ROUND(E503*Q503,10)</f>
        <v>#REF!</v>
      </c>
      <c r="S503" s="543">
        <v>17.22</v>
      </c>
      <c r="T503" s="474" t="e">
        <f>+ROUND(E503*S503,10)</f>
        <v>#REF!</v>
      </c>
      <c r="U503" s="657"/>
      <c r="V503" s="671" t="e">
        <f>+#REF!</f>
        <v>#REF!</v>
      </c>
      <c r="W503" s="671" t="e">
        <f>ROUND(V503*$D503,10)</f>
        <v>#REF!</v>
      </c>
      <c r="X503" s="671" t="e">
        <f>+#REF!</f>
        <v>#REF!</v>
      </c>
      <c r="Y503" s="671" t="e">
        <f>ROUND(X503*$D503,10)</f>
        <v>#REF!</v>
      </c>
      <c r="Z503" s="671" t="e">
        <f>+#REF!</f>
        <v>#REF!</v>
      </c>
      <c r="AA503" s="671" t="e">
        <f>ROUND(Z503*$D503,10)</f>
        <v>#REF!</v>
      </c>
      <c r="AB503" s="671"/>
      <c r="AC503" s="671">
        <f>ROUND(AB503*$D503,10)</f>
        <v>0</v>
      </c>
      <c r="AE503" s="769" t="e">
        <f t="shared" si="365"/>
        <v>#REF!</v>
      </c>
    </row>
    <row r="504" spans="1:31" ht="15" hidden="1" customHeight="1" x14ac:dyDescent="0.2">
      <c r="A504" s="611" t="s">
        <v>1449</v>
      </c>
      <c r="B504" s="601" t="s">
        <v>1450</v>
      </c>
      <c r="C504" s="611" t="s">
        <v>130</v>
      </c>
      <c r="D504" s="576">
        <f>+I504+K504+M504+O504+Q504+S504</f>
        <v>0</v>
      </c>
      <c r="E504" s="577">
        <f t="shared" si="368"/>
        <v>0</v>
      </c>
      <c r="F504" s="577">
        <f>ROUND(D504*E504,10)</f>
        <v>0</v>
      </c>
      <c r="G504" s="578"/>
      <c r="I504" s="584"/>
      <c r="J504" s="585">
        <f>+ROUND(E504*I504,10)</f>
        <v>0</v>
      </c>
      <c r="K504" s="537"/>
      <c r="L504" s="445">
        <f>+ROUND(E504*K504,10)</f>
        <v>0</v>
      </c>
      <c r="M504" s="542"/>
      <c r="N504" s="445">
        <f>+ROUND(E504*M504,10)</f>
        <v>0</v>
      </c>
      <c r="O504" s="542"/>
      <c r="P504" s="445">
        <f>+ROUND(E504*O504,10)</f>
        <v>0</v>
      </c>
      <c r="Q504" s="542"/>
      <c r="R504" s="445">
        <f>+ROUND(E504*Q504,10)</f>
        <v>0</v>
      </c>
      <c r="S504" s="542"/>
      <c r="T504" s="445">
        <f>+ROUND(E504*S504,10)</f>
        <v>0</v>
      </c>
      <c r="V504" s="581"/>
      <c r="W504" s="582">
        <f>ROUND(V504*$D504,10)</f>
        <v>0</v>
      </c>
      <c r="X504" s="581"/>
      <c r="Y504" s="582">
        <f>ROUND(X504*$D504,10)</f>
        <v>0</v>
      </c>
      <c r="Z504" s="581"/>
      <c r="AA504" s="582">
        <f>ROUND(Z504*$D504,10)</f>
        <v>0</v>
      </c>
      <c r="AB504" s="581"/>
      <c r="AC504" s="582">
        <f>ROUND(AB504*$D504,10)</f>
        <v>0</v>
      </c>
      <c r="AE504" s="769">
        <f t="shared" si="365"/>
        <v>0</v>
      </c>
    </row>
    <row r="505" spans="1:31" ht="15" hidden="1" customHeight="1" x14ac:dyDescent="0.2">
      <c r="A505" s="611" t="s">
        <v>1451</v>
      </c>
      <c r="B505" s="601" t="s">
        <v>1452</v>
      </c>
      <c r="C505" s="611" t="s">
        <v>130</v>
      </c>
      <c r="D505" s="576">
        <f>+I505+K505+M505+O505+Q505+S505</f>
        <v>0</v>
      </c>
      <c r="E505" s="577" t="e">
        <f t="shared" si="368"/>
        <v>#REF!</v>
      </c>
      <c r="F505" s="577" t="e">
        <f>ROUND(D505*E505,10)</f>
        <v>#REF!</v>
      </c>
      <c r="G505" s="578"/>
      <c r="I505" s="597"/>
      <c r="J505" s="598" t="e">
        <f>+ROUND(E505*I505,10)</f>
        <v>#REF!</v>
      </c>
      <c r="K505" s="537"/>
      <c r="L505" s="445" t="e">
        <f>+ROUND(E505*K505,10)</f>
        <v>#REF!</v>
      </c>
      <c r="M505" s="542"/>
      <c r="N505" s="445" t="e">
        <f>+ROUND(E505*M505,10)</f>
        <v>#REF!</v>
      </c>
      <c r="O505" s="542"/>
      <c r="P505" s="445" t="e">
        <f>+ROUND(E505*O505,10)</f>
        <v>#REF!</v>
      </c>
      <c r="Q505" s="542"/>
      <c r="R505" s="445" t="e">
        <f>+ROUND(E505*Q505,10)</f>
        <v>#REF!</v>
      </c>
      <c r="S505" s="542"/>
      <c r="T505" s="445" t="e">
        <f>+ROUND(E505*S505,10)</f>
        <v>#REF!</v>
      </c>
      <c r="V505" s="581" t="e">
        <f>+'10,2,4,3 gravilla m2'!I19</f>
        <v>#REF!</v>
      </c>
      <c r="W505" s="582" t="e">
        <f>ROUND(V505*$D505,10)</f>
        <v>#REF!</v>
      </c>
      <c r="X505" s="581">
        <f>+'10,2,4,3 gravilla m2'!I50</f>
        <v>29931.73</v>
      </c>
      <c r="Y505" s="582">
        <f>ROUND(X505*$D505,10)</f>
        <v>0</v>
      </c>
      <c r="Z505" s="581">
        <f>+'10,2,4,3 gravilla m2'!I30</f>
        <v>371</v>
      </c>
      <c r="AA505" s="582">
        <f>ROUND(Z505*$D505,10)</f>
        <v>0</v>
      </c>
      <c r="AB505" s="581">
        <f>+'10,2,4,3 gravilla m2'!I41</f>
        <v>0</v>
      </c>
      <c r="AC505" s="582">
        <f>ROUND(AB505*$D505,10)</f>
        <v>0</v>
      </c>
      <c r="AE505" s="769" t="e">
        <f t="shared" si="365"/>
        <v>#REF!</v>
      </c>
    </row>
    <row r="506" spans="1:31" ht="15" hidden="1" customHeight="1" x14ac:dyDescent="0.2">
      <c r="A506" s="572" t="s">
        <v>1453</v>
      </c>
      <c r="B506" s="573" t="s">
        <v>1454</v>
      </c>
      <c r="C506" s="846"/>
      <c r="D506" s="576"/>
      <c r="E506" s="577"/>
      <c r="F506" s="626">
        <f>+ROUND(SUM(F507:F508),10)</f>
        <v>0</v>
      </c>
      <c r="G506" s="473"/>
      <c r="H506" s="568"/>
      <c r="I506" s="613"/>
      <c r="J506" s="440">
        <f>ROUND(SUM(J507:J508),10)</f>
        <v>0</v>
      </c>
      <c r="K506" s="537"/>
      <c r="L506" s="180">
        <f>ROUND(SUM(L507:L508),10)</f>
        <v>0</v>
      </c>
      <c r="M506" s="542"/>
      <c r="N506" s="180">
        <f>ROUND(SUM(N507:N508),10)</f>
        <v>0</v>
      </c>
      <c r="O506" s="542"/>
      <c r="P506" s="180">
        <f>ROUND(SUM(P507:P508),10)</f>
        <v>0</v>
      </c>
      <c r="Q506" s="542"/>
      <c r="R506" s="180">
        <f>ROUND(SUM(R507:R508),10)</f>
        <v>0</v>
      </c>
      <c r="S506" s="542"/>
      <c r="T506" s="180">
        <f>ROUND(SUM(T507:T508),10)</f>
        <v>0</v>
      </c>
      <c r="U506" s="568"/>
      <c r="V506" s="575"/>
      <c r="W506" s="570">
        <f>ROUND(SUM(W507:W508),10)</f>
        <v>0</v>
      </c>
      <c r="X506" s="575"/>
      <c r="Y506" s="570">
        <f>ROUND(SUM(Y507:Y508),10)</f>
        <v>0</v>
      </c>
      <c r="Z506" s="575"/>
      <c r="AA506" s="570">
        <f>ROUND(SUM(AA507:AA508),10)</f>
        <v>0</v>
      </c>
      <c r="AB506" s="575"/>
      <c r="AC506" s="570">
        <f>ROUND(SUM(AC507:AC508),10)</f>
        <v>0</v>
      </c>
      <c r="AE506" s="769">
        <f t="shared" si="365"/>
        <v>0</v>
      </c>
    </row>
    <row r="507" spans="1:31" ht="15" hidden="1" customHeight="1" x14ac:dyDescent="0.2">
      <c r="A507" s="611" t="s">
        <v>1455</v>
      </c>
      <c r="B507" s="601" t="s">
        <v>1456</v>
      </c>
      <c r="C507" s="611" t="s">
        <v>130</v>
      </c>
      <c r="D507" s="576">
        <f>+I507+K507+M507+O507+Q507+S507</f>
        <v>0</v>
      </c>
      <c r="E507" s="577">
        <f t="shared" si="368"/>
        <v>0</v>
      </c>
      <c r="F507" s="577">
        <f>ROUND(D507*E507,10)</f>
        <v>0</v>
      </c>
      <c r="G507" s="578"/>
      <c r="I507" s="594"/>
      <c r="J507" s="580">
        <f>+ROUND(E507*I507,10)</f>
        <v>0</v>
      </c>
      <c r="K507" s="537"/>
      <c r="L507" s="445">
        <f>+ROUND(E507*K507,10)</f>
        <v>0</v>
      </c>
      <c r="M507" s="542"/>
      <c r="N507" s="445">
        <f>+ROUND(E507*M507,10)</f>
        <v>0</v>
      </c>
      <c r="O507" s="542"/>
      <c r="P507" s="445">
        <f>+ROUND(E507*O507,10)</f>
        <v>0</v>
      </c>
      <c r="Q507" s="542"/>
      <c r="R507" s="445">
        <f>+ROUND(E507*Q507,10)</f>
        <v>0</v>
      </c>
      <c r="S507" s="542"/>
      <c r="T507" s="445">
        <f>+ROUND(E507*S507,10)</f>
        <v>0</v>
      </c>
      <c r="V507" s="581"/>
      <c r="W507" s="582">
        <f>ROUND(V507*$D507,10)</f>
        <v>0</v>
      </c>
      <c r="X507" s="581"/>
      <c r="Y507" s="582">
        <f>ROUND(X507*$D507,10)</f>
        <v>0</v>
      </c>
      <c r="Z507" s="581"/>
      <c r="AA507" s="582">
        <f>ROUND(Z507*$D507,10)</f>
        <v>0</v>
      </c>
      <c r="AB507" s="581"/>
      <c r="AC507" s="582">
        <f>ROUND(AB507*$D507,10)</f>
        <v>0</v>
      </c>
      <c r="AE507" s="769">
        <f t="shared" si="365"/>
        <v>0</v>
      </c>
    </row>
    <row r="508" spans="1:31" ht="15" hidden="1" customHeight="1" x14ac:dyDescent="0.2">
      <c r="A508" s="611" t="s">
        <v>1457</v>
      </c>
      <c r="B508" s="601" t="s">
        <v>1458</v>
      </c>
      <c r="C508" s="611" t="s">
        <v>130</v>
      </c>
      <c r="D508" s="576">
        <f>+I508+K508+M508+O508+Q508+S508</f>
        <v>0</v>
      </c>
      <c r="E508" s="577">
        <f t="shared" si="368"/>
        <v>0</v>
      </c>
      <c r="F508" s="577">
        <f>ROUND(D508*E508,10)</f>
        <v>0</v>
      </c>
      <c r="G508" s="578"/>
      <c r="I508" s="597"/>
      <c r="J508" s="598">
        <f>+ROUND(E508*I508,10)</f>
        <v>0</v>
      </c>
      <c r="K508" s="537"/>
      <c r="L508" s="445">
        <f>+ROUND(E508*K508,10)</f>
        <v>0</v>
      </c>
      <c r="M508" s="542"/>
      <c r="N508" s="445">
        <f>+ROUND(E508*M508,10)</f>
        <v>0</v>
      </c>
      <c r="O508" s="542"/>
      <c r="P508" s="445">
        <f>+ROUND(E508*O508,10)</f>
        <v>0</v>
      </c>
      <c r="Q508" s="542"/>
      <c r="R508" s="445">
        <f>+ROUND(E508*Q508,10)</f>
        <v>0</v>
      </c>
      <c r="S508" s="542"/>
      <c r="T508" s="445">
        <f>+ROUND(E508*S508,10)</f>
        <v>0</v>
      </c>
      <c r="V508" s="581"/>
      <c r="W508" s="582">
        <f>ROUND(V508*$D508,10)</f>
        <v>0</v>
      </c>
      <c r="X508" s="581"/>
      <c r="Y508" s="582">
        <f>ROUND(X508*$D508,10)</f>
        <v>0</v>
      </c>
      <c r="Z508" s="581"/>
      <c r="AA508" s="582">
        <f>ROUND(Z508*$D508,10)</f>
        <v>0</v>
      </c>
      <c r="AB508" s="581"/>
      <c r="AC508" s="582">
        <f>ROUND(AB508*$D508,10)</f>
        <v>0</v>
      </c>
      <c r="AE508" s="769">
        <f t="shared" si="365"/>
        <v>0</v>
      </c>
    </row>
    <row r="509" spans="1:31" ht="15" hidden="1" customHeight="1" x14ac:dyDescent="0.2">
      <c r="A509" s="611" t="s">
        <v>1459</v>
      </c>
      <c r="B509" s="601" t="s">
        <v>1460</v>
      </c>
      <c r="C509" s="846"/>
      <c r="D509" s="576"/>
      <c r="E509" s="577"/>
      <c r="F509" s="626">
        <f>+ROUND(SUM(F510),10)</f>
        <v>0</v>
      </c>
      <c r="G509" s="473"/>
      <c r="H509" s="568"/>
      <c r="I509" s="613"/>
      <c r="J509" s="440">
        <f>ROUND(SUM(J510),10)</f>
        <v>0</v>
      </c>
      <c r="K509" s="537"/>
      <c r="L509" s="180">
        <f>ROUND(SUM(L510),10)</f>
        <v>0</v>
      </c>
      <c r="M509" s="542"/>
      <c r="N509" s="180">
        <f>ROUND(SUM(N510),10)</f>
        <v>0</v>
      </c>
      <c r="O509" s="542"/>
      <c r="P509" s="180">
        <f>ROUND(SUM(P510),10)</f>
        <v>0</v>
      </c>
      <c r="Q509" s="542"/>
      <c r="R509" s="180">
        <f>ROUND(SUM(R510),10)</f>
        <v>0</v>
      </c>
      <c r="S509" s="542"/>
      <c r="T509" s="180">
        <f>ROUND(SUM(T510),10)</f>
        <v>0</v>
      </c>
      <c r="U509" s="568"/>
      <c r="V509" s="575"/>
      <c r="W509" s="570">
        <f>ROUND(SUM(W510),10)</f>
        <v>0</v>
      </c>
      <c r="X509" s="575"/>
      <c r="Y509" s="570">
        <f>ROUND(SUM(Y510),10)</f>
        <v>0</v>
      </c>
      <c r="Z509" s="575"/>
      <c r="AA509" s="570">
        <f>ROUND(SUM(AA510),10)</f>
        <v>0</v>
      </c>
      <c r="AB509" s="575"/>
      <c r="AC509" s="570">
        <f>ROUND(SUM(AC510),10)</f>
        <v>0</v>
      </c>
      <c r="AE509" s="769">
        <f t="shared" si="365"/>
        <v>0</v>
      </c>
    </row>
    <row r="510" spans="1:31" ht="15" hidden="1" customHeight="1" x14ac:dyDescent="0.2">
      <c r="A510" s="611" t="s">
        <v>1461</v>
      </c>
      <c r="B510" s="601" t="s">
        <v>1462</v>
      </c>
      <c r="C510" s="611" t="s">
        <v>130</v>
      </c>
      <c r="D510" s="576">
        <f>+I510+K510+M510+O510+Q510+S510</f>
        <v>0</v>
      </c>
      <c r="E510" s="577">
        <f t="shared" si="368"/>
        <v>0</v>
      </c>
      <c r="F510" s="577">
        <f>ROUND(D510*E510,10)</f>
        <v>0</v>
      </c>
      <c r="G510" s="578"/>
      <c r="I510" s="633"/>
      <c r="J510" s="648">
        <f>+ROUND(E510*I510,10)</f>
        <v>0</v>
      </c>
      <c r="K510" s="537"/>
      <c r="L510" s="445">
        <f>+ROUND(E510*K510,10)</f>
        <v>0</v>
      </c>
      <c r="M510" s="542"/>
      <c r="N510" s="445">
        <f>+ROUND(E510*M510,10)</f>
        <v>0</v>
      </c>
      <c r="O510" s="542"/>
      <c r="P510" s="445">
        <f>+ROUND(E510*O510,10)</f>
        <v>0</v>
      </c>
      <c r="Q510" s="542"/>
      <c r="R510" s="445">
        <f>+ROUND(E510*Q510,10)</f>
        <v>0</v>
      </c>
      <c r="S510" s="542"/>
      <c r="T510" s="445">
        <f>+ROUND(E510*S510,10)</f>
        <v>0</v>
      </c>
      <c r="V510" s="581"/>
      <c r="W510" s="582">
        <f>ROUND(V510*$D510,10)</f>
        <v>0</v>
      </c>
      <c r="X510" s="581"/>
      <c r="Y510" s="582">
        <f>ROUND(X510*$D510,10)</f>
        <v>0</v>
      </c>
      <c r="Z510" s="581"/>
      <c r="AA510" s="582">
        <f>ROUND(Z510*$D510,10)</f>
        <v>0</v>
      </c>
      <c r="AB510" s="581"/>
      <c r="AC510" s="582">
        <f>ROUND(AB510*$D510,10)</f>
        <v>0</v>
      </c>
      <c r="AE510" s="769">
        <f t="shared" si="365"/>
        <v>0</v>
      </c>
    </row>
    <row r="511" spans="1:31" ht="15" hidden="1" customHeight="1" x14ac:dyDescent="0.2">
      <c r="A511" s="572" t="s">
        <v>1463</v>
      </c>
      <c r="B511" s="573" t="s">
        <v>1464</v>
      </c>
      <c r="C511" s="846"/>
      <c r="D511" s="576"/>
      <c r="E511" s="577"/>
      <c r="F511" s="626">
        <f>+ROUND(SUM(F512),10)</f>
        <v>0</v>
      </c>
      <c r="G511" s="473"/>
      <c r="H511" s="568"/>
      <c r="I511" s="613"/>
      <c r="J511" s="440">
        <f>ROUND(SUM(J512),10)</f>
        <v>0</v>
      </c>
      <c r="K511" s="537"/>
      <c r="L511" s="180">
        <f>ROUND(SUM(L512),10)</f>
        <v>0</v>
      </c>
      <c r="M511" s="542"/>
      <c r="N511" s="180">
        <f>ROUND(SUM(N512),10)</f>
        <v>0</v>
      </c>
      <c r="O511" s="542"/>
      <c r="P511" s="180">
        <f>ROUND(SUM(P512),10)</f>
        <v>0</v>
      </c>
      <c r="Q511" s="542"/>
      <c r="R511" s="180">
        <f>ROUND(SUM(R512),10)</f>
        <v>0</v>
      </c>
      <c r="S511" s="542"/>
      <c r="T511" s="180">
        <f>ROUND(SUM(T512),10)</f>
        <v>0</v>
      </c>
      <c r="U511" s="568"/>
      <c r="V511" s="575"/>
      <c r="W511" s="570">
        <f>ROUND(SUM(W512),10)</f>
        <v>0</v>
      </c>
      <c r="X511" s="575"/>
      <c r="Y511" s="570">
        <f>ROUND(SUM(Y512),10)</f>
        <v>0</v>
      </c>
      <c r="Z511" s="575"/>
      <c r="AA511" s="570">
        <f>ROUND(SUM(AA512),10)</f>
        <v>0</v>
      </c>
      <c r="AB511" s="575"/>
      <c r="AC511" s="570">
        <f>ROUND(SUM(AC512),10)</f>
        <v>0</v>
      </c>
      <c r="AE511" s="769">
        <f t="shared" si="365"/>
        <v>0</v>
      </c>
    </row>
    <row r="512" spans="1:31" ht="15" hidden="1" customHeight="1" x14ac:dyDescent="0.2">
      <c r="A512" s="611" t="s">
        <v>1465</v>
      </c>
      <c r="B512" s="601" t="s">
        <v>1466</v>
      </c>
      <c r="C512" s="611" t="s">
        <v>130</v>
      </c>
      <c r="D512" s="576">
        <f>+I512+K512+M512+O512+Q512+S512</f>
        <v>0</v>
      </c>
      <c r="E512" s="577">
        <f t="shared" si="368"/>
        <v>0</v>
      </c>
      <c r="F512" s="577">
        <f>ROUND(D512*E512,10)</f>
        <v>0</v>
      </c>
      <c r="G512" s="578"/>
      <c r="I512" s="633"/>
      <c r="J512" s="648">
        <f>+ROUND(E512*I512,10)</f>
        <v>0</v>
      </c>
      <c r="K512" s="537"/>
      <c r="L512" s="445">
        <f>+ROUND(E512*K512,10)</f>
        <v>0</v>
      </c>
      <c r="M512" s="542"/>
      <c r="N512" s="445">
        <f>+ROUND(E512*M512,10)</f>
        <v>0</v>
      </c>
      <c r="O512" s="542"/>
      <c r="P512" s="445">
        <f>+ROUND(E512*O512,10)</f>
        <v>0</v>
      </c>
      <c r="Q512" s="542"/>
      <c r="R512" s="445">
        <f>+ROUND(E512*Q512,10)</f>
        <v>0</v>
      </c>
      <c r="S512" s="542"/>
      <c r="T512" s="445">
        <f>+ROUND(E512*S512,10)</f>
        <v>0</v>
      </c>
      <c r="V512" s="581"/>
      <c r="W512" s="582">
        <f>ROUND(V512*$D512,10)</f>
        <v>0</v>
      </c>
      <c r="X512" s="581"/>
      <c r="Y512" s="582">
        <f>ROUND(X512*$D512,10)</f>
        <v>0</v>
      </c>
      <c r="Z512" s="581"/>
      <c r="AA512" s="582">
        <f>ROUND(Z512*$D512,10)</f>
        <v>0</v>
      </c>
      <c r="AB512" s="581"/>
      <c r="AC512" s="582">
        <f>ROUND(AB512*$D512,10)</f>
        <v>0</v>
      </c>
      <c r="AE512" s="769">
        <f t="shared" si="365"/>
        <v>0</v>
      </c>
    </row>
    <row r="513" spans="1:31" ht="15" hidden="1" customHeight="1" x14ac:dyDescent="0.2">
      <c r="A513" s="572" t="s">
        <v>1467</v>
      </c>
      <c r="B513" s="573" t="s">
        <v>1395</v>
      </c>
      <c r="C513" s="846"/>
      <c r="D513" s="576"/>
      <c r="E513" s="577"/>
      <c r="F513" s="626">
        <f>ROUND(D513*E513,10)</f>
        <v>0</v>
      </c>
      <c r="G513" s="473"/>
      <c r="H513" s="568"/>
      <c r="I513" s="650"/>
      <c r="J513" s="651">
        <f>+ROUND(E513*I513,10)</f>
        <v>0</v>
      </c>
      <c r="K513" s="537"/>
      <c r="L513" s="180">
        <f>+ROUND(E513*K513,10)</f>
        <v>0</v>
      </c>
      <c r="M513" s="542"/>
      <c r="N513" s="180">
        <f>+ROUND(E513*M513,10)</f>
        <v>0</v>
      </c>
      <c r="O513" s="542"/>
      <c r="P513" s="180">
        <f>+ROUND(E513*O513,10)</f>
        <v>0</v>
      </c>
      <c r="Q513" s="542"/>
      <c r="R513" s="180">
        <f>+ROUND(E513*Q513,10)</f>
        <v>0</v>
      </c>
      <c r="S513" s="542"/>
      <c r="T513" s="180">
        <f>+ROUND(E513*S513,10)</f>
        <v>0</v>
      </c>
      <c r="U513" s="568"/>
      <c r="V513" s="575"/>
      <c r="W513" s="570">
        <f>ROUND(V513*$D513,10)</f>
        <v>0</v>
      </c>
      <c r="X513" s="575"/>
      <c r="Y513" s="570">
        <f>ROUND(X513*$D513,10)</f>
        <v>0</v>
      </c>
      <c r="Z513" s="575"/>
      <c r="AA513" s="570">
        <f>ROUND(Z513*$D513,10)</f>
        <v>0</v>
      </c>
      <c r="AB513" s="575"/>
      <c r="AC513" s="570">
        <f>ROUND(AB513*$D513,10)</f>
        <v>0</v>
      </c>
      <c r="AE513" s="769">
        <f t="shared" si="365"/>
        <v>0</v>
      </c>
    </row>
    <row r="514" spans="1:31" ht="15" customHeight="1" x14ac:dyDescent="0.2">
      <c r="A514" s="572" t="s">
        <v>1468</v>
      </c>
      <c r="B514" s="573" t="s">
        <v>1469</v>
      </c>
      <c r="C514" s="846"/>
      <c r="D514" s="576"/>
      <c r="E514" s="577">
        <f t="shared" si="368"/>
        <v>0</v>
      </c>
      <c r="F514" s="180"/>
      <c r="G514" s="473"/>
      <c r="H514" s="568"/>
      <c r="I514" s="633"/>
      <c r="J514" s="648"/>
      <c r="K514" s="537"/>
      <c r="L514" s="445"/>
      <c r="M514" s="542"/>
      <c r="N514" s="445"/>
      <c r="O514" s="542"/>
      <c r="P514" s="445"/>
      <c r="Q514" s="542"/>
      <c r="R514" s="445"/>
      <c r="S514" s="542"/>
      <c r="T514" s="445"/>
      <c r="U514" s="568"/>
      <c r="V514" s="575"/>
      <c r="W514" s="570"/>
      <c r="X514" s="575"/>
      <c r="Y514" s="570"/>
      <c r="Z514" s="575"/>
      <c r="AA514" s="570"/>
      <c r="AB514" s="575"/>
      <c r="AC514" s="570"/>
      <c r="AE514" s="769">
        <f t="shared" si="365"/>
        <v>0</v>
      </c>
    </row>
    <row r="515" spans="1:31" ht="15" hidden="1" customHeight="1" x14ac:dyDescent="0.2">
      <c r="A515" s="572" t="s">
        <v>1470</v>
      </c>
      <c r="B515" s="573" t="s">
        <v>1432</v>
      </c>
      <c r="C515" s="846"/>
      <c r="D515" s="576"/>
      <c r="E515" s="577"/>
      <c r="F515" s="626" t="e">
        <f>+ROUND(SUM(F516),10)</f>
        <v>#REF!</v>
      </c>
      <c r="G515" s="473"/>
      <c r="H515" s="568"/>
      <c r="I515" s="633"/>
      <c r="J515" s="441" t="e">
        <f>ROUND(SUM(J516),10)</f>
        <v>#REF!</v>
      </c>
      <c r="K515" s="537"/>
      <c r="L515" s="180" t="e">
        <f>ROUND(SUM(L516),10)</f>
        <v>#REF!</v>
      </c>
      <c r="M515" s="542"/>
      <c r="N515" s="180" t="e">
        <f>ROUND(SUM(N516),10)</f>
        <v>#REF!</v>
      </c>
      <c r="O515" s="542"/>
      <c r="P515" s="180" t="e">
        <f>ROUND(SUM(P516),10)</f>
        <v>#REF!</v>
      </c>
      <c r="Q515" s="542"/>
      <c r="R515" s="180" t="e">
        <f>ROUND(SUM(R516),10)</f>
        <v>#REF!</v>
      </c>
      <c r="S515" s="542"/>
      <c r="T515" s="180" t="e">
        <f>ROUND(SUM(T516),10)</f>
        <v>#REF!</v>
      </c>
      <c r="U515" s="568"/>
      <c r="V515" s="575"/>
      <c r="W515" s="570" t="e">
        <f>ROUND(SUM(W516),10)</f>
        <v>#REF!</v>
      </c>
      <c r="X515" s="575"/>
      <c r="Y515" s="570">
        <f>ROUND(SUM(Y516),10)</f>
        <v>0</v>
      </c>
      <c r="Z515" s="575"/>
      <c r="AA515" s="570">
        <f>ROUND(SUM(AA516),10)</f>
        <v>0</v>
      </c>
      <c r="AB515" s="575"/>
      <c r="AC515" s="570">
        <f>ROUND(SUM(AC516),10)</f>
        <v>0</v>
      </c>
      <c r="AE515" s="769" t="e">
        <f t="shared" si="365"/>
        <v>#REF!</v>
      </c>
    </row>
    <row r="516" spans="1:31" ht="15" hidden="1" customHeight="1" x14ac:dyDescent="0.2">
      <c r="A516" s="611" t="s">
        <v>1471</v>
      </c>
      <c r="B516" s="601" t="s">
        <v>1434</v>
      </c>
      <c r="C516" s="611" t="s">
        <v>114</v>
      </c>
      <c r="D516" s="576">
        <f>+I516+K516+M516+O516+Q516+S516</f>
        <v>0</v>
      </c>
      <c r="E516" s="577" t="e">
        <f t="shared" si="368"/>
        <v>#REF!</v>
      </c>
      <c r="F516" s="577" t="e">
        <f>ROUND(D516*E516,10)</f>
        <v>#REF!</v>
      </c>
      <c r="G516" s="578"/>
      <c r="I516" s="673"/>
      <c r="J516" s="674" t="e">
        <f>+ROUND(E516*I516,10)</f>
        <v>#REF!</v>
      </c>
      <c r="K516" s="537"/>
      <c r="L516" s="445" t="e">
        <f>+ROUND(E516*K516,10)</f>
        <v>#REF!</v>
      </c>
      <c r="M516" s="542"/>
      <c r="N516" s="445" t="e">
        <f>+ROUND(E516*M516,10)</f>
        <v>#REF!</v>
      </c>
      <c r="O516" s="542"/>
      <c r="P516" s="445" t="e">
        <f>+ROUND(E516*O516,10)</f>
        <v>#REF!</v>
      </c>
      <c r="Q516" s="542"/>
      <c r="R516" s="445" t="e">
        <f>+ROUND(E516*Q516,10)</f>
        <v>#REF!</v>
      </c>
      <c r="S516" s="542"/>
      <c r="T516" s="445" t="e">
        <f>+ROUND(E516*S516,10)</f>
        <v>#REF!</v>
      </c>
      <c r="V516" s="581" t="e">
        <f>#REF!</f>
        <v>#REF!</v>
      </c>
      <c r="W516" s="582" t="e">
        <f>ROUND(V516*$D516,10)</f>
        <v>#REF!</v>
      </c>
      <c r="X516" s="581">
        <f>'10,2,2,3 Piso tablòn ges 0,30 '!I50</f>
        <v>14659.15</v>
      </c>
      <c r="Y516" s="582">
        <f>ROUND(X516*$D516,10)</f>
        <v>0</v>
      </c>
      <c r="Z516" s="581">
        <f>'10,2,2,3 Piso tablòn ges 0,30 '!I30</f>
        <v>351.86</v>
      </c>
      <c r="AA516" s="582">
        <f>ROUND(Z516*$D516,10)</f>
        <v>0</v>
      </c>
      <c r="AB516" s="581">
        <f>'10,2,2,3 Piso tablòn ges 0,30 '!I41</f>
        <v>0</v>
      </c>
      <c r="AC516" s="582">
        <f>ROUND(AB516*$D516,10)</f>
        <v>0</v>
      </c>
      <c r="AE516" s="769" t="e">
        <f t="shared" si="365"/>
        <v>#REF!</v>
      </c>
    </row>
    <row r="517" spans="1:31" ht="15" customHeight="1" x14ac:dyDescent="0.2">
      <c r="A517" s="572" t="s">
        <v>1472</v>
      </c>
      <c r="B517" s="573" t="s">
        <v>1446</v>
      </c>
      <c r="C517" s="611"/>
      <c r="D517" s="576"/>
      <c r="E517" s="577"/>
      <c r="F517" s="626" t="e">
        <f>+ROUND(SUM(F518:F523),10)</f>
        <v>#REF!</v>
      </c>
      <c r="G517" s="578"/>
      <c r="I517" s="613"/>
      <c r="J517" s="440" t="e">
        <f>ROUND(SUM(J518:J522),10)</f>
        <v>#REF!</v>
      </c>
      <c r="K517" s="537"/>
      <c r="L517" s="180" t="e">
        <f>ROUND(SUM(L518:L523),10)</f>
        <v>#REF!</v>
      </c>
      <c r="M517" s="542"/>
      <c r="N517" s="180" t="e">
        <f>ROUND(SUM(N518:N523),10)</f>
        <v>#REF!</v>
      </c>
      <c r="O517" s="542"/>
      <c r="P517" s="180" t="e">
        <f>ROUND(SUM(P518:P523),10)</f>
        <v>#REF!</v>
      </c>
      <c r="Q517" s="542"/>
      <c r="R517" s="180" t="e">
        <f>ROUND(SUM(R518:R523),10)</f>
        <v>#REF!</v>
      </c>
      <c r="S517" s="542"/>
      <c r="T517" s="180" t="e">
        <f>ROUND(SUM(T518:T523),10)</f>
        <v>#REF!</v>
      </c>
      <c r="V517" s="581"/>
      <c r="W517" s="570" t="e">
        <f>ROUND(SUM(W518:W523),10)</f>
        <v>#REF!</v>
      </c>
      <c r="X517" s="581"/>
      <c r="Y517" s="570" t="e">
        <f>ROUND(SUM(Y518:Y523),10)</f>
        <v>#REF!</v>
      </c>
      <c r="Z517" s="581"/>
      <c r="AA517" s="570" t="e">
        <f>ROUND(SUM(AA518:AA523),10)</f>
        <v>#REF!</v>
      </c>
      <c r="AB517" s="581"/>
      <c r="AC517" s="570" t="e">
        <f>ROUND(SUM(AC518:AC523),10)</f>
        <v>#REF!</v>
      </c>
      <c r="AE517" s="769" t="e">
        <f t="shared" si="365"/>
        <v>#REF!</v>
      </c>
    </row>
    <row r="518" spans="1:31" s="672" customFormat="1" ht="15" customHeight="1" x14ac:dyDescent="0.2">
      <c r="A518" s="627" t="s">
        <v>1473</v>
      </c>
      <c r="B518" s="610" t="s">
        <v>1474</v>
      </c>
      <c r="C518" s="627" t="s">
        <v>114</v>
      </c>
      <c r="D518" s="576">
        <f t="shared" ref="D518:D523" si="380">+I518+K518+M518+O518+Q518+S518</f>
        <v>602.08999999999992</v>
      </c>
      <c r="E518" s="641" t="e">
        <f t="shared" si="368"/>
        <v>#REF!</v>
      </c>
      <c r="F518" s="641" t="e">
        <f t="shared" ref="F518:F523" si="381">ROUND(D518*E518,10)</f>
        <v>#REF!</v>
      </c>
      <c r="G518" s="668"/>
      <c r="H518" s="657"/>
      <c r="I518" s="669"/>
      <c r="J518" s="670" t="e">
        <f>+ROUND(E518*I518,10)</f>
        <v>#REF!</v>
      </c>
      <c r="K518" s="538">
        <v>302.39999999999998</v>
      </c>
      <c r="L518" s="474" t="e">
        <f t="shared" ref="L518:L523" si="382">+ROUND(E518*K518,10)</f>
        <v>#REF!</v>
      </c>
      <c r="M518" s="543"/>
      <c r="N518" s="474" t="e">
        <f t="shared" ref="N518:N523" si="383">+ROUND(E518*M518,10)</f>
        <v>#REF!</v>
      </c>
      <c r="O518" s="543"/>
      <c r="P518" s="474" t="e">
        <f t="shared" ref="P518:P523" si="384">+ROUND(E518*O518,10)</f>
        <v>#REF!</v>
      </c>
      <c r="Q518" s="543">
        <v>242.65</v>
      </c>
      <c r="R518" s="474" t="e">
        <f t="shared" ref="R518:R523" si="385">+ROUND(E518*Q518,10)</f>
        <v>#REF!</v>
      </c>
      <c r="S518" s="543">
        <v>57.04</v>
      </c>
      <c r="T518" s="474" t="e">
        <f t="shared" ref="T518:T523" si="386">+ROUND(E518*S518,10)</f>
        <v>#REF!</v>
      </c>
      <c r="U518" s="657"/>
      <c r="V518" s="671" t="e">
        <f>+#REF!</f>
        <v>#REF!</v>
      </c>
      <c r="W518" s="671" t="e">
        <f t="shared" ref="W518:W523" si="387">ROUND(V518*$D518,10)</f>
        <v>#REF!</v>
      </c>
      <c r="X518" s="671" t="e">
        <f>+#REF!</f>
        <v>#REF!</v>
      </c>
      <c r="Y518" s="671" t="e">
        <f t="shared" ref="Y518:Y523" si="388">ROUND(X518*$D518,10)</f>
        <v>#REF!</v>
      </c>
      <c r="Z518" s="671" t="e">
        <f>+#REF!</f>
        <v>#REF!</v>
      </c>
      <c r="AA518" s="671" t="e">
        <f t="shared" ref="AA518:AA523" si="389">ROUND(Z518*$D518,10)</f>
        <v>#REF!</v>
      </c>
      <c r="AB518" s="671"/>
      <c r="AC518" s="671">
        <f t="shared" ref="AC518:AC523" si="390">ROUND(AB518*$D518,10)</f>
        <v>0</v>
      </c>
      <c r="AE518" s="769" t="e">
        <f t="shared" si="365"/>
        <v>#REF!</v>
      </c>
    </row>
    <row r="519" spans="1:31" ht="15" hidden="1" customHeight="1" x14ac:dyDescent="0.2">
      <c r="A519" s="611" t="s">
        <v>1475</v>
      </c>
      <c r="B519" s="649" t="s">
        <v>1450</v>
      </c>
      <c r="C519" s="611" t="s">
        <v>114</v>
      </c>
      <c r="D519" s="576">
        <f t="shared" si="380"/>
        <v>0</v>
      </c>
      <c r="E519" s="577">
        <f t="shared" si="368"/>
        <v>0</v>
      </c>
      <c r="F519" s="577">
        <f t="shared" si="381"/>
        <v>0</v>
      </c>
      <c r="G519" s="578"/>
      <c r="I519" s="584"/>
      <c r="J519" s="585">
        <f>+ROUND(E519*I519,10)</f>
        <v>0</v>
      </c>
      <c r="K519" s="537"/>
      <c r="L519" s="445">
        <f t="shared" si="382"/>
        <v>0</v>
      </c>
      <c r="M519" s="542"/>
      <c r="N519" s="445">
        <f t="shared" si="383"/>
        <v>0</v>
      </c>
      <c r="O519" s="542"/>
      <c r="P519" s="445">
        <f t="shared" si="384"/>
        <v>0</v>
      </c>
      <c r="Q519" s="542"/>
      <c r="R519" s="445">
        <f t="shared" si="385"/>
        <v>0</v>
      </c>
      <c r="S519" s="542"/>
      <c r="T519" s="445">
        <f t="shared" si="386"/>
        <v>0</v>
      </c>
      <c r="V519" s="581"/>
      <c r="W519" s="582">
        <f t="shared" si="387"/>
        <v>0</v>
      </c>
      <c r="X519" s="581"/>
      <c r="Y519" s="582">
        <f t="shared" si="388"/>
        <v>0</v>
      </c>
      <c r="Z519" s="581"/>
      <c r="AA519" s="582">
        <f t="shared" si="389"/>
        <v>0</v>
      </c>
      <c r="AB519" s="581"/>
      <c r="AC519" s="582">
        <f t="shared" si="390"/>
        <v>0</v>
      </c>
      <c r="AE519" s="769">
        <f t="shared" si="365"/>
        <v>0</v>
      </c>
    </row>
    <row r="520" spans="1:31" ht="15" hidden="1" customHeight="1" x14ac:dyDescent="0.2">
      <c r="A520" s="611" t="s">
        <v>1476</v>
      </c>
      <c r="B520" s="610" t="s">
        <v>1477</v>
      </c>
      <c r="C520" s="611" t="s">
        <v>114</v>
      </c>
      <c r="D520" s="576">
        <f t="shared" si="380"/>
        <v>0</v>
      </c>
      <c r="E520" s="577" t="e">
        <f t="shared" si="368"/>
        <v>#REF!</v>
      </c>
      <c r="F520" s="577" t="e">
        <f t="shared" si="381"/>
        <v>#REF!</v>
      </c>
      <c r="G520" s="578"/>
      <c r="I520" s="584"/>
      <c r="J520" s="585" t="e">
        <f>+ROUND(E520*I520,10)</f>
        <v>#REF!</v>
      </c>
      <c r="K520" s="537"/>
      <c r="L520" s="445" t="e">
        <f t="shared" si="382"/>
        <v>#REF!</v>
      </c>
      <c r="M520" s="542"/>
      <c r="N520" s="445" t="e">
        <f t="shared" si="383"/>
        <v>#REF!</v>
      </c>
      <c r="O520" s="542"/>
      <c r="P520" s="445" t="e">
        <f t="shared" si="384"/>
        <v>#REF!</v>
      </c>
      <c r="Q520" s="542"/>
      <c r="R520" s="445" t="e">
        <f t="shared" si="385"/>
        <v>#REF!</v>
      </c>
      <c r="S520" s="542"/>
      <c r="T520" s="445" t="e">
        <f t="shared" si="386"/>
        <v>#REF!</v>
      </c>
      <c r="V520" s="581" t="e">
        <f>+'10,3,2,3 Media Caña'!I19</f>
        <v>#REF!</v>
      </c>
      <c r="W520" s="582" t="e">
        <f t="shared" si="387"/>
        <v>#REF!</v>
      </c>
      <c r="X520" s="581">
        <f>+'10,3,2,3 Media Caña'!I50</f>
        <v>5487.48</v>
      </c>
      <c r="Y520" s="582">
        <f t="shared" si="388"/>
        <v>0</v>
      </c>
      <c r="Z520" s="581">
        <f>+'10,3,2,3 Media Caña'!I30</f>
        <v>371</v>
      </c>
      <c r="AA520" s="582">
        <f t="shared" si="389"/>
        <v>0</v>
      </c>
      <c r="AB520" s="581"/>
      <c r="AC520" s="582">
        <f t="shared" si="390"/>
        <v>0</v>
      </c>
      <c r="AE520" s="769" t="e">
        <f t="shared" si="365"/>
        <v>#REF!</v>
      </c>
    </row>
    <row r="521" spans="1:31" ht="15.75" hidden="1" customHeight="1" x14ac:dyDescent="0.2">
      <c r="A521" s="611" t="s">
        <v>1478</v>
      </c>
      <c r="B521" s="601" t="s">
        <v>1452</v>
      </c>
      <c r="C521" s="611" t="s">
        <v>114</v>
      </c>
      <c r="D521" s="576">
        <f t="shared" si="380"/>
        <v>0</v>
      </c>
      <c r="E521" s="577">
        <f t="shared" si="368"/>
        <v>0</v>
      </c>
      <c r="F521" s="577">
        <f t="shared" si="381"/>
        <v>0</v>
      </c>
      <c r="G521" s="578"/>
      <c r="I521" s="584"/>
      <c r="J521" s="585">
        <f>+ROUND(E521*I521,10)</f>
        <v>0</v>
      </c>
      <c r="K521" s="537"/>
      <c r="L521" s="445">
        <f t="shared" si="382"/>
        <v>0</v>
      </c>
      <c r="M521" s="542"/>
      <c r="N521" s="445">
        <f t="shared" si="383"/>
        <v>0</v>
      </c>
      <c r="O521" s="542"/>
      <c r="P521" s="445">
        <f t="shared" si="384"/>
        <v>0</v>
      </c>
      <c r="Q521" s="542"/>
      <c r="R521" s="445">
        <f t="shared" si="385"/>
        <v>0</v>
      </c>
      <c r="S521" s="542"/>
      <c r="T521" s="445">
        <f t="shared" si="386"/>
        <v>0</v>
      </c>
      <c r="V521" s="581"/>
      <c r="W521" s="582">
        <f t="shared" si="387"/>
        <v>0</v>
      </c>
      <c r="X521" s="581"/>
      <c r="Y521" s="582">
        <f t="shared" si="388"/>
        <v>0</v>
      </c>
      <c r="Z521" s="581"/>
      <c r="AA521" s="582">
        <f t="shared" si="389"/>
        <v>0</v>
      </c>
      <c r="AB521" s="581"/>
      <c r="AC521" s="582">
        <f t="shared" si="390"/>
        <v>0</v>
      </c>
      <c r="AE521" s="769">
        <f t="shared" si="365"/>
        <v>0</v>
      </c>
    </row>
    <row r="522" spans="1:31" s="595" customFormat="1" ht="18" hidden="1" customHeight="1" x14ac:dyDescent="0.2">
      <c r="A522" s="611" t="s">
        <v>1479</v>
      </c>
      <c r="B522" s="601" t="s">
        <v>1480</v>
      </c>
      <c r="C522" s="611" t="s">
        <v>114</v>
      </c>
      <c r="D522" s="576">
        <f t="shared" si="380"/>
        <v>0</v>
      </c>
      <c r="E522" s="577" t="e">
        <f t="shared" si="368"/>
        <v>#REF!</v>
      </c>
      <c r="F522" s="577" t="e">
        <f t="shared" si="381"/>
        <v>#REF!</v>
      </c>
      <c r="G522" s="578"/>
      <c r="H522" s="552"/>
      <c r="I522" s="597"/>
      <c r="J522" s="598" t="e">
        <f>+ROUND(E522*I522,10)</f>
        <v>#REF!</v>
      </c>
      <c r="K522" s="537"/>
      <c r="L522" s="445" t="e">
        <f t="shared" si="382"/>
        <v>#REF!</v>
      </c>
      <c r="M522" s="542"/>
      <c r="N522" s="445" t="e">
        <f t="shared" si="383"/>
        <v>#REF!</v>
      </c>
      <c r="O522" s="542"/>
      <c r="P522" s="445" t="e">
        <f t="shared" si="384"/>
        <v>#REF!</v>
      </c>
      <c r="Q522" s="542"/>
      <c r="R522" s="445" t="e">
        <f t="shared" si="385"/>
        <v>#REF!</v>
      </c>
      <c r="S522" s="542"/>
      <c r="T522" s="445" t="e">
        <f t="shared" si="386"/>
        <v>#REF!</v>
      </c>
      <c r="U522" s="552"/>
      <c r="V522" s="581" t="e">
        <f>+'10,3,2,4 Gravilla '!I19</f>
        <v>#REF!</v>
      </c>
      <c r="W522" s="582" t="e">
        <f t="shared" si="387"/>
        <v>#REF!</v>
      </c>
      <c r="X522" s="581">
        <f>+'10,3,2,4 Gravilla '!I50</f>
        <v>19367.59</v>
      </c>
      <c r="Y522" s="582">
        <f t="shared" si="388"/>
        <v>0</v>
      </c>
      <c r="Z522" s="581">
        <f>+'10,3,2,4 Gravilla '!I30</f>
        <v>371</v>
      </c>
      <c r="AA522" s="582">
        <f t="shared" si="389"/>
        <v>0</v>
      </c>
      <c r="AB522" s="581"/>
      <c r="AC522" s="582">
        <f t="shared" si="390"/>
        <v>0</v>
      </c>
      <c r="AD522" s="912"/>
      <c r="AE522" s="769" t="e">
        <f t="shared" si="365"/>
        <v>#REF!</v>
      </c>
    </row>
    <row r="523" spans="1:31" s="595" customFormat="1" ht="18" customHeight="1" x14ac:dyDescent="0.2">
      <c r="A523" s="611" t="s">
        <v>1481</v>
      </c>
      <c r="B523" s="601" t="s">
        <v>1482</v>
      </c>
      <c r="C523" s="611" t="s">
        <v>114</v>
      </c>
      <c r="D523" s="576">
        <f t="shared" si="380"/>
        <v>235.95000000000002</v>
      </c>
      <c r="E523" s="577" t="e">
        <f t="shared" si="368"/>
        <v>#REF!</v>
      </c>
      <c r="F523" s="577" t="e">
        <f t="shared" si="381"/>
        <v>#REF!</v>
      </c>
      <c r="G523" s="578"/>
      <c r="H523" s="552"/>
      <c r="I523" s="633"/>
      <c r="J523" s="648"/>
      <c r="K523" s="537"/>
      <c r="L523" s="445" t="e">
        <f t="shared" si="382"/>
        <v>#REF!</v>
      </c>
      <c r="M523" s="542">
        <v>72.150000000000006</v>
      </c>
      <c r="N523" s="445" t="e">
        <f t="shared" si="383"/>
        <v>#REF!</v>
      </c>
      <c r="O523" s="542">
        <v>163.80000000000001</v>
      </c>
      <c r="P523" s="445" t="e">
        <f t="shared" si="384"/>
        <v>#REF!</v>
      </c>
      <c r="Q523" s="542"/>
      <c r="R523" s="445" t="e">
        <f t="shared" si="385"/>
        <v>#REF!</v>
      </c>
      <c r="S523" s="542"/>
      <c r="T523" s="445" t="e">
        <f t="shared" si="386"/>
        <v>#REF!</v>
      </c>
      <c r="U523" s="552"/>
      <c r="V523" s="581" t="e">
        <f>#REF!</f>
        <v>#REF!</v>
      </c>
      <c r="W523" s="582" t="e">
        <f t="shared" si="387"/>
        <v>#REF!</v>
      </c>
      <c r="X523" s="581" t="e">
        <f>+#REF!</f>
        <v>#REF!</v>
      </c>
      <c r="Y523" s="582" t="e">
        <f t="shared" si="388"/>
        <v>#REF!</v>
      </c>
      <c r="Z523" s="581" t="e">
        <f>+#REF!</f>
        <v>#REF!</v>
      </c>
      <c r="AA523" s="582" t="e">
        <f t="shared" si="389"/>
        <v>#REF!</v>
      </c>
      <c r="AB523" s="581" t="e">
        <f>+#REF!</f>
        <v>#REF!</v>
      </c>
      <c r="AC523" s="582" t="e">
        <f t="shared" si="390"/>
        <v>#REF!</v>
      </c>
      <c r="AD523" s="912"/>
      <c r="AE523" s="769" t="e">
        <f t="shared" si="365"/>
        <v>#REF!</v>
      </c>
    </row>
    <row r="524" spans="1:31" ht="15" hidden="1" customHeight="1" x14ac:dyDescent="0.2">
      <c r="A524" s="572" t="s">
        <v>1483</v>
      </c>
      <c r="B524" s="573" t="s">
        <v>1454</v>
      </c>
      <c r="C524" s="846"/>
      <c r="D524" s="576"/>
      <c r="E524" s="577"/>
      <c r="F524" s="626">
        <f>+ROUND(SUM(F525:F526),10)</f>
        <v>0</v>
      </c>
      <c r="G524" s="473"/>
      <c r="H524" s="568"/>
      <c r="I524" s="613"/>
      <c r="J524" s="440">
        <f>ROUND(SUM(J525:J526),10)</f>
        <v>0</v>
      </c>
      <c r="K524" s="537"/>
      <c r="L524" s="180">
        <f>ROUND(SUM(L525:L526),10)</f>
        <v>0</v>
      </c>
      <c r="M524" s="542"/>
      <c r="N524" s="180">
        <f>ROUND(SUM(N525:N526),10)</f>
        <v>0</v>
      </c>
      <c r="O524" s="542"/>
      <c r="P524" s="180">
        <f>ROUND(SUM(P525:P526),10)</f>
        <v>0</v>
      </c>
      <c r="Q524" s="542"/>
      <c r="R524" s="180">
        <f>ROUND(SUM(R525:R526),10)</f>
        <v>0</v>
      </c>
      <c r="S524" s="542"/>
      <c r="T524" s="180">
        <f>ROUND(SUM(T525:T526),10)</f>
        <v>0</v>
      </c>
      <c r="U524" s="568"/>
      <c r="V524" s="575"/>
      <c r="W524" s="570">
        <f>ROUND(SUM(W525:W526),10)</f>
        <v>0</v>
      </c>
      <c r="X524" s="575"/>
      <c r="Y524" s="570">
        <f>ROUND(SUM(Y525:Y526),10)</f>
        <v>0</v>
      </c>
      <c r="Z524" s="575"/>
      <c r="AA524" s="570">
        <f>ROUND(SUM(AA525:AA526),10)</f>
        <v>0</v>
      </c>
      <c r="AB524" s="575"/>
      <c r="AC524" s="570">
        <f>ROUND(SUM(AC525:AC526),10)</f>
        <v>0</v>
      </c>
      <c r="AE524" s="769">
        <f t="shared" si="365"/>
        <v>0</v>
      </c>
    </row>
    <row r="525" spans="1:31" ht="15" hidden="1" customHeight="1" x14ac:dyDescent="0.2">
      <c r="A525" s="611" t="s">
        <v>1484</v>
      </c>
      <c r="B525" s="601" t="s">
        <v>1456</v>
      </c>
      <c r="C525" s="611" t="s">
        <v>114</v>
      </c>
      <c r="D525" s="576">
        <f>+I525+K525+M525+O525+Q525+S525</f>
        <v>0</v>
      </c>
      <c r="E525" s="577">
        <f t="shared" si="368"/>
        <v>0</v>
      </c>
      <c r="F525" s="577">
        <f>ROUND(D525*E525,10)</f>
        <v>0</v>
      </c>
      <c r="G525" s="578"/>
      <c r="I525" s="594"/>
      <c r="J525" s="580">
        <f>+ROUND(E525*I525,10)</f>
        <v>0</v>
      </c>
      <c r="K525" s="537"/>
      <c r="L525" s="445">
        <f>+ROUND(E525*K525,10)</f>
        <v>0</v>
      </c>
      <c r="M525" s="542"/>
      <c r="N525" s="445">
        <f>+ROUND(E525*M525,10)</f>
        <v>0</v>
      </c>
      <c r="O525" s="542"/>
      <c r="P525" s="445">
        <f>+ROUND(E525*O525,10)</f>
        <v>0</v>
      </c>
      <c r="Q525" s="542"/>
      <c r="R525" s="445">
        <f>+ROUND(E525*Q525,10)</f>
        <v>0</v>
      </c>
      <c r="S525" s="542"/>
      <c r="T525" s="445">
        <f>+ROUND(E525*S525,10)</f>
        <v>0</v>
      </c>
      <c r="V525" s="581"/>
      <c r="W525" s="582">
        <f>ROUND(V525*$D525,10)</f>
        <v>0</v>
      </c>
      <c r="X525" s="581"/>
      <c r="Y525" s="582">
        <f>ROUND(X525*$D525,10)</f>
        <v>0</v>
      </c>
      <c r="Z525" s="581"/>
      <c r="AA525" s="582">
        <f>ROUND(Z525*$D525,10)</f>
        <v>0</v>
      </c>
      <c r="AB525" s="581"/>
      <c r="AC525" s="582">
        <f>ROUND(AB525*$D525,10)</f>
        <v>0</v>
      </c>
      <c r="AE525" s="769">
        <f t="shared" si="365"/>
        <v>0</v>
      </c>
    </row>
    <row r="526" spans="1:31" ht="15" hidden="1" customHeight="1" x14ac:dyDescent="0.2">
      <c r="A526" s="611" t="s">
        <v>1485</v>
      </c>
      <c r="B526" s="601" t="s">
        <v>1458</v>
      </c>
      <c r="C526" s="611" t="s">
        <v>114</v>
      </c>
      <c r="D526" s="576">
        <f>+I526+K526+M526+O526+Q526+S526</f>
        <v>0</v>
      </c>
      <c r="E526" s="577">
        <f t="shared" si="368"/>
        <v>0</v>
      </c>
      <c r="F526" s="577">
        <f>ROUND(D526*E526,10)</f>
        <v>0</v>
      </c>
      <c r="G526" s="578"/>
      <c r="I526" s="597"/>
      <c r="J526" s="598">
        <f>+ROUND(E526*I526,10)</f>
        <v>0</v>
      </c>
      <c r="K526" s="537"/>
      <c r="L526" s="445">
        <f>+ROUND(E526*K526,10)</f>
        <v>0</v>
      </c>
      <c r="M526" s="542"/>
      <c r="N526" s="445">
        <f>+ROUND(E526*M526,10)</f>
        <v>0</v>
      </c>
      <c r="O526" s="542"/>
      <c r="P526" s="445">
        <f>+ROUND(E526*O526,10)</f>
        <v>0</v>
      </c>
      <c r="Q526" s="542"/>
      <c r="R526" s="445">
        <f>+ROUND(E526*Q526,10)</f>
        <v>0</v>
      </c>
      <c r="S526" s="542"/>
      <c r="T526" s="445">
        <f>+ROUND(E526*S526,10)</f>
        <v>0</v>
      </c>
      <c r="V526" s="581"/>
      <c r="W526" s="582">
        <f>ROUND(V526*$D526,10)</f>
        <v>0</v>
      </c>
      <c r="X526" s="581"/>
      <c r="Y526" s="582">
        <f>ROUND(X526*$D526,10)</f>
        <v>0</v>
      </c>
      <c r="Z526" s="581"/>
      <c r="AA526" s="582">
        <f>ROUND(Z526*$D526,10)</f>
        <v>0</v>
      </c>
      <c r="AB526" s="581"/>
      <c r="AC526" s="582">
        <f>ROUND(AB526*$D526,10)</f>
        <v>0</v>
      </c>
      <c r="AE526" s="769">
        <f t="shared" si="365"/>
        <v>0</v>
      </c>
    </row>
    <row r="527" spans="1:31" ht="15" hidden="1" customHeight="1" x14ac:dyDescent="0.2">
      <c r="A527" s="572" t="s">
        <v>1486</v>
      </c>
      <c r="B527" s="573" t="s">
        <v>1464</v>
      </c>
      <c r="C527" s="846"/>
      <c r="D527" s="576"/>
      <c r="E527" s="577"/>
      <c r="F527" s="626">
        <f>+ROUND(SUM(F528),10)</f>
        <v>0</v>
      </c>
      <c r="G527" s="473"/>
      <c r="H527" s="568"/>
      <c r="I527" s="613"/>
      <c r="J527" s="440">
        <f>ROUND(SUM(J528),10)</f>
        <v>0</v>
      </c>
      <c r="K527" s="537"/>
      <c r="L527" s="180">
        <f>ROUND(SUM(L528),10)</f>
        <v>0</v>
      </c>
      <c r="M527" s="542"/>
      <c r="N527" s="180">
        <f>ROUND(SUM(N528),10)</f>
        <v>0</v>
      </c>
      <c r="O527" s="542"/>
      <c r="P527" s="180">
        <f>ROUND(SUM(P528),10)</f>
        <v>0</v>
      </c>
      <c r="Q527" s="542"/>
      <c r="R527" s="180">
        <f>ROUND(SUM(R528),10)</f>
        <v>0</v>
      </c>
      <c r="S527" s="542"/>
      <c r="T527" s="180">
        <f>ROUND(SUM(T528),10)</f>
        <v>0</v>
      </c>
      <c r="U527" s="568"/>
      <c r="V527" s="575"/>
      <c r="W527" s="570">
        <f>ROUND(SUM(W528),10)</f>
        <v>0</v>
      </c>
      <c r="X527" s="575"/>
      <c r="Y527" s="570">
        <f>ROUND(SUM(Y528),10)</f>
        <v>0</v>
      </c>
      <c r="Z527" s="575"/>
      <c r="AA527" s="570">
        <f>ROUND(SUM(AA528),10)</f>
        <v>0</v>
      </c>
      <c r="AB527" s="575"/>
      <c r="AC527" s="570">
        <f>ROUND(SUM(AC528),10)</f>
        <v>0</v>
      </c>
      <c r="AE527" s="769">
        <f t="shared" si="365"/>
        <v>0</v>
      </c>
    </row>
    <row r="528" spans="1:31" ht="15" hidden="1" customHeight="1" x14ac:dyDescent="0.2">
      <c r="A528" s="611" t="s">
        <v>1487</v>
      </c>
      <c r="B528" s="601" t="s">
        <v>1488</v>
      </c>
      <c r="C528" s="611" t="s">
        <v>114</v>
      </c>
      <c r="D528" s="576">
        <f>+I528+K528+M528+O528+Q528+S528</f>
        <v>0</v>
      </c>
      <c r="E528" s="577">
        <f t="shared" si="368"/>
        <v>0</v>
      </c>
      <c r="F528" s="577">
        <f>ROUND(D528*E528,10)</f>
        <v>0</v>
      </c>
      <c r="G528" s="578"/>
      <c r="I528" s="673"/>
      <c r="J528" s="674">
        <f>+ROUND(E528*I528,10)</f>
        <v>0</v>
      </c>
      <c r="K528" s="537"/>
      <c r="L528" s="445">
        <f>+ROUND(E528*K528,10)</f>
        <v>0</v>
      </c>
      <c r="M528" s="542"/>
      <c r="N528" s="445">
        <f>+ROUND(E528*M528,10)</f>
        <v>0</v>
      </c>
      <c r="O528" s="542"/>
      <c r="P528" s="445">
        <f>+ROUND(E528*O528,10)</f>
        <v>0</v>
      </c>
      <c r="Q528" s="542"/>
      <c r="R528" s="445">
        <f>+ROUND(E528*Q528,10)</f>
        <v>0</v>
      </c>
      <c r="S528" s="542"/>
      <c r="T528" s="445">
        <f>+ROUND(E528*S528,10)</f>
        <v>0</v>
      </c>
      <c r="V528" s="581"/>
      <c r="W528" s="582">
        <f>ROUND(V528*$D528,10)</f>
        <v>0</v>
      </c>
      <c r="X528" s="581"/>
      <c r="Y528" s="582">
        <f>ROUND(X528*$D528,10)</f>
        <v>0</v>
      </c>
      <c r="Z528" s="581"/>
      <c r="AA528" s="582">
        <f>ROUND(Z528*$D528,10)</f>
        <v>0</v>
      </c>
      <c r="AB528" s="581"/>
      <c r="AC528" s="582">
        <f>ROUND(AB528*$D528,10)</f>
        <v>0</v>
      </c>
      <c r="AE528" s="769">
        <f t="shared" si="365"/>
        <v>0</v>
      </c>
    </row>
    <row r="529" spans="1:31" ht="15" hidden="1" customHeight="1" x14ac:dyDescent="0.2">
      <c r="A529" s="572" t="s">
        <v>1489</v>
      </c>
      <c r="B529" s="573" t="s">
        <v>1395</v>
      </c>
      <c r="C529" s="846"/>
      <c r="D529" s="576"/>
      <c r="E529" s="577"/>
      <c r="F529" s="626">
        <f>+ROUND(SUM(F530),10)</f>
        <v>0</v>
      </c>
      <c r="G529" s="473"/>
      <c r="H529" s="568"/>
      <c r="I529" s="613"/>
      <c r="J529" s="440">
        <f>ROUND(SUM(J530),10)</f>
        <v>0</v>
      </c>
      <c r="K529" s="537"/>
      <c r="L529" s="180">
        <f>ROUND(SUM(L530),10)</f>
        <v>0</v>
      </c>
      <c r="M529" s="542"/>
      <c r="N529" s="180">
        <f>ROUND(SUM(N530),10)</f>
        <v>0</v>
      </c>
      <c r="O529" s="542"/>
      <c r="P529" s="180">
        <f>ROUND(SUM(P530),10)</f>
        <v>0</v>
      </c>
      <c r="Q529" s="542"/>
      <c r="R529" s="180">
        <f>ROUND(SUM(R530),10)</f>
        <v>0</v>
      </c>
      <c r="S529" s="542"/>
      <c r="T529" s="180">
        <f>ROUND(SUM(T530),10)</f>
        <v>0</v>
      </c>
      <c r="U529" s="568"/>
      <c r="V529" s="575"/>
      <c r="W529" s="570">
        <f>ROUND(SUM(W530),10)</f>
        <v>0</v>
      </c>
      <c r="X529" s="575"/>
      <c r="Y529" s="570">
        <f>ROUND(SUM(Y530),10)</f>
        <v>0</v>
      </c>
      <c r="Z529" s="575"/>
      <c r="AA529" s="570">
        <f>ROUND(SUM(AA530),10)</f>
        <v>0</v>
      </c>
      <c r="AB529" s="575"/>
      <c r="AC529" s="570">
        <f>ROUND(SUM(AC530),10)</f>
        <v>0</v>
      </c>
      <c r="AE529" s="769">
        <f t="shared" si="365"/>
        <v>0</v>
      </c>
    </row>
    <row r="530" spans="1:31" ht="15" hidden="1" customHeight="1" x14ac:dyDescent="0.2">
      <c r="A530" s="611" t="s">
        <v>1490</v>
      </c>
      <c r="B530" s="601" t="s">
        <v>1477</v>
      </c>
      <c r="C530" s="611" t="s">
        <v>114</v>
      </c>
      <c r="D530" s="576">
        <f>+I530+K530+M530+O530+Q530+S530</f>
        <v>0</v>
      </c>
      <c r="E530" s="577">
        <f t="shared" si="368"/>
        <v>0</v>
      </c>
      <c r="F530" s="577">
        <f>ROUND(D530*E530,10)</f>
        <v>0</v>
      </c>
      <c r="G530" s="578"/>
      <c r="I530" s="673"/>
      <c r="J530" s="674">
        <f>+ROUND(E530*I530,10)</f>
        <v>0</v>
      </c>
      <c r="K530" s="537"/>
      <c r="L530" s="445">
        <f>+ROUND(E530*K530,10)</f>
        <v>0</v>
      </c>
      <c r="M530" s="542"/>
      <c r="N530" s="445">
        <f>+ROUND(E530*M530,10)</f>
        <v>0</v>
      </c>
      <c r="O530" s="542"/>
      <c r="P530" s="445">
        <f>+ROUND(E530*O530,10)</f>
        <v>0</v>
      </c>
      <c r="Q530" s="542"/>
      <c r="R530" s="445">
        <f>+ROUND(E530*Q530,10)</f>
        <v>0</v>
      </c>
      <c r="S530" s="542"/>
      <c r="T530" s="445">
        <f>+ROUND(E530*S530,10)</f>
        <v>0</v>
      </c>
      <c r="V530" s="581"/>
      <c r="W530" s="582">
        <f>ROUND(V530*$D530,10)</f>
        <v>0</v>
      </c>
      <c r="X530" s="581"/>
      <c r="Y530" s="582">
        <f>ROUND(X530*$D530,10)</f>
        <v>0</v>
      </c>
      <c r="Z530" s="581"/>
      <c r="AA530" s="582">
        <f>ROUND(Z530*$D530,10)</f>
        <v>0</v>
      </c>
      <c r="AB530" s="581"/>
      <c r="AC530" s="582">
        <f>ROUND(AB530*$D530,10)</f>
        <v>0</v>
      </c>
      <c r="AE530" s="769">
        <f t="shared" ref="AE530:AE593" si="391">SUM(AC530,AA530,Y530,W530)-SUM(T530,R530,P530,N530,L530)</f>
        <v>0</v>
      </c>
    </row>
    <row r="531" spans="1:31" ht="15" hidden="1" customHeight="1" x14ac:dyDescent="0.2">
      <c r="A531" s="572" t="s">
        <v>1491</v>
      </c>
      <c r="B531" s="573" t="s">
        <v>1492</v>
      </c>
      <c r="C531" s="611"/>
      <c r="D531" s="576"/>
      <c r="E531" s="577"/>
      <c r="F531" s="626" t="e">
        <f>+ROUND(SUM(F532:F536),10)</f>
        <v>#REF!</v>
      </c>
      <c r="G531" s="578"/>
      <c r="I531" s="613"/>
      <c r="J531" s="440" t="e">
        <f>ROUND(SUM(J532:J536),10)</f>
        <v>#REF!</v>
      </c>
      <c r="K531" s="537"/>
      <c r="L531" s="180" t="e">
        <f>ROUND(SUM(L532:L536),10)</f>
        <v>#REF!</v>
      </c>
      <c r="M531" s="542"/>
      <c r="N531" s="180" t="e">
        <f>ROUND(SUM(N532:N536),10)</f>
        <v>#REF!</v>
      </c>
      <c r="O531" s="542"/>
      <c r="P531" s="180" t="e">
        <f>ROUND(SUM(P532:P536),10)</f>
        <v>#REF!</v>
      </c>
      <c r="Q531" s="542"/>
      <c r="R531" s="180" t="e">
        <f>ROUND(SUM(R532:R536),10)</f>
        <v>#REF!</v>
      </c>
      <c r="S531" s="542"/>
      <c r="T531" s="180" t="e">
        <f>ROUND(SUM(T532:T536),10)</f>
        <v>#REF!</v>
      </c>
      <c r="V531" s="581"/>
      <c r="W531" s="570" t="e">
        <f>ROUND(SUM(W532:W536),10)</f>
        <v>#REF!</v>
      </c>
      <c r="X531" s="581"/>
      <c r="Y531" s="570">
        <f>ROUND(SUM(Y532:Y536),10)</f>
        <v>0</v>
      </c>
      <c r="Z531" s="581"/>
      <c r="AA531" s="570">
        <f>ROUND(SUM(AA532:AA536),10)</f>
        <v>0</v>
      </c>
      <c r="AB531" s="581"/>
      <c r="AC531" s="570">
        <f>ROUND(SUM(AC532:AC536),10)</f>
        <v>0</v>
      </c>
      <c r="AE531" s="769" t="e">
        <f t="shared" si="391"/>
        <v>#REF!</v>
      </c>
    </row>
    <row r="532" spans="1:31" ht="15" hidden="1" customHeight="1" x14ac:dyDescent="0.2">
      <c r="A532" s="611" t="s">
        <v>1493</v>
      </c>
      <c r="B532" s="601" t="s">
        <v>1494</v>
      </c>
      <c r="C532" s="611" t="s">
        <v>114</v>
      </c>
      <c r="D532" s="576">
        <f>+I532+K532+M532+O532+Q532+S532</f>
        <v>0</v>
      </c>
      <c r="E532" s="577">
        <f t="shared" si="368"/>
        <v>0</v>
      </c>
      <c r="F532" s="577">
        <f>ROUND(D532*E532,10)</f>
        <v>0</v>
      </c>
      <c r="G532" s="578"/>
      <c r="I532" s="594"/>
      <c r="J532" s="580">
        <f>+ROUND(E532*I532,10)</f>
        <v>0</v>
      </c>
      <c r="K532" s="537"/>
      <c r="L532" s="445">
        <f>+ROUND(E532*K532,10)</f>
        <v>0</v>
      </c>
      <c r="M532" s="542"/>
      <c r="N532" s="445">
        <f>+ROUND(E532*M532,10)</f>
        <v>0</v>
      </c>
      <c r="O532" s="542"/>
      <c r="P532" s="445">
        <f>+ROUND(E532*O532,10)</f>
        <v>0</v>
      </c>
      <c r="Q532" s="542"/>
      <c r="R532" s="445">
        <f>+ROUND(E532*Q532,10)</f>
        <v>0</v>
      </c>
      <c r="S532" s="542"/>
      <c r="T532" s="445">
        <f>+ROUND(E532*S532,10)</f>
        <v>0</v>
      </c>
      <c r="V532" s="581"/>
      <c r="W532" s="582">
        <f>ROUND(V532*$D532,10)</f>
        <v>0</v>
      </c>
      <c r="X532" s="581"/>
      <c r="Y532" s="582">
        <f>ROUND(X532*$D532,10)</f>
        <v>0</v>
      </c>
      <c r="Z532" s="581"/>
      <c r="AA532" s="582">
        <f>ROUND(Z532*$D532,10)</f>
        <v>0</v>
      </c>
      <c r="AB532" s="581"/>
      <c r="AC532" s="582">
        <f>ROUND(AB532*$D532,10)</f>
        <v>0</v>
      </c>
      <c r="AE532" s="769">
        <f t="shared" si="391"/>
        <v>0</v>
      </c>
    </row>
    <row r="533" spans="1:31" ht="15" hidden="1" customHeight="1" x14ac:dyDescent="0.2">
      <c r="A533" s="611" t="s">
        <v>1495</v>
      </c>
      <c r="B533" s="601" t="s">
        <v>1496</v>
      </c>
      <c r="C533" s="611" t="s">
        <v>114</v>
      </c>
      <c r="D533" s="576">
        <f>+I533+K533+M533+O533+Q533+S533</f>
        <v>0</v>
      </c>
      <c r="E533" s="577" t="e">
        <f t="shared" si="368"/>
        <v>#REF!</v>
      </c>
      <c r="F533" s="577" t="e">
        <f>ROUND(D533*E533,10)</f>
        <v>#REF!</v>
      </c>
      <c r="G533" s="578"/>
      <c r="I533" s="584"/>
      <c r="J533" s="585" t="e">
        <f>+ROUND(E533*I533,10)</f>
        <v>#REF!</v>
      </c>
      <c r="K533" s="537"/>
      <c r="L533" s="445" t="e">
        <f>+ROUND(E533*K533,10)</f>
        <v>#REF!</v>
      </c>
      <c r="M533" s="542"/>
      <c r="N533" s="445" t="e">
        <f>+ROUND(E533*M533,10)</f>
        <v>#REF!</v>
      </c>
      <c r="O533" s="542"/>
      <c r="P533" s="445" t="e">
        <f>+ROUND(E533*O533,10)</f>
        <v>#REF!</v>
      </c>
      <c r="Q533" s="542"/>
      <c r="R533" s="445" t="e">
        <f>+ROUND(E533*Q533,10)</f>
        <v>#REF!</v>
      </c>
      <c r="S533" s="542"/>
      <c r="T533" s="445" t="e">
        <f>+ROUND(E533*S533,10)</f>
        <v>#REF!</v>
      </c>
      <c r="V533" s="581" t="e">
        <f>+'10,4,2 Escalera en Granito'!I19</f>
        <v>#REF!</v>
      </c>
      <c r="W533" s="582" t="e">
        <f>ROUND(V533*$D533,10)</f>
        <v>#REF!</v>
      </c>
      <c r="X533" s="581">
        <f>+'10,4,2 Escalera en Granito'!I50</f>
        <v>20578.060000000001</v>
      </c>
      <c r="Y533" s="582">
        <f>ROUND(X533*$D533,10)</f>
        <v>0</v>
      </c>
      <c r="Z533" s="581">
        <f>+'10,4,2 Escalera en Granito'!I30</f>
        <v>371</v>
      </c>
      <c r="AA533" s="582">
        <f>ROUND(Z533*$D533,10)</f>
        <v>0</v>
      </c>
      <c r="AB533" s="581"/>
      <c r="AC533" s="582">
        <f>ROUND(AB533*$D533,10)</f>
        <v>0</v>
      </c>
      <c r="AE533" s="769" t="e">
        <f t="shared" si="391"/>
        <v>#REF!</v>
      </c>
    </row>
    <row r="534" spans="1:31" ht="15" hidden="1" customHeight="1" x14ac:dyDescent="0.2">
      <c r="A534" s="611" t="s">
        <v>1497</v>
      </c>
      <c r="B534" s="601" t="s">
        <v>1498</v>
      </c>
      <c r="C534" s="611" t="s">
        <v>114</v>
      </c>
      <c r="D534" s="576">
        <f>+I534+K534+M534+O534+Q534+S534</f>
        <v>0</v>
      </c>
      <c r="E534" s="577">
        <f t="shared" si="368"/>
        <v>0</v>
      </c>
      <c r="F534" s="577">
        <f>ROUND(D534*E534,10)</f>
        <v>0</v>
      </c>
      <c r="G534" s="578"/>
      <c r="I534" s="584"/>
      <c r="J534" s="585">
        <f>+ROUND(E534*I534,10)</f>
        <v>0</v>
      </c>
      <c r="K534" s="537"/>
      <c r="L534" s="445">
        <f>+ROUND(E534*K534,10)</f>
        <v>0</v>
      </c>
      <c r="M534" s="542"/>
      <c r="N534" s="445">
        <f>+ROUND(E534*M534,10)</f>
        <v>0</v>
      </c>
      <c r="O534" s="542"/>
      <c r="P534" s="445">
        <f>+ROUND(E534*O534,10)</f>
        <v>0</v>
      </c>
      <c r="Q534" s="542"/>
      <c r="R534" s="445">
        <f>+ROUND(E534*Q534,10)</f>
        <v>0</v>
      </c>
      <c r="S534" s="542"/>
      <c r="T534" s="445">
        <f>+ROUND(E534*S534,10)</f>
        <v>0</v>
      </c>
      <c r="V534" s="581"/>
      <c r="W534" s="582">
        <f>ROUND(V534*$D534,10)</f>
        <v>0</v>
      </c>
      <c r="X534" s="581"/>
      <c r="Y534" s="582">
        <f>ROUND(X534*$D534,10)</f>
        <v>0</v>
      </c>
      <c r="Z534" s="581"/>
      <c r="AA534" s="582">
        <f>ROUND(Z534*$D534,10)</f>
        <v>0</v>
      </c>
      <c r="AB534" s="581"/>
      <c r="AC534" s="582">
        <f>ROUND(AB534*$D534,10)</f>
        <v>0</v>
      </c>
      <c r="AE534" s="769">
        <f t="shared" si="391"/>
        <v>0</v>
      </c>
    </row>
    <row r="535" spans="1:31" ht="15.75" hidden="1" customHeight="1" x14ac:dyDescent="0.2">
      <c r="A535" s="611" t="s">
        <v>1499</v>
      </c>
      <c r="B535" s="601" t="s">
        <v>1500</v>
      </c>
      <c r="C535" s="611" t="s">
        <v>114</v>
      </c>
      <c r="D535" s="576">
        <f>+I535+K535+M535+O535+Q535+S535</f>
        <v>0</v>
      </c>
      <c r="E535" s="577">
        <f t="shared" si="368"/>
        <v>0</v>
      </c>
      <c r="F535" s="577">
        <f>ROUND(D535*E535,10)</f>
        <v>0</v>
      </c>
      <c r="G535" s="578"/>
      <c r="I535" s="584"/>
      <c r="J535" s="585">
        <f>+ROUND(E535*I535,10)</f>
        <v>0</v>
      </c>
      <c r="K535" s="537"/>
      <c r="L535" s="445">
        <f>+ROUND(E535*K535,10)</f>
        <v>0</v>
      </c>
      <c r="M535" s="542"/>
      <c r="N535" s="445">
        <f>+ROUND(E535*M535,10)</f>
        <v>0</v>
      </c>
      <c r="O535" s="542"/>
      <c r="P535" s="445">
        <f>+ROUND(E535*O535,10)</f>
        <v>0</v>
      </c>
      <c r="Q535" s="542"/>
      <c r="R535" s="445">
        <f>+ROUND(E535*Q535,10)</f>
        <v>0</v>
      </c>
      <c r="S535" s="542"/>
      <c r="T535" s="445">
        <f>+ROUND(E535*S535,10)</f>
        <v>0</v>
      </c>
      <c r="V535" s="581"/>
      <c r="W535" s="582">
        <f>ROUND(V535*$D535,10)</f>
        <v>0</v>
      </c>
      <c r="X535" s="581"/>
      <c r="Y535" s="582">
        <f>ROUND(X535*$D535,10)</f>
        <v>0</v>
      </c>
      <c r="Z535" s="581"/>
      <c r="AA535" s="582">
        <f>ROUND(Z535*$D535,10)</f>
        <v>0</v>
      </c>
      <c r="AB535" s="581"/>
      <c r="AC535" s="582">
        <f>ROUND(AB535*$D535,10)</f>
        <v>0</v>
      </c>
      <c r="AE535" s="769">
        <f t="shared" si="391"/>
        <v>0</v>
      </c>
    </row>
    <row r="536" spans="1:31" s="595" customFormat="1" ht="18" hidden="1" customHeight="1" x14ac:dyDescent="0.2">
      <c r="A536" s="611" t="s">
        <v>1501</v>
      </c>
      <c r="B536" s="601" t="s">
        <v>1502</v>
      </c>
      <c r="C536" s="611" t="s">
        <v>114</v>
      </c>
      <c r="D536" s="576">
        <f>+I536+K536+M536+O536+Q536+S536</f>
        <v>0</v>
      </c>
      <c r="E536" s="577">
        <f t="shared" si="368"/>
        <v>0</v>
      </c>
      <c r="F536" s="577">
        <f>ROUND(D536*E536,10)</f>
        <v>0</v>
      </c>
      <c r="G536" s="578"/>
      <c r="H536" s="552"/>
      <c r="I536" s="597"/>
      <c r="J536" s="598">
        <f>+ROUND(E536*I536,10)</f>
        <v>0</v>
      </c>
      <c r="K536" s="537"/>
      <c r="L536" s="445">
        <f>+ROUND(E536*K536,10)</f>
        <v>0</v>
      </c>
      <c r="M536" s="542"/>
      <c r="N536" s="445">
        <f>+ROUND(E536*M536,10)</f>
        <v>0</v>
      </c>
      <c r="O536" s="542"/>
      <c r="P536" s="445">
        <f>+ROUND(E536*O536,10)</f>
        <v>0</v>
      </c>
      <c r="Q536" s="542"/>
      <c r="R536" s="445">
        <f>+ROUND(E536*Q536,10)</f>
        <v>0</v>
      </c>
      <c r="S536" s="542"/>
      <c r="T536" s="445">
        <f>+ROUND(E536*S536,10)</f>
        <v>0</v>
      </c>
      <c r="U536" s="552"/>
      <c r="V536" s="581"/>
      <c r="W536" s="582">
        <f>ROUND(V536*$D536,10)</f>
        <v>0</v>
      </c>
      <c r="X536" s="581"/>
      <c r="Y536" s="582">
        <f>ROUND(X536*$D536,10)</f>
        <v>0</v>
      </c>
      <c r="Z536" s="581"/>
      <c r="AA536" s="582">
        <f>ROUND(Z536*$D536,10)</f>
        <v>0</v>
      </c>
      <c r="AB536" s="581"/>
      <c r="AC536" s="582">
        <f>ROUND(AB536*$D536,10)</f>
        <v>0</v>
      </c>
      <c r="AD536" s="912"/>
      <c r="AE536" s="769">
        <f t="shared" si="391"/>
        <v>0</v>
      </c>
    </row>
    <row r="537" spans="1:31" ht="15" customHeight="1" x14ac:dyDescent="0.2">
      <c r="A537" s="572" t="s">
        <v>1503</v>
      </c>
      <c r="B537" s="573" t="s">
        <v>1504</v>
      </c>
      <c r="C537" s="611"/>
      <c r="D537" s="576"/>
      <c r="E537" s="577"/>
      <c r="F537" s="626" t="e">
        <f>+ROUND(SUM(F538:F542),10)</f>
        <v>#REF!</v>
      </c>
      <c r="G537" s="578"/>
      <c r="I537" s="613"/>
      <c r="J537" s="440" t="e">
        <f>ROUND(SUM(J538:J542),10)</f>
        <v>#REF!</v>
      </c>
      <c r="K537" s="537"/>
      <c r="L537" s="180" t="e">
        <f>ROUND(SUM(L538:L542),10)</f>
        <v>#REF!</v>
      </c>
      <c r="M537" s="542"/>
      <c r="N537" s="180" t="e">
        <f>ROUND(SUM(N538:N542),10)</f>
        <v>#REF!</v>
      </c>
      <c r="O537" s="542"/>
      <c r="P537" s="180" t="e">
        <f>ROUND(SUM(P538:P542),10)</f>
        <v>#REF!</v>
      </c>
      <c r="Q537" s="542"/>
      <c r="R537" s="180" t="e">
        <f>ROUND(SUM(R538:R542),10)</f>
        <v>#REF!</v>
      </c>
      <c r="S537" s="542"/>
      <c r="T537" s="180" t="e">
        <f>ROUND(SUM(T538:T542),10)</f>
        <v>#REF!</v>
      </c>
      <c r="V537" s="581"/>
      <c r="W537" s="570" t="e">
        <f>ROUND(SUM(W538:W542),10)</f>
        <v>#REF!</v>
      </c>
      <c r="X537" s="581"/>
      <c r="Y537" s="570" t="e">
        <f>ROUND(SUM(Y538:Y542),10)</f>
        <v>#REF!</v>
      </c>
      <c r="Z537" s="581"/>
      <c r="AA537" s="570" t="e">
        <f>ROUND(SUM(AA538:AA542),10)</f>
        <v>#REF!</v>
      </c>
      <c r="AB537" s="581"/>
      <c r="AC537" s="570" t="e">
        <f>ROUND(SUM(AC538:AC542),10)</f>
        <v>#REF!</v>
      </c>
      <c r="AE537" s="769" t="e">
        <f t="shared" si="391"/>
        <v>#REF!</v>
      </c>
    </row>
    <row r="538" spans="1:31" ht="15" hidden="1" customHeight="1" x14ac:dyDescent="0.2">
      <c r="A538" s="611" t="s">
        <v>1505</v>
      </c>
      <c r="B538" s="601" t="s">
        <v>1506</v>
      </c>
      <c r="C538" s="611" t="s">
        <v>114</v>
      </c>
      <c r="D538" s="576">
        <f>+I538+K538+M538+O538+Q538+S538</f>
        <v>0</v>
      </c>
      <c r="E538" s="577">
        <f t="shared" si="368"/>
        <v>0</v>
      </c>
      <c r="F538" s="577">
        <f>ROUND(D538*E538,10)</f>
        <v>0</v>
      </c>
      <c r="G538" s="578"/>
      <c r="I538" s="594"/>
      <c r="J538" s="580">
        <f>+ROUND(E538*I538,10)</f>
        <v>0</v>
      </c>
      <c r="K538" s="537"/>
      <c r="L538" s="445">
        <f>+ROUND(E538*K538,10)</f>
        <v>0</v>
      </c>
      <c r="M538" s="542"/>
      <c r="N538" s="445">
        <f>+ROUND(E538*M538,10)</f>
        <v>0</v>
      </c>
      <c r="O538" s="542"/>
      <c r="P538" s="445">
        <f>+ROUND(E538*O538,10)</f>
        <v>0</v>
      </c>
      <c r="Q538" s="542"/>
      <c r="R538" s="445">
        <f>+ROUND(E538*Q538,10)</f>
        <v>0</v>
      </c>
      <c r="S538" s="542"/>
      <c r="T538" s="445">
        <f>+ROUND(E538*S538,10)</f>
        <v>0</v>
      </c>
      <c r="V538" s="581"/>
      <c r="W538" s="582">
        <f>ROUND(V538*$D538,10)</f>
        <v>0</v>
      </c>
      <c r="X538" s="581"/>
      <c r="Y538" s="582">
        <f>ROUND(X538*$D538,10)</f>
        <v>0</v>
      </c>
      <c r="Z538" s="581"/>
      <c r="AA538" s="582">
        <f>ROUND(Z538*$D538,10)</f>
        <v>0</v>
      </c>
      <c r="AB538" s="581"/>
      <c r="AC538" s="582">
        <f>ROUND(AB538*$D538,10)</f>
        <v>0</v>
      </c>
      <c r="AE538" s="769">
        <f t="shared" si="391"/>
        <v>0</v>
      </c>
    </row>
    <row r="539" spans="1:31" ht="15" hidden="1" customHeight="1" x14ac:dyDescent="0.2">
      <c r="A539" s="611" t="s">
        <v>1507</v>
      </c>
      <c r="B539" s="601" t="s">
        <v>1508</v>
      </c>
      <c r="C539" s="611" t="s">
        <v>114</v>
      </c>
      <c r="D539" s="576">
        <f>+I539+K539+M539+O539+Q539+S539</f>
        <v>0</v>
      </c>
      <c r="E539" s="577">
        <f t="shared" si="368"/>
        <v>0</v>
      </c>
      <c r="F539" s="577">
        <f>ROUND(D539*E539,10)</f>
        <v>0</v>
      </c>
      <c r="G539" s="578"/>
      <c r="I539" s="584"/>
      <c r="J539" s="585">
        <f>+ROUND(E539*I539,10)</f>
        <v>0</v>
      </c>
      <c r="K539" s="537"/>
      <c r="L539" s="445">
        <f>+ROUND(E539*K539,10)</f>
        <v>0</v>
      </c>
      <c r="M539" s="542"/>
      <c r="N539" s="445">
        <f>+ROUND(E539*M539,10)</f>
        <v>0</v>
      </c>
      <c r="O539" s="542"/>
      <c r="P539" s="445">
        <f>+ROUND(E539*O539,10)</f>
        <v>0</v>
      </c>
      <c r="Q539" s="542"/>
      <c r="R539" s="445">
        <f>+ROUND(E539*Q539,10)</f>
        <v>0</v>
      </c>
      <c r="S539" s="542"/>
      <c r="T539" s="445">
        <f>+ROUND(E539*S539,10)</f>
        <v>0</v>
      </c>
      <c r="V539" s="581"/>
      <c r="W539" s="582">
        <f>ROUND(V539*$D539,10)</f>
        <v>0</v>
      </c>
      <c r="X539" s="581"/>
      <c r="Y539" s="582">
        <f>ROUND(X539*$D539,10)</f>
        <v>0</v>
      </c>
      <c r="Z539" s="581"/>
      <c r="AA539" s="582">
        <f>ROUND(Z539*$D539,10)</f>
        <v>0</v>
      </c>
      <c r="AB539" s="581"/>
      <c r="AC539" s="582">
        <f>ROUND(AB539*$D539,10)</f>
        <v>0</v>
      </c>
      <c r="AE539" s="769">
        <f t="shared" si="391"/>
        <v>0</v>
      </c>
    </row>
    <row r="540" spans="1:31" ht="15" customHeight="1" x14ac:dyDescent="0.2">
      <c r="A540" s="611" t="s">
        <v>1509</v>
      </c>
      <c r="B540" s="601" t="s">
        <v>1510</v>
      </c>
      <c r="C540" s="611" t="s">
        <v>114</v>
      </c>
      <c r="D540" s="576">
        <f>+I540+K540+M540+O540+Q540+S540</f>
        <v>26</v>
      </c>
      <c r="E540" s="577" t="e">
        <f t="shared" si="368"/>
        <v>#REF!</v>
      </c>
      <c r="F540" s="577" t="e">
        <f>ROUND(D540*E540,10)</f>
        <v>#REF!</v>
      </c>
      <c r="G540" s="578"/>
      <c r="I540" s="584"/>
      <c r="J540" s="585" t="e">
        <f>+ROUND(E540*I540,10)</f>
        <v>#REF!</v>
      </c>
      <c r="K540" s="537">
        <v>18</v>
      </c>
      <c r="L540" s="445" t="e">
        <f>+ROUND(E540*K540,10)</f>
        <v>#REF!</v>
      </c>
      <c r="M540" s="542">
        <v>2</v>
      </c>
      <c r="N540" s="445" t="e">
        <f>+ROUND(E540*M540,10)</f>
        <v>#REF!</v>
      </c>
      <c r="O540" s="542">
        <v>6</v>
      </c>
      <c r="P540" s="445" t="e">
        <f>+ROUND(E540*O540,10)</f>
        <v>#REF!</v>
      </c>
      <c r="Q540" s="542"/>
      <c r="R540" s="445" t="e">
        <f>+ROUND(E540*Q540,10)</f>
        <v>#REF!</v>
      </c>
      <c r="S540" s="542"/>
      <c r="T540" s="445" t="e">
        <f>+ROUND(E540*S540,10)</f>
        <v>#REF!</v>
      </c>
      <c r="V540" s="581" t="e">
        <f>+#REF!</f>
        <v>#REF!</v>
      </c>
      <c r="W540" s="582" t="e">
        <f>ROUND(V540*$D540,10)</f>
        <v>#REF!</v>
      </c>
      <c r="X540" s="581" t="e">
        <f>+#REF!</f>
        <v>#REF!</v>
      </c>
      <c r="Y540" s="582" t="e">
        <f>ROUND(X540*$D540,10)</f>
        <v>#REF!</v>
      </c>
      <c r="Z540" s="581" t="e">
        <f>+#REF!</f>
        <v>#REF!</v>
      </c>
      <c r="AA540" s="582" t="e">
        <f>ROUND(Z540*$D540,10)</f>
        <v>#REF!</v>
      </c>
      <c r="AB540" s="581" t="e">
        <f>+#REF!</f>
        <v>#REF!</v>
      </c>
      <c r="AC540" s="582" t="e">
        <f>ROUND(AB540*$D540,10)</f>
        <v>#REF!</v>
      </c>
      <c r="AE540" s="769" t="e">
        <f t="shared" si="391"/>
        <v>#REF!</v>
      </c>
    </row>
    <row r="541" spans="1:31" ht="15.75" hidden="1" customHeight="1" x14ac:dyDescent="0.2">
      <c r="A541" s="611" t="s">
        <v>1511</v>
      </c>
      <c r="B541" s="601" t="s">
        <v>1512</v>
      </c>
      <c r="C541" s="611" t="s">
        <v>114</v>
      </c>
      <c r="D541" s="576">
        <f>+I541+K541+M541+O541+Q541+S541</f>
        <v>0</v>
      </c>
      <c r="E541" s="577">
        <f t="shared" si="368"/>
        <v>0</v>
      </c>
      <c r="F541" s="577">
        <f>ROUND(D541*E541,10)</f>
        <v>0</v>
      </c>
      <c r="G541" s="578"/>
      <c r="I541" s="584"/>
      <c r="J541" s="585">
        <f>+ROUND(E541*I541,10)</f>
        <v>0</v>
      </c>
      <c r="K541" s="537"/>
      <c r="L541" s="445">
        <f>+ROUND(E541*K541,10)</f>
        <v>0</v>
      </c>
      <c r="M541" s="542"/>
      <c r="N541" s="445">
        <f>+ROUND(E541*M541,10)</f>
        <v>0</v>
      </c>
      <c r="O541" s="542"/>
      <c r="P541" s="445">
        <f>+ROUND(E541*O541,10)</f>
        <v>0</v>
      </c>
      <c r="Q541" s="542"/>
      <c r="R541" s="445">
        <f>+ROUND(E541*Q541,10)</f>
        <v>0</v>
      </c>
      <c r="S541" s="542"/>
      <c r="T541" s="445">
        <f>+ROUND(E541*S541,10)</f>
        <v>0</v>
      </c>
      <c r="V541" s="581"/>
      <c r="W541" s="582">
        <f>ROUND(V541*$D541,10)</f>
        <v>0</v>
      </c>
      <c r="X541" s="581"/>
      <c r="Y541" s="582">
        <f>ROUND(X541*$D541,10)</f>
        <v>0</v>
      </c>
      <c r="Z541" s="581"/>
      <c r="AA541" s="582">
        <f>ROUND(Z541*$D541,10)</f>
        <v>0</v>
      </c>
      <c r="AB541" s="581"/>
      <c r="AC541" s="582">
        <f>ROUND(AB541*$D541,10)</f>
        <v>0</v>
      </c>
      <c r="AE541" s="769">
        <f t="shared" si="391"/>
        <v>0</v>
      </c>
    </row>
    <row r="542" spans="1:31" s="595" customFormat="1" ht="18" hidden="1" customHeight="1" thickBot="1" x14ac:dyDescent="0.25">
      <c r="A542" s="611" t="s">
        <v>1513</v>
      </c>
      <c r="B542" s="601" t="s">
        <v>1514</v>
      </c>
      <c r="C542" s="611" t="s">
        <v>114</v>
      </c>
      <c r="D542" s="576">
        <f>+I542+K542+M542+O542+Q542+S542</f>
        <v>0</v>
      </c>
      <c r="E542" s="577">
        <f t="shared" si="368"/>
        <v>0</v>
      </c>
      <c r="F542" s="577">
        <f>ROUND(D542*E542,10)</f>
        <v>0</v>
      </c>
      <c r="G542" s="578"/>
      <c r="H542" s="552"/>
      <c r="I542" s="602"/>
      <c r="J542" s="603">
        <f>+ROUND(E542*I542,10)</f>
        <v>0</v>
      </c>
      <c r="K542" s="537"/>
      <c r="L542" s="445">
        <f>+ROUND(E542*K542,10)</f>
        <v>0</v>
      </c>
      <c r="M542" s="542"/>
      <c r="N542" s="445">
        <f>+ROUND(E542*M542,10)</f>
        <v>0</v>
      </c>
      <c r="O542" s="542"/>
      <c r="P542" s="445">
        <f>+ROUND(E542*O542,10)</f>
        <v>0</v>
      </c>
      <c r="Q542" s="542"/>
      <c r="R542" s="445">
        <f>+ROUND(E542*Q542,10)</f>
        <v>0</v>
      </c>
      <c r="S542" s="542"/>
      <c r="T542" s="445">
        <f>+ROUND(E542*S542,10)</f>
        <v>0</v>
      </c>
      <c r="U542" s="552"/>
      <c r="V542" s="581"/>
      <c r="W542" s="582">
        <f>ROUND(V542*$D542,10)</f>
        <v>0</v>
      </c>
      <c r="X542" s="581"/>
      <c r="Y542" s="582">
        <f>ROUND(X542*$D542,10)</f>
        <v>0</v>
      </c>
      <c r="Z542" s="581"/>
      <c r="AA542" s="582">
        <f>ROUND(Z542*$D542,10)</f>
        <v>0</v>
      </c>
      <c r="AB542" s="581"/>
      <c r="AC542" s="582">
        <f>ROUND(AB542*$D542,10)</f>
        <v>0</v>
      </c>
      <c r="AD542" s="912"/>
      <c r="AE542" s="769">
        <f t="shared" si="391"/>
        <v>0</v>
      </c>
    </row>
    <row r="543" spans="1:31" s="595" customFormat="1" ht="18" hidden="1" customHeight="1" thickTop="1" x14ac:dyDescent="0.2">
      <c r="A543" s="611"/>
      <c r="B543" s="601"/>
      <c r="C543" s="611"/>
      <c r="D543" s="576"/>
      <c r="E543" s="577"/>
      <c r="F543" s="577"/>
      <c r="G543" s="578"/>
      <c r="H543" s="552"/>
      <c r="I543" s="604"/>
      <c r="J543" s="635"/>
      <c r="K543" s="537"/>
      <c r="L543" s="445"/>
      <c r="M543" s="542"/>
      <c r="N543" s="445"/>
      <c r="O543" s="542"/>
      <c r="P543" s="445"/>
      <c r="Q543" s="542"/>
      <c r="R543" s="445"/>
      <c r="S543" s="542"/>
      <c r="T543" s="445"/>
      <c r="U543" s="552"/>
      <c r="V543" s="581"/>
      <c r="W543" s="582"/>
      <c r="X543" s="581"/>
      <c r="Y543" s="582"/>
      <c r="Z543" s="581"/>
      <c r="AA543" s="582"/>
      <c r="AB543" s="581"/>
      <c r="AC543" s="582"/>
      <c r="AD543" s="912"/>
      <c r="AE543" s="769">
        <f t="shared" si="391"/>
        <v>0</v>
      </c>
    </row>
    <row r="544" spans="1:31" s="666" customFormat="1" ht="6.75" customHeight="1" thickBot="1" x14ac:dyDescent="0.25">
      <c r="A544" s="919"/>
      <c r="B544" s="920"/>
      <c r="C544" s="919"/>
      <c r="D544" s="655"/>
      <c r="E544" s="656"/>
      <c r="F544" s="656"/>
      <c r="G544" s="656"/>
      <c r="H544" s="657"/>
      <c r="I544" s="658"/>
      <c r="J544" s="658"/>
      <c r="K544" s="659"/>
      <c r="L544" s="658"/>
      <c r="M544" s="174"/>
      <c r="N544" s="658"/>
      <c r="O544" s="174"/>
      <c r="P544" s="658"/>
      <c r="Q544" s="721"/>
      <c r="R544" s="658"/>
      <c r="S544" s="174"/>
      <c r="T544" s="658"/>
      <c r="U544" s="657"/>
      <c r="V544" s="667"/>
      <c r="W544" s="667"/>
      <c r="X544" s="667"/>
      <c r="Y544" s="667"/>
      <c r="Z544" s="667"/>
      <c r="AA544" s="667"/>
      <c r="AB544" s="667"/>
      <c r="AC544" s="667"/>
      <c r="AD544" s="921"/>
      <c r="AE544" s="769"/>
    </row>
    <row r="545" spans="1:31" ht="30" customHeight="1" thickTop="1" thickBot="1" x14ac:dyDescent="0.25">
      <c r="A545" s="564">
        <v>11</v>
      </c>
      <c r="B545" s="1068" t="s">
        <v>1515</v>
      </c>
      <c r="C545" s="1069"/>
      <c r="D545" s="1069"/>
      <c r="E545" s="1069"/>
      <c r="F545" s="1070"/>
      <c r="G545" s="180" t="e">
        <f>ROUND(F546+F554+F559+F566+F570+F572,10)</f>
        <v>#REF!</v>
      </c>
      <c r="H545" s="568"/>
      <c r="I545" s="616"/>
      <c r="J545" s="439" t="e">
        <f>+ROUND(J546++J554+J559+J566+J570+J572,10)</f>
        <v>#REF!</v>
      </c>
      <c r="K545" s="617"/>
      <c r="L545" s="180" t="e">
        <f>+ROUND(L546++L554+L559+L566+L570+L572,10)</f>
        <v>#REF!</v>
      </c>
      <c r="M545" s="180"/>
      <c r="N545" s="180" t="e">
        <f>+ROUND(N546++N554+N559+N566+N570+N572,10)</f>
        <v>#REF!</v>
      </c>
      <c r="O545" s="180"/>
      <c r="P545" s="180" t="e">
        <f>+ROUND(P546++P554+P559+P566+P570+P572,10)</f>
        <v>#REF!</v>
      </c>
      <c r="Q545" s="180"/>
      <c r="R545" s="180" t="e">
        <f>+ROUND(R546++R554+R559+R566+R570+R572,10)</f>
        <v>#REF!</v>
      </c>
      <c r="S545" s="180"/>
      <c r="T545" s="180" t="e">
        <f>+ROUND(T546++T554+T559+T566+T570+T572,10)</f>
        <v>#REF!</v>
      </c>
      <c r="U545" s="568"/>
      <c r="V545" s="569" t="e">
        <f>W545/$G$545</f>
        <v>#REF!</v>
      </c>
      <c r="W545" s="570" t="e">
        <f>ROUND(W546+W553+W559+W566+W570+W572,10)</f>
        <v>#REF!</v>
      </c>
      <c r="X545" s="569" t="e">
        <f>Y545/$G$545</f>
        <v>#REF!</v>
      </c>
      <c r="Y545" s="570" t="e">
        <f>ROUND(Y546+Y553+Y559+Y566+Y570+Y572,10)</f>
        <v>#REF!</v>
      </c>
      <c r="Z545" s="569" t="e">
        <f>AA545/$G$545</f>
        <v>#REF!</v>
      </c>
      <c r="AA545" s="570" t="e">
        <f>ROUND(AA546+AA553+AA559+AA566+AA570+AA572,10)</f>
        <v>#REF!</v>
      </c>
      <c r="AB545" s="569" t="e">
        <f>AC545/$G$545</f>
        <v>#REF!</v>
      </c>
      <c r="AC545" s="570" t="e">
        <f>ROUND(AC546+AC553+AC559+AC566+AC570+AC572,10)</f>
        <v>#REF!</v>
      </c>
      <c r="AE545" s="769" t="e">
        <f t="shared" si="391"/>
        <v>#REF!</v>
      </c>
    </row>
    <row r="546" spans="1:31" ht="30" customHeight="1" thickTop="1" x14ac:dyDescent="0.2">
      <c r="A546" s="572" t="s">
        <v>1516</v>
      </c>
      <c r="B546" s="573" t="s">
        <v>1517</v>
      </c>
      <c r="C546" s="846"/>
      <c r="D546" s="576"/>
      <c r="E546" s="180"/>
      <c r="F546" s="180" t="e">
        <f>+ROUND(SUM(F547:F552),10)</f>
        <v>#REF!</v>
      </c>
      <c r="G546" s="473"/>
      <c r="H546" s="568"/>
      <c r="I546" s="618"/>
      <c r="J546" s="439" t="e">
        <f>ROUND(SUM(J547:J552),10)</f>
        <v>#REF!</v>
      </c>
      <c r="K546" s="539"/>
      <c r="L546" s="180" t="e">
        <f>ROUND(SUM(L547:L552),10)</f>
        <v>#REF!</v>
      </c>
      <c r="M546" s="473"/>
      <c r="N546" s="180" t="e">
        <f>ROUND(SUM(N547:N552),10)</f>
        <v>#REF!</v>
      </c>
      <c r="O546" s="473"/>
      <c r="P546" s="180" t="e">
        <f>ROUND(SUM(P547:P552),10)</f>
        <v>#REF!</v>
      </c>
      <c r="Q546" s="473"/>
      <c r="R546" s="180" t="e">
        <f>ROUND(SUM(R547:R552),10)</f>
        <v>#REF!</v>
      </c>
      <c r="S546" s="473"/>
      <c r="T546" s="180" t="e">
        <f>ROUND(SUM(T547:T552),10)</f>
        <v>#REF!</v>
      </c>
      <c r="U546" s="568"/>
      <c r="V546" s="575"/>
      <c r="W546" s="570" t="e">
        <f>ROUND(SUM(W547:W552),10)</f>
        <v>#REF!</v>
      </c>
      <c r="X546" s="575"/>
      <c r="Y546" s="570" t="e">
        <f>ROUND(SUM(Y547:Y552),10)</f>
        <v>#REF!</v>
      </c>
      <c r="Z546" s="575"/>
      <c r="AA546" s="570" t="e">
        <f>ROUND(SUM(AA547:AA552),10)</f>
        <v>#REF!</v>
      </c>
      <c r="AB546" s="575"/>
      <c r="AC546" s="570" t="e">
        <f>ROUND(SUM(AC547:AC552),10)</f>
        <v>#REF!</v>
      </c>
      <c r="AE546" s="769" t="e">
        <f t="shared" si="391"/>
        <v>#REF!</v>
      </c>
    </row>
    <row r="547" spans="1:31" ht="15" customHeight="1" x14ac:dyDescent="0.2">
      <c r="A547" s="611" t="s">
        <v>1518</v>
      </c>
      <c r="B547" s="601" t="s">
        <v>1519</v>
      </c>
      <c r="C547" s="611" t="s">
        <v>130</v>
      </c>
      <c r="D547" s="576">
        <f t="shared" ref="D547:D552" si="392">+I547+K547+M547+O547+Q547+S547</f>
        <v>33.44</v>
      </c>
      <c r="E547" s="577" t="e">
        <f t="shared" ref="E547:E577" si="393">V547+X547+Z547+AB547</f>
        <v>#REF!</v>
      </c>
      <c r="F547" s="577" t="e">
        <f t="shared" ref="F547:F552" si="394">ROUND(D547*E547,10)</f>
        <v>#REF!</v>
      </c>
      <c r="G547" s="578"/>
      <c r="I547" s="594"/>
      <c r="J547" s="580" t="e">
        <f t="shared" ref="J547:J552" si="395">+ROUND(E547*I547,10)</f>
        <v>#REF!</v>
      </c>
      <c r="K547" s="538"/>
      <c r="L547" s="445" t="e">
        <f t="shared" ref="L547:L552" si="396">+ROUND(E547*K547,10)</f>
        <v>#REF!</v>
      </c>
      <c r="M547" s="542"/>
      <c r="N547" s="445" t="e">
        <f t="shared" ref="N547:N552" si="397">+ROUND(E547*M547,10)</f>
        <v>#REF!</v>
      </c>
      <c r="O547" s="542">
        <v>33.44</v>
      </c>
      <c r="P547" s="445" t="e">
        <f t="shared" ref="P547:P552" si="398">+ROUND(E547*O547,10)</f>
        <v>#REF!</v>
      </c>
      <c r="Q547" s="542"/>
      <c r="R547" s="445" t="e">
        <f t="shared" ref="R547:R552" si="399">+ROUND(E547*Q547,10)</f>
        <v>#REF!</v>
      </c>
      <c r="S547" s="542"/>
      <c r="T547" s="445" t="e">
        <f t="shared" ref="T547:T552" si="400">+ROUND(E547*S547,10)</f>
        <v>#REF!</v>
      </c>
      <c r="V547" s="581" t="e">
        <f>+#REF!</f>
        <v>#REF!</v>
      </c>
      <c r="W547" s="582" t="e">
        <f t="shared" ref="W547:W552" si="401">ROUND(V547*$D547,10)</f>
        <v>#REF!</v>
      </c>
      <c r="X547" s="581" t="e">
        <f>+#REF!</f>
        <v>#REF!</v>
      </c>
      <c r="Y547" s="582" t="e">
        <f t="shared" ref="Y547:Y552" si="402">ROUND(X547*$D547,10)</f>
        <v>#REF!</v>
      </c>
      <c r="Z547" s="581" t="e">
        <f>+#REF!</f>
        <v>#REF!</v>
      </c>
      <c r="AA547" s="582" t="e">
        <f t="shared" ref="AA547:AA552" si="403">ROUND(Z547*$D547,10)</f>
        <v>#REF!</v>
      </c>
      <c r="AB547" s="581" t="e">
        <f>+#REF!</f>
        <v>#REF!</v>
      </c>
      <c r="AC547" s="582" t="e">
        <f t="shared" ref="AC547:AC552" si="404">ROUND(AB547*$D547,10)</f>
        <v>#REF!</v>
      </c>
      <c r="AE547" s="769" t="e">
        <f t="shared" si="391"/>
        <v>#REF!</v>
      </c>
    </row>
    <row r="548" spans="1:31" ht="15" customHeight="1" x14ac:dyDescent="0.2">
      <c r="A548" s="611" t="s">
        <v>1520</v>
      </c>
      <c r="B548" s="601" t="s">
        <v>1521</v>
      </c>
      <c r="C548" s="611" t="s">
        <v>114</v>
      </c>
      <c r="D548" s="576">
        <f t="shared" si="392"/>
        <v>24.4</v>
      </c>
      <c r="E548" s="577" t="e">
        <f t="shared" si="393"/>
        <v>#REF!</v>
      </c>
      <c r="F548" s="577" t="e">
        <f t="shared" si="394"/>
        <v>#REF!</v>
      </c>
      <c r="G548" s="578"/>
      <c r="I548" s="584"/>
      <c r="J548" s="585" t="e">
        <f t="shared" si="395"/>
        <v>#REF!</v>
      </c>
      <c r="K548" s="537"/>
      <c r="L548" s="445" t="e">
        <f t="shared" si="396"/>
        <v>#REF!</v>
      </c>
      <c r="M548" s="542"/>
      <c r="N548" s="445" t="e">
        <f t="shared" si="397"/>
        <v>#REF!</v>
      </c>
      <c r="O548" s="542">
        <v>24.4</v>
      </c>
      <c r="P548" s="445" t="e">
        <f t="shared" si="398"/>
        <v>#REF!</v>
      </c>
      <c r="Q548" s="542"/>
      <c r="R548" s="445" t="e">
        <f t="shared" si="399"/>
        <v>#REF!</v>
      </c>
      <c r="S548" s="542"/>
      <c r="T548" s="445" t="e">
        <f t="shared" si="400"/>
        <v>#REF!</v>
      </c>
      <c r="V548" s="581" t="e">
        <f>+#REF!</f>
        <v>#REF!</v>
      </c>
      <c r="W548" s="582" t="e">
        <f t="shared" si="401"/>
        <v>#REF!</v>
      </c>
      <c r="X548" s="581" t="e">
        <f>+#REF!</f>
        <v>#REF!</v>
      </c>
      <c r="Y548" s="582" t="e">
        <f t="shared" si="402"/>
        <v>#REF!</v>
      </c>
      <c r="Z548" s="581" t="e">
        <f>+#REF!</f>
        <v>#REF!</v>
      </c>
      <c r="AA548" s="582" t="e">
        <f t="shared" si="403"/>
        <v>#REF!</v>
      </c>
      <c r="AB548" s="581" t="e">
        <f>+#REF!</f>
        <v>#REF!</v>
      </c>
      <c r="AC548" s="582" t="e">
        <f t="shared" si="404"/>
        <v>#REF!</v>
      </c>
      <c r="AE548" s="769" t="e">
        <f t="shared" si="391"/>
        <v>#REF!</v>
      </c>
    </row>
    <row r="549" spans="1:31" ht="25.5" x14ac:dyDescent="0.2">
      <c r="A549" s="611" t="s">
        <v>1522</v>
      </c>
      <c r="B549" s="649" t="s">
        <v>1523</v>
      </c>
      <c r="C549" s="611" t="s">
        <v>130</v>
      </c>
      <c r="D549" s="576">
        <f t="shared" si="392"/>
        <v>73.489999999999995</v>
      </c>
      <c r="E549" s="577" t="e">
        <f t="shared" si="393"/>
        <v>#REF!</v>
      </c>
      <c r="F549" s="577" t="e">
        <f t="shared" si="394"/>
        <v>#REF!</v>
      </c>
      <c r="G549" s="578"/>
      <c r="H549" s="675"/>
      <c r="I549" s="584"/>
      <c r="J549" s="585" t="e">
        <f t="shared" si="395"/>
        <v>#REF!</v>
      </c>
      <c r="K549" s="537">
        <v>48.8</v>
      </c>
      <c r="L549" s="445" t="e">
        <f t="shared" si="396"/>
        <v>#REF!</v>
      </c>
      <c r="M549" s="542">
        <v>12.64</v>
      </c>
      <c r="N549" s="445" t="e">
        <f t="shared" si="397"/>
        <v>#REF!</v>
      </c>
      <c r="O549" s="542">
        <v>12.05</v>
      </c>
      <c r="P549" s="445" t="e">
        <f t="shared" si="398"/>
        <v>#REF!</v>
      </c>
      <c r="Q549" s="542"/>
      <c r="R549" s="445" t="e">
        <f t="shared" si="399"/>
        <v>#REF!</v>
      </c>
      <c r="S549" s="542"/>
      <c r="T549" s="445" t="e">
        <f t="shared" si="400"/>
        <v>#REF!</v>
      </c>
      <c r="V549" s="581" t="e">
        <f>+#REF!</f>
        <v>#REF!</v>
      </c>
      <c r="W549" s="582" t="e">
        <f t="shared" si="401"/>
        <v>#REF!</v>
      </c>
      <c r="X549" s="581" t="e">
        <f>+#REF!</f>
        <v>#REF!</v>
      </c>
      <c r="Y549" s="582" t="e">
        <f t="shared" si="402"/>
        <v>#REF!</v>
      </c>
      <c r="Z549" s="581" t="e">
        <f>+#REF!</f>
        <v>#REF!</v>
      </c>
      <c r="AA549" s="582" t="e">
        <f t="shared" si="403"/>
        <v>#REF!</v>
      </c>
      <c r="AB549" s="581" t="e">
        <f>+#REF!</f>
        <v>#REF!</v>
      </c>
      <c r="AC549" s="582" t="e">
        <f t="shared" si="404"/>
        <v>#REF!</v>
      </c>
      <c r="AE549" s="769" t="e">
        <f t="shared" si="391"/>
        <v>#REF!</v>
      </c>
    </row>
    <row r="550" spans="1:31" ht="15" customHeight="1" x14ac:dyDescent="0.2">
      <c r="A550" s="611" t="s">
        <v>1524</v>
      </c>
      <c r="B550" s="601" t="s">
        <v>1525</v>
      </c>
      <c r="C550" s="611" t="s">
        <v>130</v>
      </c>
      <c r="D550" s="576">
        <f t="shared" si="392"/>
        <v>106.92999999999999</v>
      </c>
      <c r="E550" s="577" t="e">
        <f t="shared" si="393"/>
        <v>#REF!</v>
      </c>
      <c r="F550" s="577" t="e">
        <f t="shared" si="394"/>
        <v>#REF!</v>
      </c>
      <c r="G550" s="578"/>
      <c r="I550" s="584"/>
      <c r="J550" s="585" t="e">
        <f t="shared" si="395"/>
        <v>#REF!</v>
      </c>
      <c r="K550" s="537">
        <v>48.8</v>
      </c>
      <c r="L550" s="445" t="e">
        <f t="shared" si="396"/>
        <v>#REF!</v>
      </c>
      <c r="M550" s="542">
        <v>12.64</v>
      </c>
      <c r="N550" s="445" t="e">
        <f t="shared" si="397"/>
        <v>#REF!</v>
      </c>
      <c r="O550" s="542">
        <f>33.44+12.05</f>
        <v>45.489999999999995</v>
      </c>
      <c r="P550" s="445" t="e">
        <f t="shared" si="398"/>
        <v>#REF!</v>
      </c>
      <c r="Q550" s="542"/>
      <c r="R550" s="445" t="e">
        <f t="shared" si="399"/>
        <v>#REF!</v>
      </c>
      <c r="S550" s="542"/>
      <c r="T550" s="445" t="e">
        <f t="shared" si="400"/>
        <v>#REF!</v>
      </c>
      <c r="V550" s="581" t="e">
        <f>+#REF!</f>
        <v>#REF!</v>
      </c>
      <c r="W550" s="582" t="e">
        <f t="shared" si="401"/>
        <v>#REF!</v>
      </c>
      <c r="X550" s="581" t="e">
        <f>+#REF!</f>
        <v>#REF!</v>
      </c>
      <c r="Y550" s="582" t="e">
        <f t="shared" si="402"/>
        <v>#REF!</v>
      </c>
      <c r="Z550" s="581" t="e">
        <f>+#REF!</f>
        <v>#REF!</v>
      </c>
      <c r="AA550" s="582" t="e">
        <f t="shared" si="403"/>
        <v>#REF!</v>
      </c>
      <c r="AB550" s="581"/>
      <c r="AC550" s="582">
        <f t="shared" si="404"/>
        <v>0</v>
      </c>
      <c r="AE550" s="769" t="e">
        <f t="shared" si="391"/>
        <v>#REF!</v>
      </c>
    </row>
    <row r="551" spans="1:31" ht="15" hidden="1" customHeight="1" x14ac:dyDescent="0.2">
      <c r="A551" s="611" t="s">
        <v>1526</v>
      </c>
      <c r="B551" s="601" t="s">
        <v>1527</v>
      </c>
      <c r="C551" s="611" t="s">
        <v>130</v>
      </c>
      <c r="D551" s="576">
        <f t="shared" si="392"/>
        <v>0</v>
      </c>
      <c r="E551" s="577">
        <f t="shared" si="393"/>
        <v>0</v>
      </c>
      <c r="F551" s="577">
        <f t="shared" si="394"/>
        <v>0</v>
      </c>
      <c r="G551" s="578"/>
      <c r="I551" s="584"/>
      <c r="J551" s="585">
        <f t="shared" si="395"/>
        <v>0</v>
      </c>
      <c r="K551" s="537"/>
      <c r="L551" s="445">
        <f t="shared" si="396"/>
        <v>0</v>
      </c>
      <c r="M551" s="542"/>
      <c r="N551" s="445">
        <f t="shared" si="397"/>
        <v>0</v>
      </c>
      <c r="O551" s="542"/>
      <c r="P551" s="445">
        <f t="shared" si="398"/>
        <v>0</v>
      </c>
      <c r="Q551" s="542"/>
      <c r="R551" s="445">
        <f t="shared" si="399"/>
        <v>0</v>
      </c>
      <c r="S551" s="542"/>
      <c r="T551" s="445">
        <f t="shared" si="400"/>
        <v>0</v>
      </c>
      <c r="V551" s="581"/>
      <c r="W551" s="582">
        <f t="shared" si="401"/>
        <v>0</v>
      </c>
      <c r="X551" s="581"/>
      <c r="Y551" s="582">
        <f t="shared" si="402"/>
        <v>0</v>
      </c>
      <c r="Z551" s="581"/>
      <c r="AA551" s="582">
        <f t="shared" si="403"/>
        <v>0</v>
      </c>
      <c r="AB551" s="581"/>
      <c r="AC551" s="582">
        <f t="shared" si="404"/>
        <v>0</v>
      </c>
      <c r="AE551" s="769">
        <f t="shared" si="391"/>
        <v>0</v>
      </c>
    </row>
    <row r="552" spans="1:31" ht="15" hidden="1" customHeight="1" x14ac:dyDescent="0.2">
      <c r="A552" s="611" t="s">
        <v>1528</v>
      </c>
      <c r="B552" s="601" t="s">
        <v>1529</v>
      </c>
      <c r="C552" s="611" t="s">
        <v>130</v>
      </c>
      <c r="D552" s="576">
        <f t="shared" si="392"/>
        <v>0</v>
      </c>
      <c r="E552" s="577">
        <f t="shared" si="393"/>
        <v>0</v>
      </c>
      <c r="F552" s="577">
        <f t="shared" si="394"/>
        <v>0</v>
      </c>
      <c r="G552" s="578"/>
      <c r="I552" s="597"/>
      <c r="J552" s="598">
        <f t="shared" si="395"/>
        <v>0</v>
      </c>
      <c r="K552" s="537"/>
      <c r="L552" s="445">
        <f t="shared" si="396"/>
        <v>0</v>
      </c>
      <c r="M552" s="542"/>
      <c r="N552" s="445">
        <f t="shared" si="397"/>
        <v>0</v>
      </c>
      <c r="O552" s="542"/>
      <c r="P552" s="445">
        <f t="shared" si="398"/>
        <v>0</v>
      </c>
      <c r="Q552" s="542"/>
      <c r="R552" s="445">
        <f t="shared" si="399"/>
        <v>0</v>
      </c>
      <c r="S552" s="542"/>
      <c r="T552" s="445">
        <f t="shared" si="400"/>
        <v>0</v>
      </c>
      <c r="V552" s="581"/>
      <c r="W552" s="582">
        <f t="shared" si="401"/>
        <v>0</v>
      </c>
      <c r="X552" s="581"/>
      <c r="Y552" s="582">
        <f t="shared" si="402"/>
        <v>0</v>
      </c>
      <c r="Z552" s="581"/>
      <c r="AA552" s="582">
        <f t="shared" si="403"/>
        <v>0</v>
      </c>
      <c r="AB552" s="581"/>
      <c r="AC552" s="582">
        <f t="shared" si="404"/>
        <v>0</v>
      </c>
      <c r="AE552" s="769">
        <f t="shared" si="391"/>
        <v>0</v>
      </c>
    </row>
    <row r="553" spans="1:31" ht="15.75" x14ac:dyDescent="0.2">
      <c r="A553" s="572" t="s">
        <v>1530</v>
      </c>
      <c r="B553" s="573" t="s">
        <v>1531</v>
      </c>
      <c r="C553" s="846"/>
      <c r="D553" s="576"/>
      <c r="E553" s="577"/>
      <c r="F553" s="180"/>
      <c r="G553" s="473"/>
      <c r="H553" s="568"/>
      <c r="I553" s="613"/>
      <c r="J553" s="652"/>
      <c r="K553" s="537"/>
      <c r="L553" s="445"/>
      <c r="M553" s="542"/>
      <c r="N553" s="445"/>
      <c r="O553" s="542"/>
      <c r="P553" s="445"/>
      <c r="Q553" s="542"/>
      <c r="R553" s="445"/>
      <c r="S553" s="542"/>
      <c r="T553" s="445"/>
      <c r="U553" s="568"/>
      <c r="V553" s="575"/>
      <c r="W553" s="570">
        <f>ROUND(SUM(W554:W558),10)</f>
        <v>0</v>
      </c>
      <c r="X553" s="575"/>
      <c r="Y553" s="570">
        <f>ROUND(SUM(Y554:Y558),10)</f>
        <v>0</v>
      </c>
      <c r="Z553" s="575"/>
      <c r="AA553" s="570">
        <f>ROUND(SUM(AA554:AA558),10)</f>
        <v>0</v>
      </c>
      <c r="AB553" s="575"/>
      <c r="AC553" s="570">
        <f>ROUND(SUM(AC554:AC558),10)</f>
        <v>0</v>
      </c>
      <c r="AE553" s="769">
        <f t="shared" si="391"/>
        <v>0</v>
      </c>
    </row>
    <row r="554" spans="1:31" s="595" customFormat="1" ht="18" hidden="1" customHeight="1" x14ac:dyDescent="0.2">
      <c r="A554" s="572" t="s">
        <v>1532</v>
      </c>
      <c r="B554" s="573" t="s">
        <v>1533</v>
      </c>
      <c r="C554" s="846"/>
      <c r="D554" s="576"/>
      <c r="E554" s="577"/>
      <c r="F554" s="180">
        <f>+ROUND(SUM(F555:F558),10)</f>
        <v>0</v>
      </c>
      <c r="G554" s="473"/>
      <c r="H554" s="568"/>
      <c r="I554" s="633"/>
      <c r="J554" s="441">
        <f>ROUND(SUM(J555:J558),10)</f>
        <v>0</v>
      </c>
      <c r="K554" s="537"/>
      <c r="L554" s="180">
        <f>ROUND(SUM(L555:L558),10)</f>
        <v>0</v>
      </c>
      <c r="M554" s="542"/>
      <c r="N554" s="180">
        <f>ROUND(SUM(N555:N558),10)</f>
        <v>0</v>
      </c>
      <c r="O554" s="542"/>
      <c r="P554" s="180">
        <f>ROUND(SUM(P555:P558),10)</f>
        <v>0</v>
      </c>
      <c r="Q554" s="542"/>
      <c r="R554" s="180">
        <f>ROUND(SUM(R555:R558),10)</f>
        <v>0</v>
      </c>
      <c r="S554" s="542"/>
      <c r="T554" s="180">
        <f>ROUND(SUM(T555:T558),10)</f>
        <v>0</v>
      </c>
      <c r="U554" s="568"/>
      <c r="V554" s="575"/>
      <c r="W554" s="582">
        <f>ROUND(V554*$D554,10)</f>
        <v>0</v>
      </c>
      <c r="X554" s="575"/>
      <c r="Y554" s="582">
        <f>ROUND(X554*$D554,10)</f>
        <v>0</v>
      </c>
      <c r="Z554" s="575"/>
      <c r="AA554" s="582">
        <f>ROUND(Z554*$D554,10)</f>
        <v>0</v>
      </c>
      <c r="AB554" s="575"/>
      <c r="AC554" s="582">
        <f>ROUND(AB554*$D554,10)</f>
        <v>0</v>
      </c>
      <c r="AD554" s="912"/>
      <c r="AE554" s="769">
        <f t="shared" si="391"/>
        <v>0</v>
      </c>
    </row>
    <row r="555" spans="1:31" s="595" customFormat="1" ht="15" hidden="1" customHeight="1" x14ac:dyDescent="0.2">
      <c r="A555" s="611" t="s">
        <v>1534</v>
      </c>
      <c r="B555" s="601" t="s">
        <v>1535</v>
      </c>
      <c r="C555" s="611" t="s">
        <v>130</v>
      </c>
      <c r="D555" s="576">
        <f>+I555+K555+M555+O555+Q555+S555</f>
        <v>0</v>
      </c>
      <c r="E555" s="577">
        <f t="shared" si="393"/>
        <v>0</v>
      </c>
      <c r="F555" s="577">
        <f>ROUND(D555*E555,10)</f>
        <v>0</v>
      </c>
      <c r="G555" s="578"/>
      <c r="H555" s="552"/>
      <c r="I555" s="594"/>
      <c r="J555" s="580">
        <f>+ROUND(E555*I555,10)</f>
        <v>0</v>
      </c>
      <c r="K555" s="537"/>
      <c r="L555" s="445">
        <f>+ROUND(E555*K555,10)</f>
        <v>0</v>
      </c>
      <c r="M555" s="542"/>
      <c r="N555" s="445">
        <f>+ROUND(E555*M555,10)</f>
        <v>0</v>
      </c>
      <c r="O555" s="542"/>
      <c r="P555" s="445">
        <f>+ROUND(E555*O555,10)</f>
        <v>0</v>
      </c>
      <c r="Q555" s="542"/>
      <c r="R555" s="445">
        <f>+ROUND(E555*Q555,10)</f>
        <v>0</v>
      </c>
      <c r="S555" s="542"/>
      <c r="T555" s="445">
        <f>+ROUND(E555*S555,10)</f>
        <v>0</v>
      </c>
      <c r="U555" s="552"/>
      <c r="V555" s="581"/>
      <c r="W555" s="582">
        <f>ROUND(V555*$D555,10)</f>
        <v>0</v>
      </c>
      <c r="X555" s="581"/>
      <c r="Y555" s="582">
        <f>ROUND(X555*$D555,10)</f>
        <v>0</v>
      </c>
      <c r="Z555" s="581"/>
      <c r="AA555" s="582">
        <f>ROUND(Z555*$D555,10)</f>
        <v>0</v>
      </c>
      <c r="AB555" s="581"/>
      <c r="AC555" s="582">
        <f>ROUND(AB555*$D555,10)</f>
        <v>0</v>
      </c>
      <c r="AD555" s="912"/>
      <c r="AE555" s="769">
        <f t="shared" si="391"/>
        <v>0</v>
      </c>
    </row>
    <row r="556" spans="1:31" s="595" customFormat="1" ht="15" hidden="1" customHeight="1" x14ac:dyDescent="0.2">
      <c r="A556" s="611" t="s">
        <v>1536</v>
      </c>
      <c r="B556" s="601" t="s">
        <v>1537</v>
      </c>
      <c r="C556" s="611" t="s">
        <v>130</v>
      </c>
      <c r="D556" s="576">
        <f>+I556+K556+M556+O556+Q556+S556</f>
        <v>0</v>
      </c>
      <c r="E556" s="577">
        <f t="shared" si="393"/>
        <v>0</v>
      </c>
      <c r="F556" s="577">
        <f>ROUND(D556*E556,10)</f>
        <v>0</v>
      </c>
      <c r="G556" s="578"/>
      <c r="H556" s="552"/>
      <c r="I556" s="584"/>
      <c r="J556" s="585">
        <f>+ROUND(E556*I556,10)</f>
        <v>0</v>
      </c>
      <c r="K556" s="537"/>
      <c r="L556" s="445">
        <f>+ROUND(E556*K556,10)</f>
        <v>0</v>
      </c>
      <c r="M556" s="542"/>
      <c r="N556" s="445">
        <f>+ROUND(E556*M556,10)</f>
        <v>0</v>
      </c>
      <c r="O556" s="542"/>
      <c r="P556" s="445">
        <f>+ROUND(E556*O556,10)</f>
        <v>0</v>
      </c>
      <c r="Q556" s="542"/>
      <c r="R556" s="445">
        <f>+ROUND(E556*Q556,10)</f>
        <v>0</v>
      </c>
      <c r="S556" s="542"/>
      <c r="T556" s="445">
        <f>+ROUND(E556*S556,10)</f>
        <v>0</v>
      </c>
      <c r="U556" s="552"/>
      <c r="V556" s="581"/>
      <c r="W556" s="582">
        <f>ROUND(V556*$D556,10)</f>
        <v>0</v>
      </c>
      <c r="X556" s="581"/>
      <c r="Y556" s="582">
        <f>ROUND(X556*$D556,10)</f>
        <v>0</v>
      </c>
      <c r="Z556" s="581"/>
      <c r="AA556" s="582">
        <f>ROUND(Z556*$D556,10)</f>
        <v>0</v>
      </c>
      <c r="AB556" s="581"/>
      <c r="AC556" s="582">
        <f>ROUND(AB556*$D556,10)</f>
        <v>0</v>
      </c>
      <c r="AD556" s="912"/>
      <c r="AE556" s="769">
        <f t="shared" si="391"/>
        <v>0</v>
      </c>
    </row>
    <row r="557" spans="1:31" s="595" customFormat="1" ht="15" hidden="1" customHeight="1" x14ac:dyDescent="0.2">
      <c r="A557" s="611" t="s">
        <v>1538</v>
      </c>
      <c r="B557" s="601" t="s">
        <v>1539</v>
      </c>
      <c r="C557" s="611" t="s">
        <v>130</v>
      </c>
      <c r="D557" s="576">
        <f>+I557+K557+M557+O557+Q557+S557</f>
        <v>0</v>
      </c>
      <c r="E557" s="577">
        <f t="shared" si="393"/>
        <v>0</v>
      </c>
      <c r="F557" s="577">
        <f>ROUND(D557*E557,10)</f>
        <v>0</v>
      </c>
      <c r="G557" s="578"/>
      <c r="H557" s="552"/>
      <c r="I557" s="584"/>
      <c r="J557" s="585">
        <f>+ROUND(E557*I557,10)</f>
        <v>0</v>
      </c>
      <c r="K557" s="537"/>
      <c r="L557" s="445">
        <f>+ROUND(E557*K557,10)</f>
        <v>0</v>
      </c>
      <c r="M557" s="542"/>
      <c r="N557" s="445">
        <f>+ROUND(E557*M557,10)</f>
        <v>0</v>
      </c>
      <c r="O557" s="542"/>
      <c r="P557" s="445">
        <f>+ROUND(E557*O557,10)</f>
        <v>0</v>
      </c>
      <c r="Q557" s="542"/>
      <c r="R557" s="445">
        <f>+ROUND(E557*Q557,10)</f>
        <v>0</v>
      </c>
      <c r="S557" s="542"/>
      <c r="T557" s="445">
        <f>+ROUND(E557*S557,10)</f>
        <v>0</v>
      </c>
      <c r="U557" s="552"/>
      <c r="V557" s="581"/>
      <c r="W557" s="582">
        <f>ROUND(V557*$D557,10)</f>
        <v>0</v>
      </c>
      <c r="X557" s="581"/>
      <c r="Y557" s="582">
        <f>ROUND(X557*$D557,10)</f>
        <v>0</v>
      </c>
      <c r="Z557" s="581"/>
      <c r="AA557" s="582">
        <f>ROUND(Z557*$D557,10)</f>
        <v>0</v>
      </c>
      <c r="AB557" s="581"/>
      <c r="AC557" s="582">
        <f>ROUND(AB557*$D557,10)</f>
        <v>0</v>
      </c>
      <c r="AD557" s="912"/>
      <c r="AE557" s="769">
        <f t="shared" si="391"/>
        <v>0</v>
      </c>
    </row>
    <row r="558" spans="1:31" s="595" customFormat="1" ht="15" hidden="1" customHeight="1" x14ac:dyDescent="0.2">
      <c r="A558" s="611" t="s">
        <v>1540</v>
      </c>
      <c r="B558" s="601" t="s">
        <v>1541</v>
      </c>
      <c r="C558" s="611"/>
      <c r="D558" s="576">
        <f>+I558+K558+M558+O558+Q558+S558</f>
        <v>0</v>
      </c>
      <c r="E558" s="577">
        <f t="shared" si="393"/>
        <v>0</v>
      </c>
      <c r="F558" s="577">
        <f>ROUND(D558*E558,10)</f>
        <v>0</v>
      </c>
      <c r="G558" s="578"/>
      <c r="H558" s="552"/>
      <c r="I558" s="597"/>
      <c r="J558" s="598">
        <f>+ROUND(E558*I558,10)</f>
        <v>0</v>
      </c>
      <c r="K558" s="537"/>
      <c r="L558" s="445">
        <f>+ROUND(E558*K558,10)</f>
        <v>0</v>
      </c>
      <c r="M558" s="542"/>
      <c r="N558" s="445">
        <f>+ROUND(E558*M558,10)</f>
        <v>0</v>
      </c>
      <c r="O558" s="542"/>
      <c r="P558" s="445">
        <f>+ROUND(E558*O558,10)</f>
        <v>0</v>
      </c>
      <c r="Q558" s="542"/>
      <c r="R558" s="445">
        <f>+ROUND(E558*Q558,10)</f>
        <v>0</v>
      </c>
      <c r="S558" s="542"/>
      <c r="T558" s="445">
        <f>+ROUND(E558*S558,10)</f>
        <v>0</v>
      </c>
      <c r="U558" s="552"/>
      <c r="V558" s="581"/>
      <c r="W558" s="582">
        <f>ROUND(V558*$D558,10)</f>
        <v>0</v>
      </c>
      <c r="X558" s="581"/>
      <c r="Y558" s="582">
        <f>ROUND(X558*$D558,10)</f>
        <v>0</v>
      </c>
      <c r="Z558" s="581"/>
      <c r="AA558" s="582">
        <f>ROUND(Z558*$D558,10)</f>
        <v>0</v>
      </c>
      <c r="AB558" s="581"/>
      <c r="AC558" s="582">
        <f>ROUND(AB558*$D558,10)</f>
        <v>0</v>
      </c>
      <c r="AD558" s="912"/>
      <c r="AE558" s="769">
        <f t="shared" si="391"/>
        <v>0</v>
      </c>
    </row>
    <row r="559" spans="1:31" s="596" customFormat="1" ht="15" customHeight="1" x14ac:dyDescent="0.2">
      <c r="A559" s="572" t="s">
        <v>1542</v>
      </c>
      <c r="B559" s="573" t="s">
        <v>1543</v>
      </c>
      <c r="C559" s="792"/>
      <c r="D559" s="576"/>
      <c r="E559" s="577"/>
      <c r="F559" s="180" t="e">
        <f>+ROUND(SUM(F560:F565),10)</f>
        <v>#REF!</v>
      </c>
      <c r="G559" s="474"/>
      <c r="H559" s="912"/>
      <c r="I559" s="613"/>
      <c r="J559" s="440" t="e">
        <f>ROUND(SUM(J560:J565),10)</f>
        <v>#REF!</v>
      </c>
      <c r="K559" s="537"/>
      <c r="L559" s="180" t="e">
        <f>ROUND(SUM(L560:L565),10)</f>
        <v>#REF!</v>
      </c>
      <c r="M559" s="542"/>
      <c r="N559" s="180" t="e">
        <f>ROUND(SUM(N560:N565),10)</f>
        <v>#REF!</v>
      </c>
      <c r="O559" s="542"/>
      <c r="P559" s="180" t="e">
        <f>ROUND(SUM(P560:P565),10)</f>
        <v>#REF!</v>
      </c>
      <c r="Q559" s="542"/>
      <c r="R559" s="180" t="e">
        <f>ROUND(SUM(R560:R565),10)</f>
        <v>#REF!</v>
      </c>
      <c r="S559" s="542"/>
      <c r="T559" s="180" t="e">
        <f>ROUND(SUM(T560:T565),10)</f>
        <v>#REF!</v>
      </c>
      <c r="U559" s="912"/>
      <c r="V559" s="581"/>
      <c r="W559" s="570" t="e">
        <f>ROUND(SUM(W560:W565),10)</f>
        <v>#REF!</v>
      </c>
      <c r="X559" s="581"/>
      <c r="Y559" s="570" t="e">
        <f>ROUND(SUM(Y560:Y565),10)</f>
        <v>#REF!</v>
      </c>
      <c r="Z559" s="581"/>
      <c r="AA559" s="570" t="e">
        <f>ROUND(SUM(AA560:AA565),10)</f>
        <v>#REF!</v>
      </c>
      <c r="AB559" s="581"/>
      <c r="AC559" s="570">
        <f>ROUND(SUM(AC560:AC565),10)</f>
        <v>0</v>
      </c>
      <c r="AD559" s="913"/>
      <c r="AE559" s="769" t="e">
        <f t="shared" si="391"/>
        <v>#REF!</v>
      </c>
    </row>
    <row r="560" spans="1:31" ht="25.5" hidden="1" customHeight="1" x14ac:dyDescent="0.2">
      <c r="A560" s="611" t="s">
        <v>1544</v>
      </c>
      <c r="B560" s="601" t="s">
        <v>1545</v>
      </c>
      <c r="C560" s="611" t="s">
        <v>114</v>
      </c>
      <c r="D560" s="576">
        <f t="shared" ref="D560:D565" si="405">+I560+K560+M560+O560+Q560+S560</f>
        <v>0</v>
      </c>
      <c r="E560" s="577" t="e">
        <f t="shared" si="393"/>
        <v>#REF!</v>
      </c>
      <c r="F560" s="577" t="e">
        <f t="shared" ref="F560:F565" si="406">ROUND(D560*E560,10)</f>
        <v>#REF!</v>
      </c>
      <c r="G560" s="578"/>
      <c r="I560" s="594"/>
      <c r="J560" s="580" t="e">
        <f t="shared" ref="J560:J565" si="407">+ROUND(E560*I560,10)</f>
        <v>#REF!</v>
      </c>
      <c r="K560" s="537"/>
      <c r="L560" s="445" t="e">
        <f t="shared" ref="L560:L565" si="408">+ROUND(E560*K560,10)</f>
        <v>#REF!</v>
      </c>
      <c r="M560" s="542"/>
      <c r="N560" s="445" t="e">
        <f t="shared" ref="N560:N565" si="409">+ROUND(E560*M560,10)</f>
        <v>#REF!</v>
      </c>
      <c r="O560" s="542"/>
      <c r="P560" s="445" t="e">
        <f t="shared" ref="P560:P565" si="410">+ROUND(E560*O560,10)</f>
        <v>#REF!</v>
      </c>
      <c r="Q560" s="542"/>
      <c r="R560" s="445" t="e">
        <f t="shared" ref="R560:R565" si="411">+ROUND(E560*Q560,10)</f>
        <v>#REF!</v>
      </c>
      <c r="S560" s="542"/>
      <c r="T560" s="445" t="e">
        <f t="shared" ref="T560:T565" si="412">+ROUND(E560*S560,10)</f>
        <v>#REF!</v>
      </c>
      <c r="V560" s="581" t="e">
        <f>+#REF!</f>
        <v>#REF!</v>
      </c>
      <c r="W560" s="582" t="e">
        <f t="shared" ref="W560:W565" si="413">ROUND(V560*$D560,10)</f>
        <v>#REF!</v>
      </c>
      <c r="X560" s="581" t="e">
        <f>+#REF!</f>
        <v>#REF!</v>
      </c>
      <c r="Y560" s="582" t="e">
        <f t="shared" ref="Y560:Y565" si="414">ROUND(X560*$D560,10)</f>
        <v>#REF!</v>
      </c>
      <c r="Z560" s="581" t="e">
        <f>+#REF!</f>
        <v>#REF!</v>
      </c>
      <c r="AA560" s="582" t="e">
        <f t="shared" ref="AA560:AA565" si="415">ROUND(Z560*$D560,10)</f>
        <v>#REF!</v>
      </c>
      <c r="AB560" s="581"/>
      <c r="AC560" s="582">
        <f t="shared" ref="AC560:AC565" si="416">ROUND(AB560*$D560,10)</f>
        <v>0</v>
      </c>
      <c r="AE560" s="769" t="e">
        <f t="shared" si="391"/>
        <v>#REF!</v>
      </c>
    </row>
    <row r="561" spans="1:31" ht="25.5" x14ac:dyDescent="0.2">
      <c r="A561" s="611" t="s">
        <v>1546</v>
      </c>
      <c r="B561" s="601" t="s">
        <v>1547</v>
      </c>
      <c r="C561" s="611" t="s">
        <v>114</v>
      </c>
      <c r="D561" s="576">
        <f t="shared" si="405"/>
        <v>42.85</v>
      </c>
      <c r="E561" s="577" t="e">
        <f t="shared" si="393"/>
        <v>#REF!</v>
      </c>
      <c r="F561" s="577" t="e">
        <f t="shared" si="406"/>
        <v>#REF!</v>
      </c>
      <c r="G561" s="578"/>
      <c r="I561" s="584"/>
      <c r="J561" s="585" t="e">
        <f t="shared" si="407"/>
        <v>#REF!</v>
      </c>
      <c r="K561" s="537">
        <v>18.5</v>
      </c>
      <c r="L561" s="445" t="e">
        <f t="shared" si="408"/>
        <v>#REF!</v>
      </c>
      <c r="M561" s="542">
        <v>5.7</v>
      </c>
      <c r="N561" s="445" t="e">
        <f t="shared" si="409"/>
        <v>#REF!</v>
      </c>
      <c r="O561" s="542">
        <v>9.25</v>
      </c>
      <c r="P561" s="445" t="e">
        <f t="shared" si="410"/>
        <v>#REF!</v>
      </c>
      <c r="Q561" s="542">
        <v>9.4</v>
      </c>
      <c r="R561" s="445" t="e">
        <f t="shared" si="411"/>
        <v>#REF!</v>
      </c>
      <c r="S561" s="542"/>
      <c r="T561" s="445" t="e">
        <f t="shared" si="412"/>
        <v>#REF!</v>
      </c>
      <c r="V561" s="581" t="e">
        <f>+#REF!</f>
        <v>#REF!</v>
      </c>
      <c r="W561" s="582" t="e">
        <f t="shared" si="413"/>
        <v>#REF!</v>
      </c>
      <c r="X561" s="581" t="e">
        <f>+#REF!</f>
        <v>#REF!</v>
      </c>
      <c r="Y561" s="582" t="e">
        <f t="shared" si="414"/>
        <v>#REF!</v>
      </c>
      <c r="Z561" s="581" t="e">
        <f>+#REF!</f>
        <v>#REF!</v>
      </c>
      <c r="AA561" s="582" t="e">
        <f t="shared" si="415"/>
        <v>#REF!</v>
      </c>
      <c r="AB561" s="581"/>
      <c r="AC561" s="582">
        <f t="shared" si="416"/>
        <v>0</v>
      </c>
      <c r="AE561" s="769" t="e">
        <f t="shared" si="391"/>
        <v>#REF!</v>
      </c>
    </row>
    <row r="562" spans="1:31" ht="15" hidden="1" customHeight="1" x14ac:dyDescent="0.2">
      <c r="A562" s="611" t="s">
        <v>1548</v>
      </c>
      <c r="B562" s="601" t="s">
        <v>1549</v>
      </c>
      <c r="C562" s="611" t="s">
        <v>114</v>
      </c>
      <c r="D562" s="576">
        <f t="shared" si="405"/>
        <v>0</v>
      </c>
      <c r="E562" s="577">
        <f t="shared" si="393"/>
        <v>0</v>
      </c>
      <c r="F562" s="577">
        <f t="shared" si="406"/>
        <v>0</v>
      </c>
      <c r="G562" s="578"/>
      <c r="I562" s="584"/>
      <c r="J562" s="585">
        <f t="shared" si="407"/>
        <v>0</v>
      </c>
      <c r="K562" s="537"/>
      <c r="L562" s="445">
        <f t="shared" si="408"/>
        <v>0</v>
      </c>
      <c r="M562" s="542"/>
      <c r="N562" s="445">
        <f t="shared" si="409"/>
        <v>0</v>
      </c>
      <c r="O562" s="542"/>
      <c r="P562" s="445">
        <f t="shared" si="410"/>
        <v>0</v>
      </c>
      <c r="Q562" s="542"/>
      <c r="R562" s="445">
        <f t="shared" si="411"/>
        <v>0</v>
      </c>
      <c r="S562" s="542"/>
      <c r="T562" s="445">
        <f t="shared" si="412"/>
        <v>0</v>
      </c>
      <c r="V562" s="581"/>
      <c r="W562" s="582">
        <f t="shared" si="413"/>
        <v>0</v>
      </c>
      <c r="X562" s="581"/>
      <c r="Y562" s="582">
        <f t="shared" si="414"/>
        <v>0</v>
      </c>
      <c r="Z562" s="581"/>
      <c r="AA562" s="582">
        <f t="shared" si="415"/>
        <v>0</v>
      </c>
      <c r="AB562" s="581"/>
      <c r="AC562" s="582">
        <f t="shared" si="416"/>
        <v>0</v>
      </c>
      <c r="AE562" s="769">
        <f t="shared" si="391"/>
        <v>0</v>
      </c>
    </row>
    <row r="563" spans="1:31" ht="15" hidden="1" customHeight="1" x14ac:dyDescent="0.2">
      <c r="A563" s="611" t="s">
        <v>1550</v>
      </c>
      <c r="B563" s="601" t="s">
        <v>1551</v>
      </c>
      <c r="C563" s="611" t="s">
        <v>114</v>
      </c>
      <c r="D563" s="576">
        <f t="shared" si="405"/>
        <v>0</v>
      </c>
      <c r="E563" s="577">
        <f t="shared" si="393"/>
        <v>0</v>
      </c>
      <c r="F563" s="577">
        <f t="shared" si="406"/>
        <v>0</v>
      </c>
      <c r="G563" s="578"/>
      <c r="I563" s="584"/>
      <c r="J563" s="585">
        <f t="shared" si="407"/>
        <v>0</v>
      </c>
      <c r="K563" s="537"/>
      <c r="L563" s="445">
        <f t="shared" si="408"/>
        <v>0</v>
      </c>
      <c r="M563" s="542"/>
      <c r="N563" s="445">
        <f t="shared" si="409"/>
        <v>0</v>
      </c>
      <c r="O563" s="542"/>
      <c r="P563" s="445">
        <f t="shared" si="410"/>
        <v>0</v>
      </c>
      <c r="Q563" s="542"/>
      <c r="R563" s="445">
        <f t="shared" si="411"/>
        <v>0</v>
      </c>
      <c r="S563" s="542"/>
      <c r="T563" s="445">
        <f t="shared" si="412"/>
        <v>0</v>
      </c>
      <c r="V563" s="581"/>
      <c r="W563" s="582">
        <f t="shared" si="413"/>
        <v>0</v>
      </c>
      <c r="X563" s="581"/>
      <c r="Y563" s="582">
        <f t="shared" si="414"/>
        <v>0</v>
      </c>
      <c r="Z563" s="581"/>
      <c r="AA563" s="582">
        <f t="shared" si="415"/>
        <v>0</v>
      </c>
      <c r="AB563" s="581"/>
      <c r="AC563" s="582">
        <f t="shared" si="416"/>
        <v>0</v>
      </c>
      <c r="AE563" s="769">
        <f t="shared" si="391"/>
        <v>0</v>
      </c>
    </row>
    <row r="564" spans="1:31" ht="15" hidden="1" customHeight="1" x14ac:dyDescent="0.2">
      <c r="A564" s="611" t="s">
        <v>1552</v>
      </c>
      <c r="B564" s="601" t="s">
        <v>1553</v>
      </c>
      <c r="C564" s="611" t="s">
        <v>114</v>
      </c>
      <c r="D564" s="576">
        <f t="shared" si="405"/>
        <v>0</v>
      </c>
      <c r="E564" s="577">
        <f t="shared" si="393"/>
        <v>0</v>
      </c>
      <c r="F564" s="577">
        <f t="shared" si="406"/>
        <v>0</v>
      </c>
      <c r="G564" s="578"/>
      <c r="I564" s="584"/>
      <c r="J564" s="585">
        <f t="shared" si="407"/>
        <v>0</v>
      </c>
      <c r="K564" s="537"/>
      <c r="L564" s="445">
        <f t="shared" si="408"/>
        <v>0</v>
      </c>
      <c r="M564" s="542"/>
      <c r="N564" s="445">
        <f t="shared" si="409"/>
        <v>0</v>
      </c>
      <c r="O564" s="542"/>
      <c r="P564" s="445">
        <f t="shared" si="410"/>
        <v>0</v>
      </c>
      <c r="Q564" s="542"/>
      <c r="R564" s="445">
        <f t="shared" si="411"/>
        <v>0</v>
      </c>
      <c r="S564" s="542"/>
      <c r="T564" s="445">
        <f t="shared" si="412"/>
        <v>0</v>
      </c>
      <c r="V564" s="581"/>
      <c r="W564" s="582">
        <f t="shared" si="413"/>
        <v>0</v>
      </c>
      <c r="X564" s="581"/>
      <c r="Y564" s="582">
        <f t="shared" si="414"/>
        <v>0</v>
      </c>
      <c r="Z564" s="581"/>
      <c r="AA564" s="582">
        <f t="shared" si="415"/>
        <v>0</v>
      </c>
      <c r="AB564" s="581"/>
      <c r="AC564" s="582">
        <f t="shared" si="416"/>
        <v>0</v>
      </c>
      <c r="AE564" s="769">
        <f t="shared" si="391"/>
        <v>0</v>
      </c>
    </row>
    <row r="565" spans="1:31" ht="15" hidden="1" customHeight="1" x14ac:dyDescent="0.2">
      <c r="A565" s="611" t="s">
        <v>1554</v>
      </c>
      <c r="B565" s="601" t="s">
        <v>1555</v>
      </c>
      <c r="C565" s="611"/>
      <c r="D565" s="576">
        <f t="shared" si="405"/>
        <v>0</v>
      </c>
      <c r="E565" s="577">
        <f t="shared" si="393"/>
        <v>0</v>
      </c>
      <c r="F565" s="577">
        <f t="shared" si="406"/>
        <v>0</v>
      </c>
      <c r="G565" s="578"/>
      <c r="I565" s="597"/>
      <c r="J565" s="598">
        <f t="shared" si="407"/>
        <v>0</v>
      </c>
      <c r="K565" s="537"/>
      <c r="L565" s="445">
        <f t="shared" si="408"/>
        <v>0</v>
      </c>
      <c r="M565" s="542"/>
      <c r="N565" s="445">
        <f t="shared" si="409"/>
        <v>0</v>
      </c>
      <c r="O565" s="542"/>
      <c r="P565" s="445">
        <f t="shared" si="410"/>
        <v>0</v>
      </c>
      <c r="Q565" s="542"/>
      <c r="R565" s="445">
        <f t="shared" si="411"/>
        <v>0</v>
      </c>
      <c r="S565" s="542"/>
      <c r="T565" s="445">
        <f t="shared" si="412"/>
        <v>0</v>
      </c>
      <c r="V565" s="581"/>
      <c r="W565" s="582">
        <f t="shared" si="413"/>
        <v>0</v>
      </c>
      <c r="X565" s="581"/>
      <c r="Y565" s="582">
        <f t="shared" si="414"/>
        <v>0</v>
      </c>
      <c r="Z565" s="581"/>
      <c r="AA565" s="582">
        <f t="shared" si="415"/>
        <v>0</v>
      </c>
      <c r="AB565" s="581"/>
      <c r="AC565" s="582">
        <f t="shared" si="416"/>
        <v>0</v>
      </c>
      <c r="AE565" s="769">
        <f t="shared" si="391"/>
        <v>0</v>
      </c>
    </row>
    <row r="566" spans="1:31" ht="15.75" hidden="1" customHeight="1" x14ac:dyDescent="0.2">
      <c r="A566" s="572" t="s">
        <v>1556</v>
      </c>
      <c r="B566" s="767" t="s">
        <v>1557</v>
      </c>
      <c r="C566" s="846"/>
      <c r="D566" s="576"/>
      <c r="E566" s="577"/>
      <c r="F566" s="626" t="e">
        <f>+ROUND(SUM(F567:F569),10)</f>
        <v>#REF!</v>
      </c>
      <c r="G566" s="473"/>
      <c r="H566" s="568"/>
      <c r="I566" s="613"/>
      <c r="J566" s="440" t="e">
        <f>ROUND(SUM(J567:J569),10)</f>
        <v>#REF!</v>
      </c>
      <c r="K566" s="537"/>
      <c r="L566" s="180" t="e">
        <f>ROUND(SUM(L567:L569),10)</f>
        <v>#REF!</v>
      </c>
      <c r="M566" s="542"/>
      <c r="N566" s="180" t="e">
        <f>ROUND(SUM(N567:N569),10)</f>
        <v>#REF!</v>
      </c>
      <c r="O566" s="542"/>
      <c r="P566" s="180" t="e">
        <f>ROUND(SUM(P567:P569),10)</f>
        <v>#REF!</v>
      </c>
      <c r="Q566" s="542"/>
      <c r="R566" s="180" t="e">
        <f>ROUND(SUM(R567:R569),10)</f>
        <v>#REF!</v>
      </c>
      <c r="S566" s="542"/>
      <c r="T566" s="180" t="e">
        <f>ROUND(SUM(T567:T569),10)</f>
        <v>#REF!</v>
      </c>
      <c r="U566" s="568"/>
      <c r="V566" s="575"/>
      <c r="W566" s="570" t="e">
        <f>ROUND(SUM(W567:W569),10)</f>
        <v>#REF!</v>
      </c>
      <c r="X566" s="575"/>
      <c r="Y566" s="570" t="e">
        <f>ROUND(SUM(Y567:Y569),10)</f>
        <v>#REF!</v>
      </c>
      <c r="Z566" s="575"/>
      <c r="AA566" s="570" t="e">
        <f>ROUND(SUM(AA567:AA569),10)</f>
        <v>#REF!</v>
      </c>
      <c r="AB566" s="575"/>
      <c r="AC566" s="570" t="e">
        <f>ROUND(SUM(AC567:AC569),10)</f>
        <v>#REF!</v>
      </c>
      <c r="AE566" s="769" t="e">
        <f t="shared" si="391"/>
        <v>#REF!</v>
      </c>
    </row>
    <row r="567" spans="1:31" ht="14.25" hidden="1" customHeight="1" x14ac:dyDescent="0.2">
      <c r="A567" s="611" t="s">
        <v>1558</v>
      </c>
      <c r="B567" s="601" t="s">
        <v>1559</v>
      </c>
      <c r="C567" s="611" t="s">
        <v>111</v>
      </c>
      <c r="D567" s="576">
        <f>+I567+K567+M567+O567+Q567+S567</f>
        <v>0</v>
      </c>
      <c r="E567" s="577" t="e">
        <f t="shared" si="393"/>
        <v>#REF!</v>
      </c>
      <c r="F567" s="577" t="e">
        <f>ROUND(D567*E567,10)</f>
        <v>#REF!</v>
      </c>
      <c r="G567" s="578"/>
      <c r="I567" s="594"/>
      <c r="J567" s="580" t="e">
        <f>+ROUND(E567*I567,10)</f>
        <v>#REF!</v>
      </c>
      <c r="K567" s="537"/>
      <c r="L567" s="445" t="e">
        <f>+ROUND(E567*K567,10)</f>
        <v>#REF!</v>
      </c>
      <c r="M567" s="542"/>
      <c r="N567" s="445" t="e">
        <f>+ROUND(E567*M567,10)</f>
        <v>#REF!</v>
      </c>
      <c r="O567" s="542"/>
      <c r="P567" s="445" t="e">
        <f>+ROUND(E567*O567,10)</f>
        <v>#REF!</v>
      </c>
      <c r="Q567" s="542"/>
      <c r="R567" s="445" t="e">
        <f>+ROUND(E567*Q567,10)</f>
        <v>#REF!</v>
      </c>
      <c r="S567" s="542"/>
      <c r="T567" s="445" t="e">
        <f>+ROUND(E567*S567,10)</f>
        <v>#REF!</v>
      </c>
      <c r="V567" s="581" t="e">
        <f>+'11,2,3,1 Domo acrílico'!I19</f>
        <v>#REF!</v>
      </c>
      <c r="W567" s="582" t="e">
        <f>ROUND(V567*$D567,10)</f>
        <v>#REF!</v>
      </c>
      <c r="X567" s="581">
        <f>+'11,2,3,1 Domo acrílico'!I50</f>
        <v>23263.32</v>
      </c>
      <c r="Y567" s="582">
        <f>ROUND(X567*$D567,10)</f>
        <v>0</v>
      </c>
      <c r="Z567" s="581">
        <f>+'11,2,3,1 Domo acrílico'!I30</f>
        <v>583</v>
      </c>
      <c r="AA567" s="582">
        <f>ROUND(Z567*$D567,10)</f>
        <v>0</v>
      </c>
      <c r="AB567" s="581">
        <f>+'11,2,3,1 Domo acrílico'!I41</f>
        <v>0</v>
      </c>
      <c r="AC567" s="582">
        <f>ROUND(AB567*$D567,10)</f>
        <v>0</v>
      </c>
      <c r="AE567" s="769" t="e">
        <f t="shared" si="391"/>
        <v>#REF!</v>
      </c>
    </row>
    <row r="568" spans="1:31" ht="15" hidden="1" customHeight="1" x14ac:dyDescent="0.2">
      <c r="A568" s="611" t="s">
        <v>1560</v>
      </c>
      <c r="B568" s="601" t="s">
        <v>1561</v>
      </c>
      <c r="C568" s="611" t="s">
        <v>130</v>
      </c>
      <c r="D568" s="576">
        <f>+I568+K568+M568+O568+Q568+S568</f>
        <v>0</v>
      </c>
      <c r="E568" s="577" t="e">
        <f t="shared" si="393"/>
        <v>#REF!</v>
      </c>
      <c r="F568" s="577" t="e">
        <f>ROUND(D568*E568,10)</f>
        <v>#REF!</v>
      </c>
      <c r="G568" s="578"/>
      <c r="I568" s="584"/>
      <c r="J568" s="585" t="e">
        <f>+ROUND(E568*I568,10)</f>
        <v>#REF!</v>
      </c>
      <c r="K568" s="537"/>
      <c r="L568" s="445" t="e">
        <f>+ROUND(E568*K568,10)</f>
        <v>#REF!</v>
      </c>
      <c r="M568" s="542"/>
      <c r="N568" s="445" t="e">
        <f>+ROUND(E568*M568,10)</f>
        <v>#REF!</v>
      </c>
      <c r="O568" s="542"/>
      <c r="P568" s="445" t="e">
        <f>+ROUND(E568*O568,10)</f>
        <v>#REF!</v>
      </c>
      <c r="Q568" s="542"/>
      <c r="R568" s="445" t="e">
        <f>+ROUND(E568*Q568,10)</f>
        <v>#REF!</v>
      </c>
      <c r="S568" s="542"/>
      <c r="T568" s="445" t="e">
        <f>+ROUND(E568*S568,10)</f>
        <v>#REF!</v>
      </c>
      <c r="V568" s="581" t="e">
        <f>+'11,2,3,2 Acrilico transparente'!I19</f>
        <v>#REF!</v>
      </c>
      <c r="W568" s="582" t="e">
        <f>ROUND(V568*$D568,10)</f>
        <v>#REF!</v>
      </c>
      <c r="X568" s="581">
        <f>+'11,2,3,2 Acrilico transparente'!I50</f>
        <v>9738.1299999999992</v>
      </c>
      <c r="Y568" s="582">
        <f>ROUND(X568*$D568,10)</f>
        <v>0</v>
      </c>
      <c r="Z568" s="581">
        <f>+'11,2,3,2 Acrilico transparente'!I30</f>
        <v>169.6</v>
      </c>
      <c r="AA568" s="582">
        <f>ROUND(Z568*$D568,10)</f>
        <v>0</v>
      </c>
      <c r="AB568" s="581">
        <f>+'11,2,3,2 Acrilico transparente'!I41</f>
        <v>0</v>
      </c>
      <c r="AC568" s="582">
        <f>ROUND(AB568*$D568,10)</f>
        <v>0</v>
      </c>
      <c r="AE568" s="769" t="e">
        <f t="shared" si="391"/>
        <v>#REF!</v>
      </c>
    </row>
    <row r="569" spans="1:31" ht="15" hidden="1" customHeight="1" x14ac:dyDescent="0.2">
      <c r="A569" s="611" t="s">
        <v>1562</v>
      </c>
      <c r="B569" s="601" t="s">
        <v>1563</v>
      </c>
      <c r="C569" s="611" t="s">
        <v>130</v>
      </c>
      <c r="D569" s="576">
        <f>+I569+K569+M569+O569+Q569+S569</f>
        <v>0</v>
      </c>
      <c r="E569" s="577" t="e">
        <f t="shared" si="393"/>
        <v>#REF!</v>
      </c>
      <c r="F569" s="577" t="e">
        <f>ROUND(D569*E569,10)</f>
        <v>#REF!</v>
      </c>
      <c r="G569" s="578"/>
      <c r="I569" s="597"/>
      <c r="J569" s="598" t="e">
        <f>+ROUND(E569*I569,10)</f>
        <v>#REF!</v>
      </c>
      <c r="K569" s="537"/>
      <c r="L569" s="445" t="e">
        <f>+ROUND(E569*K569,10)</f>
        <v>#REF!</v>
      </c>
      <c r="M569" s="542"/>
      <c r="N569" s="445" t="e">
        <f>+ROUND(E569*M569,10)</f>
        <v>#REF!</v>
      </c>
      <c r="O569" s="542"/>
      <c r="P569" s="445" t="e">
        <f>+ROUND(E569*O569,10)</f>
        <v>#REF!</v>
      </c>
      <c r="Q569" s="542"/>
      <c r="R569" s="445" t="e">
        <f>+ROUND(E569*Q569,10)</f>
        <v>#REF!</v>
      </c>
      <c r="S569" s="542"/>
      <c r="T569" s="445" t="e">
        <f>+ROUND(E569*S569,10)</f>
        <v>#REF!</v>
      </c>
      <c r="V569" s="581" t="e">
        <f>+#REF!</f>
        <v>#REF!</v>
      </c>
      <c r="W569" s="582" t="e">
        <f>ROUND(V569*$D569,10)</f>
        <v>#REF!</v>
      </c>
      <c r="X569" s="581" t="e">
        <f>+#REF!</f>
        <v>#REF!</v>
      </c>
      <c r="Y569" s="582" t="e">
        <f>ROUND(X569*$D569,10)</f>
        <v>#REF!</v>
      </c>
      <c r="Z569" s="581" t="e">
        <f>+#REF!</f>
        <v>#REF!</v>
      </c>
      <c r="AA569" s="582" t="e">
        <f>ROUND(Z569*$D569,10)</f>
        <v>#REF!</v>
      </c>
      <c r="AB569" s="581" t="e">
        <f>+#REF!</f>
        <v>#REF!</v>
      </c>
      <c r="AC569" s="582" t="e">
        <f>ROUND(AB569*$D569,10)</f>
        <v>#REF!</v>
      </c>
      <c r="AE569" s="769" t="e">
        <f t="shared" si="391"/>
        <v>#REF!</v>
      </c>
    </row>
    <row r="570" spans="1:31" ht="15" customHeight="1" x14ac:dyDescent="0.2">
      <c r="A570" s="572" t="s">
        <v>1564</v>
      </c>
      <c r="B570" s="573" t="s">
        <v>1565</v>
      </c>
      <c r="C570" s="846"/>
      <c r="D570" s="576"/>
      <c r="E570" s="577"/>
      <c r="F570" s="626" t="e">
        <f>+ROUND(SUM(F571),10)</f>
        <v>#REF!</v>
      </c>
      <c r="G570" s="473"/>
      <c r="H570" s="568"/>
      <c r="I570" s="613"/>
      <c r="J570" s="440" t="e">
        <f>ROUND(SUM(J571),10)</f>
        <v>#REF!</v>
      </c>
      <c r="K570" s="537"/>
      <c r="L570" s="180" t="e">
        <f>ROUND(SUM(L571),10)</f>
        <v>#REF!</v>
      </c>
      <c r="M570" s="542"/>
      <c r="N570" s="180" t="e">
        <f>ROUND(SUM(N571),10)</f>
        <v>#REF!</v>
      </c>
      <c r="O570" s="542"/>
      <c r="P570" s="180" t="e">
        <f>ROUND(SUM(P571),10)</f>
        <v>#REF!</v>
      </c>
      <c r="Q570" s="542"/>
      <c r="R570" s="180" t="e">
        <f>ROUND(SUM(R571),10)</f>
        <v>#REF!</v>
      </c>
      <c r="S570" s="542"/>
      <c r="T570" s="180" t="e">
        <f>ROUND(SUM(T571),10)</f>
        <v>#REF!</v>
      </c>
      <c r="U570" s="568"/>
      <c r="V570" s="575"/>
      <c r="W570" s="570" t="e">
        <f>ROUND(SUM(W571),10)</f>
        <v>#REF!</v>
      </c>
      <c r="X570" s="575"/>
      <c r="Y570" s="570" t="e">
        <f>ROUND(SUM(Y571),10)</f>
        <v>#REF!</v>
      </c>
      <c r="Z570" s="575"/>
      <c r="AA570" s="570" t="e">
        <f>ROUND(SUM(AA571),10)</f>
        <v>#REF!</v>
      </c>
      <c r="AB570" s="575"/>
      <c r="AC570" s="570">
        <f>ROUND(SUM(AC571),10)</f>
        <v>0</v>
      </c>
      <c r="AE570" s="769" t="e">
        <f t="shared" si="391"/>
        <v>#REF!</v>
      </c>
    </row>
    <row r="571" spans="1:31" ht="15" customHeight="1" x14ac:dyDescent="0.2">
      <c r="A571" s="611" t="s">
        <v>1566</v>
      </c>
      <c r="B571" s="676" t="s">
        <v>1567</v>
      </c>
      <c r="C571" s="677" t="s">
        <v>130</v>
      </c>
      <c r="D571" s="576">
        <f>+I571+K571+M571+O571+Q571+S571</f>
        <v>521.76</v>
      </c>
      <c r="E571" s="577" t="e">
        <f t="shared" si="393"/>
        <v>#REF!</v>
      </c>
      <c r="F571" s="577" t="e">
        <f>ROUND(D571*E571,10)</f>
        <v>#REF!</v>
      </c>
      <c r="G571" s="578"/>
      <c r="I571" s="673"/>
      <c r="J571" s="674" t="e">
        <f>+ROUND(E571*I571,10)</f>
        <v>#REF!</v>
      </c>
      <c r="K571" s="537">
        <v>291.38</v>
      </c>
      <c r="L571" s="445" t="e">
        <f>+ROUND(E571*K571,10)</f>
        <v>#REF!</v>
      </c>
      <c r="M571" s="542">
        <v>43.94</v>
      </c>
      <c r="N571" s="445" t="e">
        <f>+ROUND(E571*M571,10)</f>
        <v>#REF!</v>
      </c>
      <c r="O571" s="542">
        <v>73.94</v>
      </c>
      <c r="P571" s="445" t="e">
        <f>+ROUND(E571*O571,10)</f>
        <v>#REF!</v>
      </c>
      <c r="Q571" s="542">
        <v>112.5</v>
      </c>
      <c r="R571" s="445" t="e">
        <f>+ROUND(E571*Q571,10)</f>
        <v>#REF!</v>
      </c>
      <c r="S571" s="542"/>
      <c r="T571" s="445" t="e">
        <f>+ROUND(E571*S571,10)</f>
        <v>#REF!</v>
      </c>
      <c r="V571" s="581" t="e">
        <f>+#REF!</f>
        <v>#REF!</v>
      </c>
      <c r="W571" s="582" t="e">
        <f>ROUND(V571*$D571,10)</f>
        <v>#REF!</v>
      </c>
      <c r="X571" s="581" t="e">
        <f>+#REF!</f>
        <v>#REF!</v>
      </c>
      <c r="Y571" s="582" t="e">
        <f>ROUND(X571*$D571,10)</f>
        <v>#REF!</v>
      </c>
      <c r="Z571" s="581" t="e">
        <f>+#REF!</f>
        <v>#REF!</v>
      </c>
      <c r="AA571" s="582" t="e">
        <f>ROUND(Z571*$D571,10)</f>
        <v>#REF!</v>
      </c>
      <c r="AB571" s="581"/>
      <c r="AC571" s="582">
        <f>ROUND(AB571*$D571,10)</f>
        <v>0</v>
      </c>
      <c r="AE571" s="769" t="e">
        <f t="shared" si="391"/>
        <v>#REF!</v>
      </c>
    </row>
    <row r="572" spans="1:31" s="595" customFormat="1" ht="15.75" x14ac:dyDescent="0.2">
      <c r="A572" s="572" t="s">
        <v>1568</v>
      </c>
      <c r="B572" s="573" t="s">
        <v>1569</v>
      </c>
      <c r="C572" s="846"/>
      <c r="D572" s="576"/>
      <c r="E572" s="577"/>
      <c r="F572" s="180" t="e">
        <f>+ROUND(SUM(F573:F577),10)</f>
        <v>#REF!</v>
      </c>
      <c r="G572" s="473"/>
      <c r="H572" s="568"/>
      <c r="I572" s="613"/>
      <c r="J572" s="440" t="e">
        <f>ROUND(SUM(J573:J577),10)</f>
        <v>#REF!</v>
      </c>
      <c r="K572" s="537"/>
      <c r="L572" s="180" t="e">
        <f>ROUND(SUM(L573:L577),10)</f>
        <v>#REF!</v>
      </c>
      <c r="M572" s="542"/>
      <c r="N572" s="180" t="e">
        <f>ROUND(SUM(N573:N577),10)</f>
        <v>#REF!</v>
      </c>
      <c r="O572" s="542"/>
      <c r="P572" s="180" t="e">
        <f>ROUND(SUM(P573:P577),10)</f>
        <v>#REF!</v>
      </c>
      <c r="Q572" s="542"/>
      <c r="R572" s="180" t="e">
        <f>ROUND(SUM(R573:R577),10)</f>
        <v>#REF!</v>
      </c>
      <c r="S572" s="542"/>
      <c r="T572" s="180" t="e">
        <f>ROUND(SUM(T573:T577),10)</f>
        <v>#REF!</v>
      </c>
      <c r="U572" s="568"/>
      <c r="V572" s="575"/>
      <c r="W572" s="570" t="e">
        <f>ROUND(SUM(W573:W577),10)</f>
        <v>#REF!</v>
      </c>
      <c r="X572" s="575"/>
      <c r="Y572" s="570" t="e">
        <f>ROUND(SUM(Y573:Y577),10)</f>
        <v>#REF!</v>
      </c>
      <c r="Z572" s="575"/>
      <c r="AA572" s="570" t="e">
        <f>ROUND(SUM(AA573:AA577),10)</f>
        <v>#REF!</v>
      </c>
      <c r="AB572" s="575"/>
      <c r="AC572" s="570" t="e">
        <f>ROUND(SUM(AC573:AC577),10)</f>
        <v>#REF!</v>
      </c>
      <c r="AD572" s="912"/>
      <c r="AE572" s="769" t="e">
        <f t="shared" si="391"/>
        <v>#REF!</v>
      </c>
    </row>
    <row r="573" spans="1:31" s="595" customFormat="1" ht="15" hidden="1" customHeight="1" x14ac:dyDescent="0.2">
      <c r="A573" s="611" t="s">
        <v>1570</v>
      </c>
      <c r="B573" s="601" t="s">
        <v>1571</v>
      </c>
      <c r="C573" s="611" t="s">
        <v>114</v>
      </c>
      <c r="D573" s="576">
        <f>+I573+K573+M573+O573+Q573+S573</f>
        <v>0</v>
      </c>
      <c r="E573" s="577" t="e">
        <f t="shared" si="393"/>
        <v>#REF!</v>
      </c>
      <c r="F573" s="577" t="e">
        <f>ROUND(D573*E573,10)</f>
        <v>#REF!</v>
      </c>
      <c r="G573" s="578"/>
      <c r="H573" s="552"/>
      <c r="I573" s="594"/>
      <c r="J573" s="580" t="e">
        <f>+ROUND(E573*I573,10)</f>
        <v>#REF!</v>
      </c>
      <c r="K573" s="537"/>
      <c r="L573" s="445" t="e">
        <f>+ROUND(E573*K573,10)</f>
        <v>#REF!</v>
      </c>
      <c r="M573" s="542"/>
      <c r="N573" s="445" t="e">
        <f>+ROUND(E573*M573,10)</f>
        <v>#REF!</v>
      </c>
      <c r="O573" s="542"/>
      <c r="P573" s="445" t="e">
        <f>+ROUND(E573*O573,10)</f>
        <v>#REF!</v>
      </c>
      <c r="Q573" s="537"/>
      <c r="R573" s="445" t="e">
        <f>+ROUND(E573*Q573,10)</f>
        <v>#REF!</v>
      </c>
      <c r="S573" s="542"/>
      <c r="T573" s="445" t="e">
        <f>+ROUND(E573*S573,10)</f>
        <v>#REF!</v>
      </c>
      <c r="U573" s="552"/>
      <c r="V573" s="581" t="e">
        <f>+'11,3,1 Canal Lámina'!I19</f>
        <v>#REF!</v>
      </c>
      <c r="W573" s="582" t="e">
        <f>ROUND(V573*$D573,10)</f>
        <v>#REF!</v>
      </c>
      <c r="X573" s="581">
        <f>+'11,3,1 Canal Lámina'!I50</f>
        <v>11758.89</v>
      </c>
      <c r="Y573" s="582">
        <f>ROUND(X573*$D573,10)</f>
        <v>0</v>
      </c>
      <c r="Z573" s="581">
        <f>+'11,3,1 Canal Lámina'!I30</f>
        <v>556.5</v>
      </c>
      <c r="AA573" s="582">
        <f>ROUND(Z573*$D573,10)</f>
        <v>0</v>
      </c>
      <c r="AB573" s="581">
        <f>+'11,3,1 Canal Lámina'!I41</f>
        <v>0</v>
      </c>
      <c r="AC573" s="582">
        <f>ROUND(AB573*$D573,10)</f>
        <v>0</v>
      </c>
      <c r="AD573" s="912"/>
      <c r="AE573" s="769" t="e">
        <f t="shared" si="391"/>
        <v>#REF!</v>
      </c>
    </row>
    <row r="574" spans="1:31" s="595" customFormat="1" x14ac:dyDescent="0.2">
      <c r="A574" s="611" t="s">
        <v>1572</v>
      </c>
      <c r="B574" s="601" t="s">
        <v>1573</v>
      </c>
      <c r="C574" s="611" t="s">
        <v>114</v>
      </c>
      <c r="D574" s="576">
        <f>+I574+K574+M574+O574+Q574+S574</f>
        <v>104.11</v>
      </c>
      <c r="E574" s="577" t="e">
        <f t="shared" si="393"/>
        <v>#REF!</v>
      </c>
      <c r="F574" s="577" t="e">
        <f>ROUND(D574*E574,10)</f>
        <v>#REF!</v>
      </c>
      <c r="G574" s="578"/>
      <c r="H574" s="552"/>
      <c r="I574" s="584"/>
      <c r="J574" s="585" t="e">
        <f>+ROUND(E574*I574,10)</f>
        <v>#REF!</v>
      </c>
      <c r="K574" s="537">
        <v>33.299999999999997</v>
      </c>
      <c r="L574" s="445" t="e">
        <f>+ROUND(E574*K574,10)</f>
        <v>#REF!</v>
      </c>
      <c r="M574" s="542">
        <v>12.36</v>
      </c>
      <c r="N574" s="445" t="e">
        <f>+ROUND(E574*M574,10)</f>
        <v>#REF!</v>
      </c>
      <c r="O574" s="542">
        <v>8.4499999999999993</v>
      </c>
      <c r="P574" s="445" t="e">
        <f>+ROUND(E574*O574,10)</f>
        <v>#REF!</v>
      </c>
      <c r="Q574" s="537">
        <v>50</v>
      </c>
      <c r="R574" s="445" t="e">
        <f>+ROUND(E574*Q574,10)</f>
        <v>#REF!</v>
      </c>
      <c r="S574" s="542"/>
      <c r="T574" s="445" t="e">
        <f>+ROUND(E574*S574,10)</f>
        <v>#REF!</v>
      </c>
      <c r="U574" s="552"/>
      <c r="V574" s="581" t="e">
        <f>+#REF!</f>
        <v>#REF!</v>
      </c>
      <c r="W574" s="582" t="e">
        <f>ROUND(V574*$D574,10)</f>
        <v>#REF!</v>
      </c>
      <c r="X574" s="581" t="e">
        <f>+#REF!</f>
        <v>#REF!</v>
      </c>
      <c r="Y574" s="582" t="e">
        <f>ROUND(X574*$D574,10)</f>
        <v>#REF!</v>
      </c>
      <c r="Z574" s="581" t="e">
        <f>+#REF!</f>
        <v>#REF!</v>
      </c>
      <c r="AA574" s="582" t="e">
        <f>ROUND(Z574*$D574,10)</f>
        <v>#REF!</v>
      </c>
      <c r="AB574" s="581" t="e">
        <f>+#REF!</f>
        <v>#REF!</v>
      </c>
      <c r="AC574" s="582" t="e">
        <f>ROUND(AB574*$D574,10)</f>
        <v>#REF!</v>
      </c>
      <c r="AD574" s="912"/>
      <c r="AE574" s="769" t="e">
        <f t="shared" si="391"/>
        <v>#REF!</v>
      </c>
    </row>
    <row r="575" spans="1:31" s="595" customFormat="1" ht="15" hidden="1" customHeight="1" x14ac:dyDescent="0.2">
      <c r="A575" s="611" t="s">
        <v>1574</v>
      </c>
      <c r="B575" s="601" t="s">
        <v>1575</v>
      </c>
      <c r="C575" s="611" t="s">
        <v>111</v>
      </c>
      <c r="D575" s="576">
        <f>+I575+K575+M575+O575+Q575+S575</f>
        <v>0</v>
      </c>
      <c r="E575" s="577" t="e">
        <f t="shared" si="393"/>
        <v>#REF!</v>
      </c>
      <c r="F575" s="577" t="e">
        <f>ROUND(D575*E575,10)</f>
        <v>#REF!</v>
      </c>
      <c r="G575" s="578"/>
      <c r="H575" s="552"/>
      <c r="I575" s="584"/>
      <c r="J575" s="585" t="e">
        <f>+ROUND(E575*I575,10)</f>
        <v>#REF!</v>
      </c>
      <c r="K575" s="537"/>
      <c r="L575" s="445" t="e">
        <f>+ROUND(E575*K575,10)</f>
        <v>#REF!</v>
      </c>
      <c r="M575" s="542"/>
      <c r="N575" s="445" t="e">
        <f>+ROUND(E575*M575,10)</f>
        <v>#REF!</v>
      </c>
      <c r="O575" s="542"/>
      <c r="P575" s="445" t="e">
        <f>+ROUND(E575*O575,10)</f>
        <v>#REF!</v>
      </c>
      <c r="Q575" s="537"/>
      <c r="R575" s="445" t="e">
        <f>+ROUND(E575*Q575,10)</f>
        <v>#REF!</v>
      </c>
      <c r="S575" s="542"/>
      <c r="T575" s="445" t="e">
        <f>+ROUND(E575*S575,10)</f>
        <v>#REF!</v>
      </c>
      <c r="U575" s="552"/>
      <c r="V575" s="581" t="e">
        <f>+'11,3,3 Tragante 5x3'!I19</f>
        <v>#REF!</v>
      </c>
      <c r="W575" s="582" t="e">
        <f>ROUND(V575*$D575,10)</f>
        <v>#REF!</v>
      </c>
      <c r="X575" s="581">
        <f>+'11,3,3 Tragante 5x3'!I50</f>
        <v>6584.98</v>
      </c>
      <c r="Y575" s="582">
        <f>ROUND(X575*$D575,10)</f>
        <v>0</v>
      </c>
      <c r="Z575" s="581">
        <f>+'11,3,3 Tragante 5x3'!I30</f>
        <v>74.2</v>
      </c>
      <c r="AA575" s="582">
        <f>ROUND(Z575*$D575,10)</f>
        <v>0</v>
      </c>
      <c r="AB575" s="581">
        <f>+'11,3,3 Tragante 5x3'!I41</f>
        <v>0</v>
      </c>
      <c r="AC575" s="582">
        <f>ROUND(AB575*$D575,10)</f>
        <v>0</v>
      </c>
      <c r="AD575" s="912"/>
      <c r="AE575" s="769" t="e">
        <f t="shared" si="391"/>
        <v>#REF!</v>
      </c>
    </row>
    <row r="576" spans="1:31" s="595" customFormat="1" x14ac:dyDescent="0.2">
      <c r="A576" s="611" t="s">
        <v>1576</v>
      </c>
      <c r="B576" s="601" t="s">
        <v>1577</v>
      </c>
      <c r="C576" s="611" t="s">
        <v>111</v>
      </c>
      <c r="D576" s="576">
        <f>+I576+K576+M576+O576+Q576+S576</f>
        <v>6</v>
      </c>
      <c r="E576" s="577" t="e">
        <f>V576+X576+Z576+AB576</f>
        <v>#REF!</v>
      </c>
      <c r="F576" s="577" t="e">
        <f>ROUND(D576*E576,10)</f>
        <v>#REF!</v>
      </c>
      <c r="G576" s="578"/>
      <c r="H576" s="552"/>
      <c r="I576" s="584"/>
      <c r="J576" s="585" t="e">
        <f>+ROUND(E576*I576,10)</f>
        <v>#REF!</v>
      </c>
      <c r="K576" s="537">
        <v>6</v>
      </c>
      <c r="L576" s="445" t="e">
        <f>+ROUND(E576*K576,10)</f>
        <v>#REF!</v>
      </c>
      <c r="M576" s="542"/>
      <c r="N576" s="445" t="e">
        <f>+ROUND(E576*M576,10)</f>
        <v>#REF!</v>
      </c>
      <c r="O576" s="542"/>
      <c r="P576" s="445" t="e">
        <f>+ROUND(E576*O576,10)</f>
        <v>#REF!</v>
      </c>
      <c r="Q576" s="537"/>
      <c r="R576" s="445" t="e">
        <f>+ROUND(E576*Q576,10)</f>
        <v>#REF!</v>
      </c>
      <c r="S576" s="542"/>
      <c r="T576" s="445" t="e">
        <f>+ROUND(E576*S576,10)</f>
        <v>#REF!</v>
      </c>
      <c r="U576" s="552"/>
      <c r="V576" s="581" t="e">
        <f>#REF!</f>
        <v>#REF!</v>
      </c>
      <c r="W576" s="582" t="e">
        <f>ROUND(V576*$D576,10)</f>
        <v>#REF!</v>
      </c>
      <c r="X576" s="581" t="e">
        <f>#REF!</f>
        <v>#REF!</v>
      </c>
      <c r="Y576" s="582" t="e">
        <f>ROUND(X576*$D576,10)</f>
        <v>#REF!</v>
      </c>
      <c r="Z576" s="581" t="e">
        <f>#REF!</f>
        <v>#REF!</v>
      </c>
      <c r="AA576" s="582" t="e">
        <f>ROUND(Z576*$D576,10)</f>
        <v>#REF!</v>
      </c>
      <c r="AB576" s="581" t="e">
        <f>#REF!</f>
        <v>#REF!</v>
      </c>
      <c r="AC576" s="582" t="e">
        <f>ROUND(AB576*$D576,10)</f>
        <v>#REF!</v>
      </c>
      <c r="AD576" s="912"/>
      <c r="AE576" s="769" t="e">
        <f t="shared" si="391"/>
        <v>#REF!</v>
      </c>
    </row>
    <row r="577" spans="1:31" s="595" customFormat="1" ht="15.75" thickBot="1" x14ac:dyDescent="0.25">
      <c r="A577" s="611" t="s">
        <v>1578</v>
      </c>
      <c r="B577" s="610" t="s">
        <v>1579</v>
      </c>
      <c r="C577" s="611" t="s">
        <v>114</v>
      </c>
      <c r="D577" s="576">
        <f>+I577+K577+M577+O577+Q577+S577</f>
        <v>4</v>
      </c>
      <c r="E577" s="577" t="e">
        <f t="shared" si="393"/>
        <v>#REF!</v>
      </c>
      <c r="F577" s="577" t="e">
        <f>ROUND(D577*E577,10)</f>
        <v>#REF!</v>
      </c>
      <c r="G577" s="578"/>
      <c r="H577" s="552"/>
      <c r="I577" s="602"/>
      <c r="J577" s="603" t="e">
        <f>+ROUND(E577*I577,10)</f>
        <v>#REF!</v>
      </c>
      <c r="K577" s="537">
        <v>4</v>
      </c>
      <c r="L577" s="445" t="e">
        <f>+ROUND(E577*K577,10)</f>
        <v>#REF!</v>
      </c>
      <c r="M577" s="542"/>
      <c r="N577" s="445" t="e">
        <f>+ROUND(E577*M577,10)</f>
        <v>#REF!</v>
      </c>
      <c r="O577" s="542"/>
      <c r="P577" s="445" t="e">
        <f>+ROUND(E577*O577,10)</f>
        <v>#REF!</v>
      </c>
      <c r="Q577" s="542"/>
      <c r="R577" s="445" t="e">
        <f>+ROUND(E577*Q577,10)</f>
        <v>#REF!</v>
      </c>
      <c r="S577" s="542"/>
      <c r="T577" s="445" t="e">
        <f>+ROUND(E577*S577,10)</f>
        <v>#REF!</v>
      </c>
      <c r="U577" s="552"/>
      <c r="V577" s="581" t="e">
        <f>+'11,3,5 Canal PVC'!I19</f>
        <v>#REF!</v>
      </c>
      <c r="W577" s="582" t="e">
        <f>ROUND(V577*$D577,10)</f>
        <v>#REF!</v>
      </c>
      <c r="X577" s="581">
        <f>+'11,3,5 Canal PVC'!I50</f>
        <v>6584.98</v>
      </c>
      <c r="Y577" s="582">
        <f>ROUND(X577*$D577,10)</f>
        <v>26339.919999999998</v>
      </c>
      <c r="Z577" s="581">
        <f>+'11,3,5 Canal PVC'!I30</f>
        <v>742</v>
      </c>
      <c r="AA577" s="582">
        <f>ROUND(Z577*$D577,10)</f>
        <v>2968</v>
      </c>
      <c r="AB577" s="581"/>
      <c r="AC577" s="582">
        <f>ROUND(AB577*$D577,10)</f>
        <v>0</v>
      </c>
      <c r="AD577" s="912"/>
      <c r="AE577" s="769" t="e">
        <f t="shared" si="391"/>
        <v>#REF!</v>
      </c>
    </row>
    <row r="578" spans="1:31" s="595" customFormat="1" ht="15.75" hidden="1" customHeight="1" thickTop="1" x14ac:dyDescent="0.2">
      <c r="A578" s="611"/>
      <c r="B578" s="601"/>
      <c r="C578" s="611"/>
      <c r="D578" s="576"/>
      <c r="E578" s="577"/>
      <c r="F578" s="577"/>
      <c r="G578" s="578"/>
      <c r="H578" s="552"/>
      <c r="I578" s="604"/>
      <c r="J578" s="635"/>
      <c r="K578" s="537"/>
      <c r="L578" s="445"/>
      <c r="M578" s="542"/>
      <c r="N578" s="445"/>
      <c r="O578" s="542"/>
      <c r="P578" s="445"/>
      <c r="Q578" s="542"/>
      <c r="R578" s="445"/>
      <c r="S578" s="542"/>
      <c r="T578" s="445"/>
      <c r="U578" s="552"/>
      <c r="V578" s="581"/>
      <c r="W578" s="582"/>
      <c r="X578" s="581"/>
      <c r="Y578" s="582"/>
      <c r="Z578" s="581"/>
      <c r="AA578" s="582"/>
      <c r="AB578" s="581"/>
      <c r="AC578" s="582"/>
      <c r="AD578" s="912"/>
      <c r="AE578" s="769">
        <f t="shared" si="391"/>
        <v>0</v>
      </c>
    </row>
    <row r="579" spans="1:31" s="666" customFormat="1" ht="6.75" customHeight="1" thickTop="1" thickBot="1" x14ac:dyDescent="0.25">
      <c r="A579" s="919"/>
      <c r="B579" s="920"/>
      <c r="C579" s="919"/>
      <c r="D579" s="655"/>
      <c r="E579" s="656"/>
      <c r="F579" s="656"/>
      <c r="G579" s="656"/>
      <c r="H579" s="657"/>
      <c r="I579" s="658"/>
      <c r="J579" s="658"/>
      <c r="K579" s="659"/>
      <c r="L579" s="658"/>
      <c r="M579" s="174"/>
      <c r="N579" s="658"/>
      <c r="O579" s="174"/>
      <c r="P579" s="658"/>
      <c r="Q579" s="174"/>
      <c r="R579" s="658"/>
      <c r="S579" s="174"/>
      <c r="T579" s="658"/>
      <c r="U579" s="657"/>
      <c r="V579" s="667"/>
      <c r="W579" s="667"/>
      <c r="X579" s="667"/>
      <c r="Y579" s="667"/>
      <c r="Z579" s="667"/>
      <c r="AA579" s="667"/>
      <c r="AB579" s="667"/>
      <c r="AC579" s="667"/>
      <c r="AD579" s="921"/>
      <c r="AE579" s="769"/>
    </row>
    <row r="580" spans="1:31" ht="30" customHeight="1" thickTop="1" thickBot="1" x14ac:dyDescent="0.25">
      <c r="A580" s="564">
        <v>12</v>
      </c>
      <c r="B580" s="1068" t="s">
        <v>1580</v>
      </c>
      <c r="C580" s="1069"/>
      <c r="D580" s="1069"/>
      <c r="E580" s="1069"/>
      <c r="F580" s="1070"/>
      <c r="G580" s="180" t="e">
        <f>ROUND(F581+F592+F602+F607+F614,10)</f>
        <v>#REF!</v>
      </c>
      <c r="H580" s="568"/>
      <c r="I580" s="616"/>
      <c r="J580" s="439" t="e">
        <f>+ROUND(J581+J592+J602+J607+J614,10)</f>
        <v>#REF!</v>
      </c>
      <c r="K580" s="617"/>
      <c r="L580" s="180" t="e">
        <f>+ROUND(L581+L592+L602+L607+L614,10)</f>
        <v>#REF!</v>
      </c>
      <c r="M580" s="180"/>
      <c r="N580" s="180" t="e">
        <f>+ROUND(N581+N592+N602+N607+N614,10)</f>
        <v>#REF!</v>
      </c>
      <c r="O580" s="180"/>
      <c r="P580" s="180" t="e">
        <f>+ROUND(P581+P592+P602+P607+P614,10)</f>
        <v>#REF!</v>
      </c>
      <c r="Q580" s="180"/>
      <c r="R580" s="180" t="e">
        <f>+ROUND(R581+R592+R602+R607+R614,10)</f>
        <v>#REF!</v>
      </c>
      <c r="S580" s="180"/>
      <c r="T580" s="180" t="e">
        <f>+ROUND(T581+T592+T602+T607+T614,10)</f>
        <v>#REF!</v>
      </c>
      <c r="U580" s="568"/>
      <c r="V580" s="569" t="e">
        <f>W580/$G$580</f>
        <v>#REF!</v>
      </c>
      <c r="W580" s="570" t="e">
        <f>ROUND(W581+W592+W602+W607+W614,10)</f>
        <v>#REF!</v>
      </c>
      <c r="X580" s="569" t="e">
        <f>Y580/$G$580</f>
        <v>#REF!</v>
      </c>
      <c r="Y580" s="570" t="e">
        <f>ROUND(Y581+Y592+Y602+Y607+Y614,10)</f>
        <v>#REF!</v>
      </c>
      <c r="Z580" s="569" t="e">
        <f>AA580/$G$580</f>
        <v>#REF!</v>
      </c>
      <c r="AA580" s="570" t="e">
        <f>ROUND(AA581+AA592+AA602+AA607+AA614,10)</f>
        <v>#REF!</v>
      </c>
      <c r="AB580" s="569" t="e">
        <f>AC580/$G$580</f>
        <v>#REF!</v>
      </c>
      <c r="AC580" s="570" t="e">
        <f>ROUND(AC581+AC592+AC602+AC607+AC614,10)</f>
        <v>#REF!</v>
      </c>
      <c r="AE580" s="769" t="e">
        <f t="shared" si="391"/>
        <v>#REF!</v>
      </c>
    </row>
    <row r="581" spans="1:31" ht="15" customHeight="1" thickTop="1" x14ac:dyDescent="0.2">
      <c r="A581" s="572" t="s">
        <v>1581</v>
      </c>
      <c r="B581" s="573" t="s">
        <v>1582</v>
      </c>
      <c r="C581" s="846"/>
      <c r="D581" s="576"/>
      <c r="E581" s="180"/>
      <c r="F581" s="626" t="e">
        <f>+ROUND(SUM(F582:F590),10)</f>
        <v>#REF!</v>
      </c>
      <c r="G581" s="473"/>
      <c r="H581" s="568"/>
      <c r="I581" s="618"/>
      <c r="J581" s="439" t="e">
        <f>ROUND(SUM(J582:J587),10)</f>
        <v>#REF!</v>
      </c>
      <c r="K581" s="619"/>
      <c r="L581" s="180" t="e">
        <f>ROUND(SUM(L582:L590),10)</f>
        <v>#REF!</v>
      </c>
      <c r="M581" s="473"/>
      <c r="N581" s="180" t="e">
        <f>ROUND(SUM(N582:N590),10)</f>
        <v>#REF!</v>
      </c>
      <c r="O581" s="473"/>
      <c r="P581" s="180" t="e">
        <f>ROUND(SUM(P582:P590),10)</f>
        <v>#REF!</v>
      </c>
      <c r="Q581" s="473"/>
      <c r="R581" s="180" t="e">
        <f>ROUND(SUM(R582:R590),10)</f>
        <v>#REF!</v>
      </c>
      <c r="S581" s="473"/>
      <c r="T581" s="180" t="e">
        <f>ROUND(SUM(T582:T590),10)</f>
        <v>#REF!</v>
      </c>
      <c r="U581" s="568"/>
      <c r="V581" s="575"/>
      <c r="W581" s="570" t="e">
        <f>ROUND(SUM(W582:W590),10)</f>
        <v>#REF!</v>
      </c>
      <c r="X581" s="575"/>
      <c r="Y581" s="570" t="e">
        <f>ROUND(SUM(Y582:Y590),10)</f>
        <v>#REF!</v>
      </c>
      <c r="Z581" s="575"/>
      <c r="AA581" s="570" t="e">
        <f>ROUND(SUM(AA582:AA590),10)</f>
        <v>#REF!</v>
      </c>
      <c r="AB581" s="575"/>
      <c r="AC581" s="570" t="e">
        <f>ROUND(SUM(AC582:AC590),10)</f>
        <v>#REF!</v>
      </c>
      <c r="AE581" s="769" t="e">
        <f t="shared" si="391"/>
        <v>#REF!</v>
      </c>
    </row>
    <row r="582" spans="1:31" ht="15" customHeight="1" x14ac:dyDescent="0.2">
      <c r="A582" s="611" t="s">
        <v>1583</v>
      </c>
      <c r="B582" s="610" t="s">
        <v>1584</v>
      </c>
      <c r="C582" s="611" t="s">
        <v>130</v>
      </c>
      <c r="D582" s="576">
        <f t="shared" ref="D582:D590" si="417">+I582+K582+M582+O582+Q582+S582</f>
        <v>176.66</v>
      </c>
      <c r="E582" s="577" t="e">
        <f t="shared" ref="E582:E624" si="418">V582+X582+Z582+AB582</f>
        <v>#REF!</v>
      </c>
      <c r="F582" s="577" t="e">
        <f t="shared" ref="F582:F590" si="419">ROUND(D582*E582,10)</f>
        <v>#REF!</v>
      </c>
      <c r="G582" s="578"/>
      <c r="I582" s="594"/>
      <c r="J582" s="580" t="e">
        <f t="shared" ref="J582:J587" si="420">+ROUND(E582*I582,10)</f>
        <v>#REF!</v>
      </c>
      <c r="K582" s="538">
        <f>61.6+40.32+30.64+23.22</f>
        <v>155.78</v>
      </c>
      <c r="L582" s="445" t="e">
        <f t="shared" ref="L582:L590" si="421">+ROUND(E582*K582,10)</f>
        <v>#REF!</v>
      </c>
      <c r="M582" s="542">
        <f>10.08+1.2</f>
        <v>11.28</v>
      </c>
      <c r="N582" s="445" t="e">
        <f t="shared" ref="N582:N590" si="422">+ROUND(E582*M582,10)</f>
        <v>#REF!</v>
      </c>
      <c r="O582" s="542">
        <f>8.96+0.64</f>
        <v>9.6000000000000014</v>
      </c>
      <c r="P582" s="445" t="e">
        <f t="shared" ref="P582:P590" si="423">+ROUND(E582*O582,10)</f>
        <v>#REF!</v>
      </c>
      <c r="Q582" s="542"/>
      <c r="R582" s="445" t="e">
        <f t="shared" ref="R582:R590" si="424">+ROUND(E582*Q582,10)</f>
        <v>#REF!</v>
      </c>
      <c r="S582" s="542"/>
      <c r="T582" s="445" t="e">
        <f t="shared" ref="T582:T590" si="425">+ROUND(E582*S582,10)</f>
        <v>#REF!</v>
      </c>
      <c r="V582" s="581" t="e">
        <f>+#REF!</f>
        <v>#REF!</v>
      </c>
      <c r="W582" s="582" t="e">
        <f t="shared" ref="W582:W590" si="426">ROUND(V582*$D582,10)</f>
        <v>#REF!</v>
      </c>
      <c r="X582" s="581" t="e">
        <f>+#REF!</f>
        <v>#REF!</v>
      </c>
      <c r="Y582" s="582" t="e">
        <f t="shared" ref="Y582:Y590" si="427">ROUND(X582*$D582,10)</f>
        <v>#REF!</v>
      </c>
      <c r="Z582" s="581" t="e">
        <f>+#REF!</f>
        <v>#REF!</v>
      </c>
      <c r="AA582" s="582" t="e">
        <f t="shared" ref="AA582:AA590" si="428">ROUND(Z582*$D582,10)</f>
        <v>#REF!</v>
      </c>
      <c r="AB582" s="581" t="e">
        <f>+#REF!</f>
        <v>#REF!</v>
      </c>
      <c r="AC582" s="582" t="e">
        <f t="shared" ref="AC582:AC590" si="429">ROUND(AB582*$D582,10)</f>
        <v>#REF!</v>
      </c>
      <c r="AE582" s="769" t="e">
        <f t="shared" si="391"/>
        <v>#REF!</v>
      </c>
    </row>
    <row r="583" spans="1:31" ht="15" hidden="1" customHeight="1" x14ac:dyDescent="0.2">
      <c r="A583" s="611" t="s">
        <v>1585</v>
      </c>
      <c r="B583" s="601" t="s">
        <v>1586</v>
      </c>
      <c r="C583" s="611" t="s">
        <v>130</v>
      </c>
      <c r="D583" s="576">
        <f t="shared" si="417"/>
        <v>0</v>
      </c>
      <c r="E583" s="577" t="e">
        <f t="shared" si="418"/>
        <v>#REF!</v>
      </c>
      <c r="F583" s="577" t="e">
        <f t="shared" si="419"/>
        <v>#REF!</v>
      </c>
      <c r="G583" s="578"/>
      <c r="I583" s="584"/>
      <c r="J583" s="585" t="e">
        <f t="shared" si="420"/>
        <v>#REF!</v>
      </c>
      <c r="K583" s="537"/>
      <c r="L583" s="445" t="e">
        <f t="shared" si="421"/>
        <v>#REF!</v>
      </c>
      <c r="M583" s="542"/>
      <c r="N583" s="445" t="e">
        <f t="shared" si="422"/>
        <v>#REF!</v>
      </c>
      <c r="O583" s="542"/>
      <c r="P583" s="445" t="e">
        <f t="shared" si="423"/>
        <v>#REF!</v>
      </c>
      <c r="Q583" s="542"/>
      <c r="R583" s="445" t="e">
        <f t="shared" si="424"/>
        <v>#REF!</v>
      </c>
      <c r="S583" s="542"/>
      <c r="T583" s="445" t="e">
        <f t="shared" si="425"/>
        <v>#REF!</v>
      </c>
      <c r="V583" s="581" t="e">
        <f>+'12,1,2 Ventanas aluminio reja'!I19</f>
        <v>#REF!</v>
      </c>
      <c r="W583" s="582" t="e">
        <f t="shared" si="426"/>
        <v>#REF!</v>
      </c>
      <c r="X583" s="581">
        <f>+'12,1,2 Ventanas aluminio reja'!I50</f>
        <v>50756.32</v>
      </c>
      <c r="Y583" s="582">
        <f t="shared" si="427"/>
        <v>0</v>
      </c>
      <c r="Z583" s="581">
        <f>+'12,1,2 Ventanas aluminio reja'!I30</f>
        <v>6976.85</v>
      </c>
      <c r="AA583" s="582">
        <f t="shared" si="428"/>
        <v>0</v>
      </c>
      <c r="AB583" s="581">
        <f>+'12,1,2 Ventanas aluminio reja'!I41</f>
        <v>0</v>
      </c>
      <c r="AC583" s="582">
        <f t="shared" si="429"/>
        <v>0</v>
      </c>
      <c r="AE583" s="769" t="e">
        <f t="shared" si="391"/>
        <v>#REF!</v>
      </c>
    </row>
    <row r="584" spans="1:31" ht="15" customHeight="1" x14ac:dyDescent="0.2">
      <c r="A584" s="611" t="s">
        <v>1587</v>
      </c>
      <c r="B584" s="601" t="s">
        <v>1588</v>
      </c>
      <c r="C584" s="611" t="s">
        <v>130</v>
      </c>
      <c r="D584" s="576">
        <f t="shared" si="417"/>
        <v>20.700000000000003</v>
      </c>
      <c r="E584" s="577" t="e">
        <f t="shared" si="418"/>
        <v>#REF!</v>
      </c>
      <c r="F584" s="577" t="e">
        <f t="shared" si="419"/>
        <v>#REF!</v>
      </c>
      <c r="G584" s="578"/>
      <c r="I584" s="584"/>
      <c r="J584" s="585" t="e">
        <f t="shared" si="420"/>
        <v>#REF!</v>
      </c>
      <c r="K584" s="537"/>
      <c r="L584" s="445" t="e">
        <f t="shared" si="421"/>
        <v>#REF!</v>
      </c>
      <c r="M584" s="542">
        <f>2.6+1.82</f>
        <v>4.42</v>
      </c>
      <c r="N584" s="445" t="e">
        <f t="shared" si="422"/>
        <v>#REF!</v>
      </c>
      <c r="O584" s="542">
        <f>9+5.2+2.08</f>
        <v>16.28</v>
      </c>
      <c r="P584" s="445" t="e">
        <f t="shared" si="423"/>
        <v>#REF!</v>
      </c>
      <c r="Q584" s="542"/>
      <c r="R584" s="445" t="e">
        <f t="shared" si="424"/>
        <v>#REF!</v>
      </c>
      <c r="S584" s="542"/>
      <c r="T584" s="445" t="e">
        <f t="shared" si="425"/>
        <v>#REF!</v>
      </c>
      <c r="V584" s="581" t="e">
        <f>+#REF!</f>
        <v>#REF!</v>
      </c>
      <c r="W584" s="582" t="e">
        <f t="shared" si="426"/>
        <v>#REF!</v>
      </c>
      <c r="X584" s="581" t="e">
        <f>+#REF!</f>
        <v>#REF!</v>
      </c>
      <c r="Y584" s="582" t="e">
        <f t="shared" si="427"/>
        <v>#REF!</v>
      </c>
      <c r="Z584" s="581" t="e">
        <f>+#REF!</f>
        <v>#REF!</v>
      </c>
      <c r="AA584" s="582" t="e">
        <f t="shared" si="428"/>
        <v>#REF!</v>
      </c>
      <c r="AB584" s="581" t="e">
        <f>+#REF!</f>
        <v>#REF!</v>
      </c>
      <c r="AC584" s="582" t="e">
        <f t="shared" si="429"/>
        <v>#REF!</v>
      </c>
      <c r="AE584" s="769" t="e">
        <f t="shared" si="391"/>
        <v>#REF!</v>
      </c>
    </row>
    <row r="585" spans="1:31" ht="15" hidden="1" customHeight="1" x14ac:dyDescent="0.2">
      <c r="A585" s="611" t="s">
        <v>1589</v>
      </c>
      <c r="B585" s="601" t="s">
        <v>1590</v>
      </c>
      <c r="C585" s="611" t="s">
        <v>130</v>
      </c>
      <c r="D585" s="576">
        <f t="shared" si="417"/>
        <v>0</v>
      </c>
      <c r="E585" s="577" t="e">
        <f t="shared" si="418"/>
        <v>#REF!</v>
      </c>
      <c r="F585" s="577" t="e">
        <f t="shared" si="419"/>
        <v>#REF!</v>
      </c>
      <c r="G585" s="578"/>
      <c r="I585" s="584"/>
      <c r="J585" s="585" t="e">
        <f t="shared" si="420"/>
        <v>#REF!</v>
      </c>
      <c r="K585" s="537"/>
      <c r="L585" s="445" t="e">
        <f t="shared" si="421"/>
        <v>#REF!</v>
      </c>
      <c r="M585" s="542"/>
      <c r="N585" s="445" t="e">
        <f t="shared" si="422"/>
        <v>#REF!</v>
      </c>
      <c r="O585" s="542"/>
      <c r="P585" s="445" t="e">
        <f t="shared" si="423"/>
        <v>#REF!</v>
      </c>
      <c r="Q585" s="542"/>
      <c r="R585" s="445" t="e">
        <f t="shared" si="424"/>
        <v>#REF!</v>
      </c>
      <c r="S585" s="542"/>
      <c r="T585" s="445" t="e">
        <f t="shared" si="425"/>
        <v>#REF!</v>
      </c>
      <c r="V585" s="581" t="e">
        <f>+'12,1,4 Puert Alum dob reja'!I19</f>
        <v>#REF!</v>
      </c>
      <c r="W585" s="582" t="e">
        <f t="shared" si="426"/>
        <v>#REF!</v>
      </c>
      <c r="X585" s="581">
        <f>+'12,1,4 Puert Alum dob reja'!I50</f>
        <v>28550.43</v>
      </c>
      <c r="Y585" s="582">
        <f t="shared" si="427"/>
        <v>0</v>
      </c>
      <c r="Z585" s="581">
        <f>+'12,1,4 Puert Alum dob reja'!I30</f>
        <v>6501.19</v>
      </c>
      <c r="AA585" s="582">
        <f t="shared" si="428"/>
        <v>0</v>
      </c>
      <c r="AB585" s="581">
        <f>+'12,1,4 Puert Alum dob reja'!I41</f>
        <v>0</v>
      </c>
      <c r="AC585" s="582">
        <f t="shared" si="429"/>
        <v>0</v>
      </c>
      <c r="AE585" s="769" t="e">
        <f t="shared" si="391"/>
        <v>#REF!</v>
      </c>
    </row>
    <row r="586" spans="1:31" ht="15" customHeight="1" x14ac:dyDescent="0.2">
      <c r="A586" s="611" t="s">
        <v>1591</v>
      </c>
      <c r="B586" s="601" t="s">
        <v>1592</v>
      </c>
      <c r="C586" s="611" t="s">
        <v>130</v>
      </c>
      <c r="D586" s="576">
        <f t="shared" si="417"/>
        <v>56</v>
      </c>
      <c r="E586" s="577" t="e">
        <f t="shared" si="418"/>
        <v>#REF!</v>
      </c>
      <c r="F586" s="577" t="e">
        <f t="shared" si="419"/>
        <v>#REF!</v>
      </c>
      <c r="G586" s="578"/>
      <c r="I586" s="584"/>
      <c r="J586" s="585" t="e">
        <f t="shared" si="420"/>
        <v>#REF!</v>
      </c>
      <c r="K586" s="537">
        <f>30+20.8</f>
        <v>50.8</v>
      </c>
      <c r="L586" s="445" t="e">
        <f t="shared" si="421"/>
        <v>#REF!</v>
      </c>
      <c r="M586" s="542">
        <v>5.2</v>
      </c>
      <c r="N586" s="445" t="e">
        <f t="shared" si="422"/>
        <v>#REF!</v>
      </c>
      <c r="O586" s="542"/>
      <c r="P586" s="445" t="e">
        <f t="shared" si="423"/>
        <v>#REF!</v>
      </c>
      <c r="Q586" s="542"/>
      <c r="R586" s="445" t="e">
        <f t="shared" si="424"/>
        <v>#REF!</v>
      </c>
      <c r="S586" s="542"/>
      <c r="T586" s="445" t="e">
        <f t="shared" si="425"/>
        <v>#REF!</v>
      </c>
      <c r="V586" s="581" t="e">
        <f>+#REF!</f>
        <v>#REF!</v>
      </c>
      <c r="W586" s="582" t="e">
        <f t="shared" si="426"/>
        <v>#REF!</v>
      </c>
      <c r="X586" s="581" t="e">
        <f>+#REF!</f>
        <v>#REF!</v>
      </c>
      <c r="Y586" s="582" t="e">
        <f t="shared" si="427"/>
        <v>#REF!</v>
      </c>
      <c r="Z586" s="581" t="e">
        <f>+#REF!</f>
        <v>#REF!</v>
      </c>
      <c r="AA586" s="582" t="e">
        <f t="shared" si="428"/>
        <v>#REF!</v>
      </c>
      <c r="AB586" s="581" t="e">
        <f>+#REF!</f>
        <v>#REF!</v>
      </c>
      <c r="AC586" s="582" t="e">
        <f t="shared" si="429"/>
        <v>#REF!</v>
      </c>
      <c r="AE586" s="769" t="e">
        <f t="shared" si="391"/>
        <v>#REF!</v>
      </c>
    </row>
    <row r="587" spans="1:31" ht="15" customHeight="1" x14ac:dyDescent="0.2">
      <c r="A587" s="611" t="s">
        <v>1593</v>
      </c>
      <c r="B587" s="601" t="s">
        <v>1594</v>
      </c>
      <c r="C587" s="611" t="s">
        <v>111</v>
      </c>
      <c r="D587" s="576">
        <f t="shared" si="417"/>
        <v>17</v>
      </c>
      <c r="E587" s="577" t="e">
        <f t="shared" si="418"/>
        <v>#REF!</v>
      </c>
      <c r="F587" s="577" t="e">
        <f t="shared" si="419"/>
        <v>#REF!</v>
      </c>
      <c r="G587" s="578"/>
      <c r="I587" s="597"/>
      <c r="J587" s="598" t="e">
        <f t="shared" si="420"/>
        <v>#REF!</v>
      </c>
      <c r="K587" s="537"/>
      <c r="L587" s="445" t="e">
        <f t="shared" si="421"/>
        <v>#REF!</v>
      </c>
      <c r="M587" s="542">
        <v>1</v>
      </c>
      <c r="N587" s="445" t="e">
        <f t="shared" si="422"/>
        <v>#REF!</v>
      </c>
      <c r="O587" s="542">
        <v>16</v>
      </c>
      <c r="P587" s="445" t="e">
        <f t="shared" si="423"/>
        <v>#REF!</v>
      </c>
      <c r="Q587" s="542"/>
      <c r="R587" s="445" t="e">
        <f t="shared" si="424"/>
        <v>#REF!</v>
      </c>
      <c r="S587" s="542"/>
      <c r="T587" s="445" t="e">
        <f t="shared" si="425"/>
        <v>#REF!</v>
      </c>
      <c r="V587" s="581" t="e">
        <f>+#REF!</f>
        <v>#REF!</v>
      </c>
      <c r="W587" s="582" t="e">
        <f t="shared" si="426"/>
        <v>#REF!</v>
      </c>
      <c r="X587" s="581" t="e">
        <f>+#REF!</f>
        <v>#REF!</v>
      </c>
      <c r="Y587" s="582" t="e">
        <f t="shared" si="427"/>
        <v>#REF!</v>
      </c>
      <c r="Z587" s="581" t="e">
        <f>+#REF!</f>
        <v>#REF!</v>
      </c>
      <c r="AA587" s="582" t="e">
        <f t="shared" si="428"/>
        <v>#REF!</v>
      </c>
      <c r="AB587" s="581" t="e">
        <f>+#REF!</f>
        <v>#REF!</v>
      </c>
      <c r="AC587" s="582" t="e">
        <f t="shared" si="429"/>
        <v>#REF!</v>
      </c>
      <c r="AE587" s="769" t="e">
        <f t="shared" si="391"/>
        <v>#REF!</v>
      </c>
    </row>
    <row r="588" spans="1:31" ht="15" hidden="1" customHeight="1" x14ac:dyDescent="0.2">
      <c r="A588" s="611" t="s">
        <v>1595</v>
      </c>
      <c r="B588" s="601" t="s">
        <v>1596</v>
      </c>
      <c r="C588" s="611" t="s">
        <v>114</v>
      </c>
      <c r="D588" s="576">
        <f t="shared" si="417"/>
        <v>0</v>
      </c>
      <c r="E588" s="577" t="e">
        <f t="shared" si="418"/>
        <v>#REF!</v>
      </c>
      <c r="F588" s="577" t="e">
        <f t="shared" si="419"/>
        <v>#REF!</v>
      </c>
      <c r="G588" s="578"/>
      <c r="I588" s="633"/>
      <c r="J588" s="648"/>
      <c r="K588" s="537"/>
      <c r="L588" s="445" t="e">
        <f t="shared" si="421"/>
        <v>#REF!</v>
      </c>
      <c r="M588" s="542"/>
      <c r="N588" s="445" t="e">
        <f t="shared" si="422"/>
        <v>#REF!</v>
      </c>
      <c r="O588" s="542"/>
      <c r="P588" s="445" t="e">
        <f t="shared" si="423"/>
        <v>#REF!</v>
      </c>
      <c r="Q588" s="542"/>
      <c r="R588" s="445" t="e">
        <f t="shared" si="424"/>
        <v>#REF!</v>
      </c>
      <c r="S588" s="542"/>
      <c r="T588" s="445" t="e">
        <f t="shared" si="425"/>
        <v>#REF!</v>
      </c>
      <c r="V588" s="581" t="e">
        <f>+'12,1,7 PERGOLAS ALUM'!I19</f>
        <v>#REF!</v>
      </c>
      <c r="W588" s="582" t="e">
        <f t="shared" si="426"/>
        <v>#REF!</v>
      </c>
      <c r="X588" s="581">
        <f>+'12,1,7 PERGOLAS ALUM'!I50</f>
        <v>13051.63</v>
      </c>
      <c r="Y588" s="582">
        <f t="shared" si="427"/>
        <v>0</v>
      </c>
      <c r="Z588" s="581">
        <f>+'12,1,7 PERGOLAS ALUM'!I30</f>
        <v>327.49</v>
      </c>
      <c r="AA588" s="582">
        <f t="shared" si="428"/>
        <v>0</v>
      </c>
      <c r="AB588" s="581"/>
      <c r="AC588" s="582">
        <f t="shared" si="429"/>
        <v>0</v>
      </c>
      <c r="AE588" s="769" t="e">
        <f t="shared" si="391"/>
        <v>#REF!</v>
      </c>
    </row>
    <row r="589" spans="1:31" ht="15" customHeight="1" x14ac:dyDescent="0.2">
      <c r="A589" s="611" t="s">
        <v>1597</v>
      </c>
      <c r="B589" s="649" t="s">
        <v>1598</v>
      </c>
      <c r="C589" s="611" t="s">
        <v>130</v>
      </c>
      <c r="D589" s="576">
        <f t="shared" si="417"/>
        <v>3</v>
      </c>
      <c r="E589" s="577" t="e">
        <f t="shared" si="418"/>
        <v>#REF!</v>
      </c>
      <c r="F589" s="577" t="e">
        <f t="shared" si="419"/>
        <v>#REF!</v>
      </c>
      <c r="G589" s="578"/>
      <c r="I589" s="633"/>
      <c r="J589" s="648"/>
      <c r="K589" s="537"/>
      <c r="L589" s="445" t="e">
        <f t="shared" si="421"/>
        <v>#REF!</v>
      </c>
      <c r="M589" s="542"/>
      <c r="N589" s="445" t="e">
        <f t="shared" si="422"/>
        <v>#REF!</v>
      </c>
      <c r="O589" s="542">
        <v>3</v>
      </c>
      <c r="P589" s="445" t="e">
        <f t="shared" si="423"/>
        <v>#REF!</v>
      </c>
      <c r="Q589" s="542"/>
      <c r="R589" s="445" t="e">
        <f t="shared" si="424"/>
        <v>#REF!</v>
      </c>
      <c r="S589" s="542"/>
      <c r="T589" s="445" t="e">
        <f t="shared" si="425"/>
        <v>#REF!</v>
      </c>
      <c r="V589" s="581" t="e">
        <f>+#REF!</f>
        <v>#REF!</v>
      </c>
      <c r="W589" s="582" t="e">
        <f t="shared" si="426"/>
        <v>#REF!</v>
      </c>
      <c r="X589" s="581" t="e">
        <f>+#REF!</f>
        <v>#REF!</v>
      </c>
      <c r="Y589" s="582" t="e">
        <f t="shared" si="427"/>
        <v>#REF!</v>
      </c>
      <c r="Z589" s="581" t="e">
        <f>+#REF!</f>
        <v>#REF!</v>
      </c>
      <c r="AA589" s="582" t="e">
        <f t="shared" si="428"/>
        <v>#REF!</v>
      </c>
      <c r="AB589" s="581" t="e">
        <f>+#REF!</f>
        <v>#REF!</v>
      </c>
      <c r="AC589" s="582" t="e">
        <f t="shared" si="429"/>
        <v>#REF!</v>
      </c>
      <c r="AE589" s="769" t="e">
        <f t="shared" si="391"/>
        <v>#REF!</v>
      </c>
    </row>
    <row r="590" spans="1:31" ht="15" hidden="1" customHeight="1" x14ac:dyDescent="0.2">
      <c r="A590" s="611" t="s">
        <v>1599</v>
      </c>
      <c r="B590" s="601" t="s">
        <v>1600</v>
      </c>
      <c r="C590" s="611" t="s">
        <v>114</v>
      </c>
      <c r="D590" s="576">
        <f t="shared" si="417"/>
        <v>0</v>
      </c>
      <c r="E590" s="577" t="e">
        <f t="shared" si="418"/>
        <v>#REF!</v>
      </c>
      <c r="F590" s="577" t="e">
        <f t="shared" si="419"/>
        <v>#REF!</v>
      </c>
      <c r="G590" s="578"/>
      <c r="I590" s="633"/>
      <c r="J590" s="648"/>
      <c r="K590" s="537"/>
      <c r="L590" s="445" t="e">
        <f t="shared" si="421"/>
        <v>#REF!</v>
      </c>
      <c r="M590" s="542"/>
      <c r="N590" s="445" t="e">
        <f t="shared" si="422"/>
        <v>#REF!</v>
      </c>
      <c r="O590" s="542"/>
      <c r="P590" s="445" t="e">
        <f t="shared" si="423"/>
        <v>#REF!</v>
      </c>
      <c r="Q590" s="542"/>
      <c r="R590" s="445" t="e">
        <f t="shared" si="424"/>
        <v>#REF!</v>
      </c>
      <c r="S590" s="542"/>
      <c r="T590" s="445" t="e">
        <f t="shared" si="425"/>
        <v>#REF!</v>
      </c>
      <c r="V590" s="581" t="e">
        <f>+'12,1,9 BARANDA EN ALUMINIO'!I20</f>
        <v>#REF!</v>
      </c>
      <c r="W590" s="582" t="e">
        <f t="shared" si="426"/>
        <v>#REF!</v>
      </c>
      <c r="X590" s="581">
        <f>+'12,1,9 BARANDA EN ALUMINIO'!I51</f>
        <v>30453.79</v>
      </c>
      <c r="Y590" s="582">
        <f t="shared" si="427"/>
        <v>0</v>
      </c>
      <c r="Z590" s="581">
        <f>+'12,1,9 BARANDA EN ALUMINIO'!I31</f>
        <v>327.49</v>
      </c>
      <c r="AA590" s="582">
        <f t="shared" si="428"/>
        <v>0</v>
      </c>
      <c r="AB590" s="581">
        <f>+'12,1,9 BARANDA EN ALUMINIO'!I42</f>
        <v>0</v>
      </c>
      <c r="AC590" s="582">
        <f t="shared" si="429"/>
        <v>0</v>
      </c>
      <c r="AE590" s="769" t="e">
        <f t="shared" si="391"/>
        <v>#REF!</v>
      </c>
    </row>
    <row r="591" spans="1:31" ht="15" customHeight="1" x14ac:dyDescent="0.2">
      <c r="A591" s="572" t="s">
        <v>1601</v>
      </c>
      <c r="B591" s="573" t="s">
        <v>1602</v>
      </c>
      <c r="C591" s="846"/>
      <c r="D591" s="576"/>
      <c r="E591" s="577"/>
      <c r="F591" s="180"/>
      <c r="G591" s="473"/>
      <c r="H591" s="568"/>
      <c r="I591" s="613"/>
      <c r="J591" s="652"/>
      <c r="K591" s="537"/>
      <c r="L591" s="445"/>
      <c r="M591" s="542"/>
      <c r="N591" s="445"/>
      <c r="O591" s="542"/>
      <c r="P591" s="445"/>
      <c r="Q591" s="542"/>
      <c r="R591" s="445"/>
      <c r="S591" s="542"/>
      <c r="T591" s="445"/>
      <c r="U591" s="568"/>
      <c r="V591" s="575"/>
      <c r="W591" s="582"/>
      <c r="X591" s="575"/>
      <c r="Y591" s="570"/>
      <c r="Z591" s="575"/>
      <c r="AA591" s="570"/>
      <c r="AB591" s="575"/>
      <c r="AC591" s="570"/>
      <c r="AE591" s="769">
        <f t="shared" si="391"/>
        <v>0</v>
      </c>
    </row>
    <row r="592" spans="1:31" ht="15" hidden="1" customHeight="1" x14ac:dyDescent="0.2">
      <c r="A592" s="572" t="s">
        <v>1603</v>
      </c>
      <c r="B592" s="573" t="s">
        <v>1604</v>
      </c>
      <c r="C592" s="846"/>
      <c r="D592" s="576"/>
      <c r="E592" s="577"/>
      <c r="F592" s="626" t="e">
        <f>+ROUND(SUM(F593:F601),10)</f>
        <v>#REF!</v>
      </c>
      <c r="G592" s="473"/>
      <c r="H592" s="568"/>
      <c r="I592" s="633"/>
      <c r="J592" s="441" t="e">
        <f>ROUND(SUM(J593:J601),10)</f>
        <v>#REF!</v>
      </c>
      <c r="K592" s="537"/>
      <c r="L592" s="180" t="e">
        <f>ROUND(SUM(L593:L601),10)</f>
        <v>#REF!</v>
      </c>
      <c r="M592" s="542"/>
      <c r="N592" s="180" t="e">
        <f>ROUND(SUM(N593:N601),10)</f>
        <v>#REF!</v>
      </c>
      <c r="O592" s="542"/>
      <c r="P592" s="180" t="e">
        <f>ROUND(SUM(P593:P601),10)</f>
        <v>#REF!</v>
      </c>
      <c r="Q592" s="542"/>
      <c r="R592" s="180" t="e">
        <f>ROUND(SUM(R593:R601),10)</f>
        <v>#REF!</v>
      </c>
      <c r="S592" s="542"/>
      <c r="T592" s="180" t="e">
        <f>ROUND(SUM(T593:T601),10)</f>
        <v>#REF!</v>
      </c>
      <c r="U592" s="568"/>
      <c r="V592" s="575"/>
      <c r="W592" s="570" t="e">
        <f>ROUND(SUM(W593:W601),10)</f>
        <v>#REF!</v>
      </c>
      <c r="X592" s="575"/>
      <c r="Y592" s="570">
        <f>ROUND(SUM(Y593:Y601),10)</f>
        <v>0</v>
      </c>
      <c r="Z592" s="575"/>
      <c r="AA592" s="570">
        <f>ROUND(SUM(AA593:AA601),10)</f>
        <v>0</v>
      </c>
      <c r="AB592" s="575"/>
      <c r="AC592" s="570">
        <f>ROUND(SUM(AC593:AC601),10)</f>
        <v>0</v>
      </c>
      <c r="AE592" s="769" t="e">
        <f t="shared" si="391"/>
        <v>#REF!</v>
      </c>
    </row>
    <row r="593" spans="1:31" ht="15" hidden="1" customHeight="1" x14ac:dyDescent="0.2">
      <c r="A593" s="611" t="s">
        <v>1605</v>
      </c>
      <c r="B593" s="601" t="s">
        <v>1606</v>
      </c>
      <c r="C593" s="611" t="s">
        <v>114</v>
      </c>
      <c r="D593" s="576">
        <f t="shared" ref="D593:D601" si="430">+I593+K593+M593+O593+Q593+S593</f>
        <v>0</v>
      </c>
      <c r="E593" s="577" t="e">
        <f t="shared" si="418"/>
        <v>#REF!</v>
      </c>
      <c r="F593" s="577" t="e">
        <f t="shared" ref="F593:F601" si="431">ROUND(D593*E593,10)</f>
        <v>#REF!</v>
      </c>
      <c r="G593" s="578"/>
      <c r="I593" s="594"/>
      <c r="J593" s="580" t="e">
        <f t="shared" ref="J593:J601" si="432">+ROUND(E593*I593,10)</f>
        <v>#REF!</v>
      </c>
      <c r="K593" s="537"/>
      <c r="L593" s="445" t="e">
        <f t="shared" ref="L593:L601" si="433">+ROUND(E593*K593,10)</f>
        <v>#REF!</v>
      </c>
      <c r="M593" s="542"/>
      <c r="N593" s="445" t="e">
        <f t="shared" ref="N593:N601" si="434">+ROUND(E593*M593,10)</f>
        <v>#REF!</v>
      </c>
      <c r="O593" s="542"/>
      <c r="P593" s="445" t="e">
        <f t="shared" ref="P593:P601" si="435">+ROUND(E593*O593,10)</f>
        <v>#REF!</v>
      </c>
      <c r="Q593" s="542"/>
      <c r="R593" s="445" t="e">
        <f t="shared" ref="R593:R601" si="436">+ROUND(E593*Q593,10)</f>
        <v>#REF!</v>
      </c>
      <c r="S593" s="542"/>
      <c r="T593" s="445" t="e">
        <f t="shared" ref="T593:T601" si="437">+ROUND(E593*S593,10)</f>
        <v>#REF!</v>
      </c>
      <c r="V593" s="581" t="e">
        <f>+'12,2,1,1 Marcos puerta'!I19</f>
        <v>#REF!</v>
      </c>
      <c r="W593" s="582" t="e">
        <f t="shared" ref="W593:W601" si="438">ROUND(V593*$D593,10)</f>
        <v>#REF!</v>
      </c>
      <c r="X593" s="581">
        <f>+'12,2,1,1 Marcos puerta'!I50</f>
        <v>5386.87</v>
      </c>
      <c r="Y593" s="582">
        <f t="shared" ref="Y593:Y601" si="439">ROUND(X593*$D593,10)</f>
        <v>0</v>
      </c>
      <c r="Z593" s="581">
        <f>+'12,2,1,1 Marcos puerta'!I30</f>
        <v>4709.43</v>
      </c>
      <c r="AA593" s="582">
        <f t="shared" ref="AA593:AA601" si="440">ROUND(Z593*$D593,10)</f>
        <v>0</v>
      </c>
      <c r="AB593" s="581"/>
      <c r="AC593" s="582">
        <f t="shared" ref="AC593:AC601" si="441">ROUND(AB593*$D593,10)</f>
        <v>0</v>
      </c>
      <c r="AE593" s="769" t="e">
        <f t="shared" si="391"/>
        <v>#REF!</v>
      </c>
    </row>
    <row r="594" spans="1:31" ht="15" hidden="1" customHeight="1" x14ac:dyDescent="0.2">
      <c r="A594" s="611" t="s">
        <v>1607</v>
      </c>
      <c r="B594" s="610" t="s">
        <v>1608</v>
      </c>
      <c r="C594" s="627" t="s">
        <v>130</v>
      </c>
      <c r="D594" s="576">
        <f t="shared" si="430"/>
        <v>0</v>
      </c>
      <c r="E594" s="577" t="e">
        <f t="shared" si="418"/>
        <v>#REF!</v>
      </c>
      <c r="F594" s="577" t="e">
        <f t="shared" si="431"/>
        <v>#REF!</v>
      </c>
      <c r="G594" s="578"/>
      <c r="I594" s="584"/>
      <c r="J594" s="585" t="e">
        <f t="shared" si="432"/>
        <v>#REF!</v>
      </c>
      <c r="K594" s="537"/>
      <c r="L594" s="445" t="e">
        <f t="shared" si="433"/>
        <v>#REF!</v>
      </c>
      <c r="M594" s="542"/>
      <c r="N594" s="445" t="e">
        <f t="shared" si="434"/>
        <v>#REF!</v>
      </c>
      <c r="O594" s="542"/>
      <c r="P594" s="445" t="e">
        <f t="shared" si="435"/>
        <v>#REF!</v>
      </c>
      <c r="Q594" s="542"/>
      <c r="R594" s="445" t="e">
        <f t="shared" si="436"/>
        <v>#REF!</v>
      </c>
      <c r="S594" s="542"/>
      <c r="T594" s="445" t="e">
        <f t="shared" si="437"/>
        <v>#REF!</v>
      </c>
      <c r="V594" s="581" t="e">
        <f>+'12,2,1,2 Puerta Sencilla'!I19</f>
        <v>#REF!</v>
      </c>
      <c r="W594" s="582" t="e">
        <f t="shared" si="438"/>
        <v>#REF!</v>
      </c>
      <c r="X594" s="581">
        <f>+'12,2,1,2 Puerta Sencilla'!I50</f>
        <v>47883.33</v>
      </c>
      <c r="Y594" s="582">
        <f t="shared" si="439"/>
        <v>0</v>
      </c>
      <c r="Z594" s="581">
        <f>+'12,2,1,2 Puerta Sencilla'!I30</f>
        <v>10730.380000000001</v>
      </c>
      <c r="AA594" s="582">
        <f t="shared" si="440"/>
        <v>0</v>
      </c>
      <c r="AB594" s="581"/>
      <c r="AC594" s="582">
        <f t="shared" si="441"/>
        <v>0</v>
      </c>
      <c r="AE594" s="769" t="e">
        <f t="shared" ref="AE594:AE657" si="442">SUM(AC594,AA594,Y594,W594)-SUM(T594,R594,P594,N594,L594)</f>
        <v>#REF!</v>
      </c>
    </row>
    <row r="595" spans="1:31" ht="15" hidden="1" customHeight="1" x14ac:dyDescent="0.2">
      <c r="A595" s="611" t="s">
        <v>1609</v>
      </c>
      <c r="B595" s="610" t="s">
        <v>1610</v>
      </c>
      <c r="C595" s="627" t="s">
        <v>130</v>
      </c>
      <c r="D595" s="576">
        <f t="shared" si="430"/>
        <v>0</v>
      </c>
      <c r="E595" s="577" t="e">
        <f t="shared" si="418"/>
        <v>#REF!</v>
      </c>
      <c r="F595" s="577" t="e">
        <f t="shared" si="431"/>
        <v>#REF!</v>
      </c>
      <c r="G595" s="578"/>
      <c r="I595" s="584"/>
      <c r="J595" s="585" t="e">
        <f t="shared" si="432"/>
        <v>#REF!</v>
      </c>
      <c r="K595" s="537"/>
      <c r="L595" s="445" t="e">
        <f t="shared" si="433"/>
        <v>#REF!</v>
      </c>
      <c r="M595" s="542"/>
      <c r="N595" s="445" t="e">
        <f t="shared" si="434"/>
        <v>#REF!</v>
      </c>
      <c r="O595" s="542"/>
      <c r="P595" s="445" t="e">
        <f t="shared" si="435"/>
        <v>#REF!</v>
      </c>
      <c r="Q595" s="542"/>
      <c r="R595" s="445" t="e">
        <f t="shared" si="436"/>
        <v>#REF!</v>
      </c>
      <c r="S595" s="542"/>
      <c r="T595" s="445" t="e">
        <f t="shared" si="437"/>
        <v>#REF!</v>
      </c>
      <c r="V595" s="581" t="e">
        <f>+'12,2,1,3 Ventana'!I19</f>
        <v>#REF!</v>
      </c>
      <c r="W595" s="582" t="e">
        <f t="shared" si="438"/>
        <v>#REF!</v>
      </c>
      <c r="X595" s="581">
        <f>+'12,2,1,3 Ventana'!I50</f>
        <v>40655.65</v>
      </c>
      <c r="Y595" s="582">
        <f t="shared" si="439"/>
        <v>0</v>
      </c>
      <c r="Z595" s="581">
        <f>+'12,2,1,3 Ventana'!I30</f>
        <v>10730.380000000001</v>
      </c>
      <c r="AA595" s="582">
        <f t="shared" si="440"/>
        <v>0</v>
      </c>
      <c r="AB595" s="581"/>
      <c r="AC595" s="582">
        <f t="shared" si="441"/>
        <v>0</v>
      </c>
      <c r="AE595" s="769" t="e">
        <f t="shared" si="442"/>
        <v>#REF!</v>
      </c>
    </row>
    <row r="596" spans="1:31" ht="15" hidden="1" customHeight="1" x14ac:dyDescent="0.2">
      <c r="A596" s="611" t="s">
        <v>1611</v>
      </c>
      <c r="B596" s="601" t="s">
        <v>1612</v>
      </c>
      <c r="C596" s="611" t="s">
        <v>130</v>
      </c>
      <c r="D596" s="576">
        <f t="shared" si="430"/>
        <v>0</v>
      </c>
      <c r="E596" s="577">
        <f t="shared" si="418"/>
        <v>0</v>
      </c>
      <c r="F596" s="577">
        <f t="shared" si="431"/>
        <v>0</v>
      </c>
      <c r="G596" s="578"/>
      <c r="I596" s="584"/>
      <c r="J596" s="585">
        <f t="shared" si="432"/>
        <v>0</v>
      </c>
      <c r="K596" s="537"/>
      <c r="L596" s="445">
        <f t="shared" si="433"/>
        <v>0</v>
      </c>
      <c r="M596" s="542"/>
      <c r="N596" s="445">
        <f t="shared" si="434"/>
        <v>0</v>
      </c>
      <c r="O596" s="542"/>
      <c r="P596" s="445">
        <f t="shared" si="435"/>
        <v>0</v>
      </c>
      <c r="Q596" s="542"/>
      <c r="R596" s="445">
        <f t="shared" si="436"/>
        <v>0</v>
      </c>
      <c r="S596" s="542"/>
      <c r="T596" s="445">
        <f t="shared" si="437"/>
        <v>0</v>
      </c>
      <c r="V596" s="581"/>
      <c r="W596" s="582">
        <f t="shared" si="438"/>
        <v>0</v>
      </c>
      <c r="X596" s="581"/>
      <c r="Y596" s="582">
        <f t="shared" si="439"/>
        <v>0</v>
      </c>
      <c r="Z596" s="581"/>
      <c r="AA596" s="582">
        <f t="shared" si="440"/>
        <v>0</v>
      </c>
      <c r="AB596" s="581"/>
      <c r="AC596" s="582">
        <f t="shared" si="441"/>
        <v>0</v>
      </c>
      <c r="AE596" s="769">
        <f t="shared" si="442"/>
        <v>0</v>
      </c>
    </row>
    <row r="597" spans="1:31" ht="15" hidden="1" customHeight="1" x14ac:dyDescent="0.2">
      <c r="A597" s="611" t="s">
        <v>1613</v>
      </c>
      <c r="B597" s="601" t="s">
        <v>1614</v>
      </c>
      <c r="C597" s="611" t="s">
        <v>111</v>
      </c>
      <c r="D597" s="576">
        <f t="shared" si="430"/>
        <v>0</v>
      </c>
      <c r="E597" s="577" t="e">
        <f t="shared" si="418"/>
        <v>#REF!</v>
      </c>
      <c r="F597" s="577" t="e">
        <f t="shared" si="431"/>
        <v>#REF!</v>
      </c>
      <c r="G597" s="578"/>
      <c r="I597" s="584"/>
      <c r="J597" s="585" t="e">
        <f t="shared" si="432"/>
        <v>#REF!</v>
      </c>
      <c r="K597" s="537"/>
      <c r="L597" s="445" t="e">
        <f t="shared" si="433"/>
        <v>#REF!</v>
      </c>
      <c r="M597" s="542"/>
      <c r="N597" s="445" t="e">
        <f t="shared" si="434"/>
        <v>#REF!</v>
      </c>
      <c r="O597" s="542"/>
      <c r="P597" s="445" t="e">
        <f t="shared" si="435"/>
        <v>#REF!</v>
      </c>
      <c r="Q597" s="542"/>
      <c r="R597" s="445" t="e">
        <f t="shared" si="436"/>
        <v>#REF!</v>
      </c>
      <c r="S597" s="542"/>
      <c r="T597" s="445" t="e">
        <f t="shared" si="437"/>
        <v>#REF!</v>
      </c>
      <c r="V597" s="581" t="e">
        <f>+'12,2,1,5 Puertas Emtamborada'!I19</f>
        <v>#REF!</v>
      </c>
      <c r="W597" s="582" t="e">
        <f t="shared" si="438"/>
        <v>#REF!</v>
      </c>
      <c r="X597" s="581">
        <f>+'12,2,1,5 Puertas Emtamborada'!I50</f>
        <v>107737.48</v>
      </c>
      <c r="Y597" s="582">
        <f t="shared" si="439"/>
        <v>0</v>
      </c>
      <c r="Z597" s="581">
        <f>+'12,2,1,5 Puertas Emtamborada'!I30</f>
        <v>52431.839999999997</v>
      </c>
      <c r="AA597" s="582">
        <f t="shared" si="440"/>
        <v>0</v>
      </c>
      <c r="AB597" s="581"/>
      <c r="AC597" s="582">
        <f t="shared" si="441"/>
        <v>0</v>
      </c>
      <c r="AE597" s="769" t="e">
        <f t="shared" si="442"/>
        <v>#REF!</v>
      </c>
    </row>
    <row r="598" spans="1:31" ht="15" hidden="1" customHeight="1" x14ac:dyDescent="0.2">
      <c r="A598" s="611" t="s">
        <v>1615</v>
      </c>
      <c r="B598" s="601" t="s">
        <v>1616</v>
      </c>
      <c r="C598" s="611" t="s">
        <v>130</v>
      </c>
      <c r="D598" s="576">
        <f t="shared" si="430"/>
        <v>0</v>
      </c>
      <c r="E598" s="577">
        <f t="shared" si="418"/>
        <v>0</v>
      </c>
      <c r="F598" s="577">
        <f t="shared" si="431"/>
        <v>0</v>
      </c>
      <c r="G598" s="578"/>
      <c r="I598" s="584"/>
      <c r="J598" s="585">
        <f t="shared" si="432"/>
        <v>0</v>
      </c>
      <c r="K598" s="537"/>
      <c r="L598" s="445">
        <f t="shared" si="433"/>
        <v>0</v>
      </c>
      <c r="M598" s="542"/>
      <c r="N598" s="445">
        <f t="shared" si="434"/>
        <v>0</v>
      </c>
      <c r="O598" s="542"/>
      <c r="P598" s="445">
        <f t="shared" si="435"/>
        <v>0</v>
      </c>
      <c r="Q598" s="542"/>
      <c r="R598" s="445">
        <f t="shared" si="436"/>
        <v>0</v>
      </c>
      <c r="S598" s="542"/>
      <c r="T598" s="445">
        <f t="shared" si="437"/>
        <v>0</v>
      </c>
      <c r="V598" s="581"/>
      <c r="W598" s="582">
        <f t="shared" si="438"/>
        <v>0</v>
      </c>
      <c r="X598" s="581"/>
      <c r="Y598" s="582">
        <f t="shared" si="439"/>
        <v>0</v>
      </c>
      <c r="Z598" s="581"/>
      <c r="AA598" s="582">
        <f t="shared" si="440"/>
        <v>0</v>
      </c>
      <c r="AB598" s="581"/>
      <c r="AC598" s="582">
        <f t="shared" si="441"/>
        <v>0</v>
      </c>
      <c r="AE598" s="769">
        <f t="shared" si="442"/>
        <v>0</v>
      </c>
    </row>
    <row r="599" spans="1:31" ht="15" hidden="1" customHeight="1" x14ac:dyDescent="0.2">
      <c r="A599" s="611" t="s">
        <v>1617</v>
      </c>
      <c r="B599" s="601" t="s">
        <v>1618</v>
      </c>
      <c r="C599" s="611" t="s">
        <v>130</v>
      </c>
      <c r="D599" s="576">
        <f t="shared" si="430"/>
        <v>0</v>
      </c>
      <c r="E599" s="577">
        <f t="shared" si="418"/>
        <v>0</v>
      </c>
      <c r="F599" s="577">
        <f t="shared" si="431"/>
        <v>0</v>
      </c>
      <c r="G599" s="578"/>
      <c r="I599" s="584"/>
      <c r="J599" s="585">
        <f t="shared" si="432"/>
        <v>0</v>
      </c>
      <c r="K599" s="537"/>
      <c r="L599" s="445">
        <f t="shared" si="433"/>
        <v>0</v>
      </c>
      <c r="M599" s="542"/>
      <c r="N599" s="445">
        <f t="shared" si="434"/>
        <v>0</v>
      </c>
      <c r="O599" s="542"/>
      <c r="P599" s="445">
        <f t="shared" si="435"/>
        <v>0</v>
      </c>
      <c r="Q599" s="542"/>
      <c r="R599" s="445">
        <f t="shared" si="436"/>
        <v>0</v>
      </c>
      <c r="S599" s="542"/>
      <c r="T599" s="445">
        <f t="shared" si="437"/>
        <v>0</v>
      </c>
      <c r="V599" s="581"/>
      <c r="W599" s="582">
        <f t="shared" si="438"/>
        <v>0</v>
      </c>
      <c r="X599" s="581"/>
      <c r="Y599" s="582">
        <f t="shared" si="439"/>
        <v>0</v>
      </c>
      <c r="Z599" s="581"/>
      <c r="AA599" s="582">
        <f t="shared" si="440"/>
        <v>0</v>
      </c>
      <c r="AB599" s="581"/>
      <c r="AC599" s="582">
        <f t="shared" si="441"/>
        <v>0</v>
      </c>
      <c r="AE599" s="769">
        <f t="shared" si="442"/>
        <v>0</v>
      </c>
    </row>
    <row r="600" spans="1:31" ht="15" hidden="1" customHeight="1" x14ac:dyDescent="0.2">
      <c r="A600" s="611" t="s">
        <v>1619</v>
      </c>
      <c r="B600" s="601" t="s">
        <v>1620</v>
      </c>
      <c r="C600" s="611" t="s">
        <v>130</v>
      </c>
      <c r="D600" s="576">
        <f t="shared" si="430"/>
        <v>0</v>
      </c>
      <c r="E600" s="577">
        <f t="shared" si="418"/>
        <v>0</v>
      </c>
      <c r="F600" s="577">
        <f t="shared" si="431"/>
        <v>0</v>
      </c>
      <c r="G600" s="578"/>
      <c r="I600" s="584"/>
      <c r="J600" s="585">
        <f t="shared" si="432"/>
        <v>0</v>
      </c>
      <c r="K600" s="537"/>
      <c r="L600" s="445">
        <f t="shared" si="433"/>
        <v>0</v>
      </c>
      <c r="M600" s="542"/>
      <c r="N600" s="445">
        <f t="shared" si="434"/>
        <v>0</v>
      </c>
      <c r="O600" s="542"/>
      <c r="P600" s="445">
        <f t="shared" si="435"/>
        <v>0</v>
      </c>
      <c r="Q600" s="542"/>
      <c r="R600" s="445">
        <f t="shared" si="436"/>
        <v>0</v>
      </c>
      <c r="S600" s="542"/>
      <c r="T600" s="445">
        <f t="shared" si="437"/>
        <v>0</v>
      </c>
      <c r="V600" s="581"/>
      <c r="W600" s="582">
        <f t="shared" si="438"/>
        <v>0</v>
      </c>
      <c r="X600" s="581"/>
      <c r="Y600" s="582">
        <f t="shared" si="439"/>
        <v>0</v>
      </c>
      <c r="Z600" s="581"/>
      <c r="AA600" s="582">
        <f t="shared" si="440"/>
        <v>0</v>
      </c>
      <c r="AB600" s="581"/>
      <c r="AC600" s="582">
        <f t="shared" si="441"/>
        <v>0</v>
      </c>
      <c r="AE600" s="769">
        <f t="shared" si="442"/>
        <v>0</v>
      </c>
    </row>
    <row r="601" spans="1:31" ht="15" hidden="1" customHeight="1" x14ac:dyDescent="0.2">
      <c r="A601" s="611" t="s">
        <v>1621</v>
      </c>
      <c r="B601" s="601" t="s">
        <v>1622</v>
      </c>
      <c r="C601" s="611" t="s">
        <v>130</v>
      </c>
      <c r="D601" s="576">
        <f t="shared" si="430"/>
        <v>0</v>
      </c>
      <c r="E601" s="577">
        <f t="shared" si="418"/>
        <v>0</v>
      </c>
      <c r="F601" s="577">
        <f t="shared" si="431"/>
        <v>0</v>
      </c>
      <c r="G601" s="578"/>
      <c r="I601" s="597"/>
      <c r="J601" s="598">
        <f t="shared" si="432"/>
        <v>0</v>
      </c>
      <c r="K601" s="537"/>
      <c r="L601" s="445">
        <f t="shared" si="433"/>
        <v>0</v>
      </c>
      <c r="M601" s="542"/>
      <c r="N601" s="445">
        <f t="shared" si="434"/>
        <v>0</v>
      </c>
      <c r="O601" s="542"/>
      <c r="P601" s="445">
        <f t="shared" si="435"/>
        <v>0</v>
      </c>
      <c r="Q601" s="542"/>
      <c r="R601" s="445">
        <f t="shared" si="436"/>
        <v>0</v>
      </c>
      <c r="S601" s="542"/>
      <c r="T601" s="445">
        <f t="shared" si="437"/>
        <v>0</v>
      </c>
      <c r="V601" s="581"/>
      <c r="W601" s="582">
        <f t="shared" si="438"/>
        <v>0</v>
      </c>
      <c r="X601" s="581"/>
      <c r="Y601" s="582">
        <f t="shared" si="439"/>
        <v>0</v>
      </c>
      <c r="Z601" s="581"/>
      <c r="AA601" s="582">
        <f t="shared" si="440"/>
        <v>0</v>
      </c>
      <c r="AB601" s="581"/>
      <c r="AC601" s="582">
        <f t="shared" si="441"/>
        <v>0</v>
      </c>
      <c r="AE601" s="769">
        <f t="shared" si="442"/>
        <v>0</v>
      </c>
    </row>
    <row r="602" spans="1:31" s="595" customFormat="1" ht="15.75" x14ac:dyDescent="0.2">
      <c r="A602" s="572" t="s">
        <v>1623</v>
      </c>
      <c r="B602" s="573" t="s">
        <v>1624</v>
      </c>
      <c r="C602" s="846"/>
      <c r="D602" s="576"/>
      <c r="E602" s="577"/>
      <c r="F602" s="180" t="e">
        <f>+ROUND(SUM(F603:F606),10)</f>
        <v>#REF!</v>
      </c>
      <c r="G602" s="473"/>
      <c r="H602" s="568"/>
      <c r="I602" s="613"/>
      <c r="J602" s="440" t="e">
        <f>ROUND(SUM(J603:J606),10)</f>
        <v>#REF!</v>
      </c>
      <c r="K602" s="537"/>
      <c r="L602" s="180" t="e">
        <f>ROUND(SUM(L603:L606),10)</f>
        <v>#REF!</v>
      </c>
      <c r="M602" s="542"/>
      <c r="N602" s="180" t="e">
        <f>ROUND(SUM(N603:N606),10)</f>
        <v>#REF!</v>
      </c>
      <c r="O602" s="542"/>
      <c r="P602" s="180" t="e">
        <f>ROUND(SUM(P603:P606),10)</f>
        <v>#REF!</v>
      </c>
      <c r="Q602" s="542"/>
      <c r="R602" s="180" t="e">
        <f>ROUND(SUM(R603:R606),10)</f>
        <v>#REF!</v>
      </c>
      <c r="S602" s="542"/>
      <c r="T602" s="180" t="e">
        <f>ROUND(SUM(T603:T606),10)</f>
        <v>#REF!</v>
      </c>
      <c r="U602" s="568"/>
      <c r="V602" s="575"/>
      <c r="W602" s="570" t="e">
        <f>ROUND(SUM(W603:W606),10)</f>
        <v>#REF!</v>
      </c>
      <c r="X602" s="575"/>
      <c r="Y602" s="570" t="e">
        <f>ROUND(SUM(Y603:Y606),10)</f>
        <v>#REF!</v>
      </c>
      <c r="Z602" s="575"/>
      <c r="AA602" s="570" t="e">
        <f>ROUND(SUM(AA603:AA606),10)</f>
        <v>#REF!</v>
      </c>
      <c r="AB602" s="575"/>
      <c r="AC602" s="570">
        <f>ROUND(SUM(AC603:AC606),10)</f>
        <v>0</v>
      </c>
      <c r="AD602" s="912"/>
      <c r="AE602" s="769" t="e">
        <f t="shared" si="442"/>
        <v>#REF!</v>
      </c>
    </row>
    <row r="603" spans="1:31" s="595" customFormat="1" ht="15" hidden="1" customHeight="1" x14ac:dyDescent="0.2">
      <c r="A603" s="611" t="s">
        <v>1625</v>
      </c>
      <c r="B603" s="601" t="s">
        <v>1626</v>
      </c>
      <c r="C603" s="611" t="s">
        <v>114</v>
      </c>
      <c r="D603" s="576">
        <f>+I603+K603+M603+O603+Q603+S603</f>
        <v>0</v>
      </c>
      <c r="E603" s="577" t="e">
        <f t="shared" si="418"/>
        <v>#REF!</v>
      </c>
      <c r="F603" s="577" t="e">
        <f>ROUND(D603*E603,10)</f>
        <v>#REF!</v>
      </c>
      <c r="G603" s="578"/>
      <c r="H603" s="552"/>
      <c r="I603" s="633"/>
      <c r="J603" s="648" t="e">
        <f>+ROUND(E603*I603,10)</f>
        <v>#REF!</v>
      </c>
      <c r="K603" s="537"/>
      <c r="L603" s="445" t="e">
        <f>+ROUND(E603*K603,10)</f>
        <v>#REF!</v>
      </c>
      <c r="M603" s="542"/>
      <c r="N603" s="445" t="e">
        <f>+ROUND(E603*M603,10)</f>
        <v>#REF!</v>
      </c>
      <c r="O603" s="542"/>
      <c r="P603" s="445" t="e">
        <f>+ROUND(E603*O603,10)</f>
        <v>#REF!</v>
      </c>
      <c r="Q603" s="542"/>
      <c r="R603" s="445" t="e">
        <f>+ROUND(E603*Q603,10)</f>
        <v>#REF!</v>
      </c>
      <c r="S603" s="542"/>
      <c r="T603" s="445" t="e">
        <f>+ROUND(E603*S603,10)</f>
        <v>#REF!</v>
      </c>
      <c r="U603" s="552"/>
      <c r="V603" s="581" t="e">
        <f>+'12,2,2,1 Pasamanos '!I19</f>
        <v>#REF!</v>
      </c>
      <c r="W603" s="582" t="e">
        <f>ROUND(V603*$D603,10)</f>
        <v>#REF!</v>
      </c>
      <c r="X603" s="581">
        <f>+'12,2,2,1 Pasamanos '!I50</f>
        <v>17956.25</v>
      </c>
      <c r="Y603" s="582">
        <f>ROUND(X603*$D603,10)</f>
        <v>0</v>
      </c>
      <c r="Z603" s="581">
        <f>+'12,2,2,1 Pasamanos '!I30</f>
        <v>3767.53</v>
      </c>
      <c r="AA603" s="582">
        <f>ROUND(Z603*$D603,10)</f>
        <v>0</v>
      </c>
      <c r="AB603" s="581">
        <f>+'12,2,2,1 Pasamanos '!I41</f>
        <v>0</v>
      </c>
      <c r="AC603" s="582">
        <f>ROUND(AB603*$D603,10)</f>
        <v>0</v>
      </c>
      <c r="AD603" s="912"/>
      <c r="AE603" s="769" t="e">
        <f t="shared" si="442"/>
        <v>#REF!</v>
      </c>
    </row>
    <row r="604" spans="1:31" s="595" customFormat="1" x14ac:dyDescent="0.2">
      <c r="A604" s="611" t="s">
        <v>1627</v>
      </c>
      <c r="B604" s="601" t="s">
        <v>1628</v>
      </c>
      <c r="C604" s="611" t="s">
        <v>114</v>
      </c>
      <c r="D604" s="576">
        <f>+I604+K604+M604+O604+Q604+S604</f>
        <v>27.34</v>
      </c>
      <c r="E604" s="577" t="e">
        <f t="shared" si="418"/>
        <v>#REF!</v>
      </c>
      <c r="F604" s="577" t="e">
        <f>ROUND(D604*E604,10)</f>
        <v>#REF!</v>
      </c>
      <c r="G604" s="578"/>
      <c r="H604" s="552"/>
      <c r="I604" s="594"/>
      <c r="J604" s="580" t="e">
        <f>+ROUND(E604*I604,10)</f>
        <v>#REF!</v>
      </c>
      <c r="K604" s="537"/>
      <c r="L604" s="445" t="e">
        <f>+ROUND(E604*K604,10)</f>
        <v>#REF!</v>
      </c>
      <c r="M604" s="542"/>
      <c r="N604" s="445" t="e">
        <f>+ROUND(E604*M604,10)</f>
        <v>#REF!</v>
      </c>
      <c r="O604" s="542"/>
      <c r="P604" s="445" t="e">
        <f>+ROUND(E604*O604,10)</f>
        <v>#REF!</v>
      </c>
      <c r="Q604" s="542"/>
      <c r="R604" s="445" t="e">
        <f>+ROUND(E604*Q604,10)</f>
        <v>#REF!</v>
      </c>
      <c r="S604" s="542">
        <v>27.34</v>
      </c>
      <c r="T604" s="445" t="e">
        <f>+ROUND(E604*S604,10)</f>
        <v>#REF!</v>
      </c>
      <c r="U604" s="552"/>
      <c r="V604" s="581" t="e">
        <f>+#REF!</f>
        <v>#REF!</v>
      </c>
      <c r="W604" s="582" t="e">
        <f>ROUND(V604*$D604,10)</f>
        <v>#REF!</v>
      </c>
      <c r="X604" s="581" t="e">
        <f>+#REF!</f>
        <v>#REF!</v>
      </c>
      <c r="Y604" s="582" t="e">
        <f>ROUND(X604*$D604,10)</f>
        <v>#REF!</v>
      </c>
      <c r="Z604" s="581" t="e">
        <f>+#REF!</f>
        <v>#REF!</v>
      </c>
      <c r="AA604" s="582" t="e">
        <f>ROUND(Z604*$D604,10)</f>
        <v>#REF!</v>
      </c>
      <c r="AB604" s="581"/>
      <c r="AC604" s="582">
        <f>ROUND(AB604*$D604,10)</f>
        <v>0</v>
      </c>
      <c r="AD604" s="912"/>
      <c r="AE604" s="769" t="e">
        <f t="shared" si="442"/>
        <v>#REF!</v>
      </c>
    </row>
    <row r="605" spans="1:31" s="595" customFormat="1" x14ac:dyDescent="0.2">
      <c r="A605" s="611" t="s">
        <v>1629</v>
      </c>
      <c r="B605" s="601" t="s">
        <v>1630</v>
      </c>
      <c r="C605" s="611" t="s">
        <v>114</v>
      </c>
      <c r="D605" s="576">
        <f>+I605+K605+M605+O605+Q605+S605</f>
        <v>55</v>
      </c>
      <c r="E605" s="577" t="e">
        <f t="shared" si="418"/>
        <v>#REF!</v>
      </c>
      <c r="F605" s="577" t="e">
        <f>ROUND(D605*E605,10)</f>
        <v>#REF!</v>
      </c>
      <c r="G605" s="578"/>
      <c r="H605" s="552"/>
      <c r="I605" s="584"/>
      <c r="J605" s="585" t="e">
        <f>+ROUND(E605*I605,10)</f>
        <v>#REF!</v>
      </c>
      <c r="K605" s="537"/>
      <c r="L605" s="445" t="e">
        <f>+ROUND(E605*K605,10)</f>
        <v>#REF!</v>
      </c>
      <c r="M605" s="542"/>
      <c r="N605" s="445" t="e">
        <f>+ROUND(E605*M605,10)</f>
        <v>#REF!</v>
      </c>
      <c r="O605" s="542"/>
      <c r="P605" s="445" t="e">
        <f>+ROUND(E605*O605,10)</f>
        <v>#REF!</v>
      </c>
      <c r="Q605" s="542">
        <v>55</v>
      </c>
      <c r="R605" s="445" t="e">
        <f>+ROUND(E605*Q605,10)</f>
        <v>#REF!</v>
      </c>
      <c r="S605" s="542"/>
      <c r="T605" s="445" t="e">
        <f>+ROUND(E605*S605,10)</f>
        <v>#REF!</v>
      </c>
      <c r="U605" s="552"/>
      <c r="V605" s="581" t="e">
        <f>+#REF!</f>
        <v>#REF!</v>
      </c>
      <c r="W605" s="582" t="e">
        <f>ROUND(V605*$D605,10)</f>
        <v>#REF!</v>
      </c>
      <c r="X605" s="581" t="e">
        <f>+#REF!</f>
        <v>#REF!</v>
      </c>
      <c r="Y605" s="582" t="e">
        <f>ROUND(X605*$D605,10)</f>
        <v>#REF!</v>
      </c>
      <c r="Z605" s="581" t="e">
        <f>+#REF!</f>
        <v>#REF!</v>
      </c>
      <c r="AA605" s="582" t="e">
        <f>ROUND(Z605*$D605,10)</f>
        <v>#REF!</v>
      </c>
      <c r="AB605" s="581"/>
      <c r="AC605" s="582">
        <f>ROUND(AB605*$D605,10)</f>
        <v>0</v>
      </c>
      <c r="AD605" s="912"/>
      <c r="AE605" s="769" t="e">
        <f t="shared" si="442"/>
        <v>#REF!</v>
      </c>
    </row>
    <row r="606" spans="1:31" s="595" customFormat="1" ht="16.5" hidden="1" customHeight="1" x14ac:dyDescent="0.2">
      <c r="A606" s="611" t="s">
        <v>1631</v>
      </c>
      <c r="B606" s="610" t="s">
        <v>1632</v>
      </c>
      <c r="C606" s="611" t="s">
        <v>114</v>
      </c>
      <c r="D606" s="576">
        <f>+I606+K606+M606+O606+Q606+S606</f>
        <v>0</v>
      </c>
      <c r="E606" s="577" t="e">
        <f t="shared" si="418"/>
        <v>#REF!</v>
      </c>
      <c r="F606" s="577" t="e">
        <f>ROUND(D606*E606,10)</f>
        <v>#REF!</v>
      </c>
      <c r="G606" s="578"/>
      <c r="H606" s="552"/>
      <c r="I606" s="597"/>
      <c r="J606" s="598" t="e">
        <f>+ROUND(E606*I606,10)</f>
        <v>#REF!</v>
      </c>
      <c r="K606" s="537"/>
      <c r="L606" s="445" t="e">
        <f>+ROUND(E606*K606,10)</f>
        <v>#REF!</v>
      </c>
      <c r="M606" s="542"/>
      <c r="N606" s="445" t="e">
        <f>+ROUND(E606*M606,10)</f>
        <v>#REF!</v>
      </c>
      <c r="O606" s="542"/>
      <c r="P606" s="445" t="e">
        <f>+ROUND(E606*O606,10)</f>
        <v>#REF!</v>
      </c>
      <c r="Q606" s="542"/>
      <c r="R606" s="445" t="e">
        <f>+ROUND(E606*Q606,10)</f>
        <v>#REF!</v>
      </c>
      <c r="S606" s="542"/>
      <c r="T606" s="445" t="e">
        <f>+ROUND(E606*S606,10)</f>
        <v>#REF!</v>
      </c>
      <c r="U606" s="552"/>
      <c r="V606" s="581" t="e">
        <f>+' 12,2,2,4 Baranda tubo'!I19</f>
        <v>#REF!</v>
      </c>
      <c r="W606" s="582" t="e">
        <f>ROUND(V606*$D606,10)</f>
        <v>#REF!</v>
      </c>
      <c r="X606" s="581">
        <f>+' 12,2,2,4 Baranda tubo'!I50</f>
        <v>55249.99</v>
      </c>
      <c r="Y606" s="582">
        <f>ROUND(X606*$D606,10)</f>
        <v>0</v>
      </c>
      <c r="Z606" s="581">
        <f>+' 12,2,2,4 Baranda tubo'!I30</f>
        <v>26699.279999999999</v>
      </c>
      <c r="AA606" s="582">
        <f>ROUND(Z606*$D606,10)</f>
        <v>0</v>
      </c>
      <c r="AB606" s="581"/>
      <c r="AC606" s="582">
        <f>ROUND(AB606*$D606,10)</f>
        <v>0</v>
      </c>
      <c r="AD606" s="912"/>
      <c r="AE606" s="769" t="e">
        <f t="shared" si="442"/>
        <v>#REF!</v>
      </c>
    </row>
    <row r="607" spans="1:31" ht="15" hidden="1" customHeight="1" x14ac:dyDescent="0.2">
      <c r="A607" s="572" t="s">
        <v>1633</v>
      </c>
      <c r="B607" s="573" t="s">
        <v>1634</v>
      </c>
      <c r="C607" s="846"/>
      <c r="D607" s="576"/>
      <c r="E607" s="577"/>
      <c r="F607" s="180" t="e">
        <f>+ROUND(SUM(F608:F613),10)</f>
        <v>#REF!</v>
      </c>
      <c r="G607" s="473"/>
      <c r="H607" s="568"/>
      <c r="I607" s="613"/>
      <c r="J607" s="440" t="e">
        <f>ROUND(SUM(J608:J613),10)</f>
        <v>#REF!</v>
      </c>
      <c r="K607" s="537"/>
      <c r="L607" s="180" t="e">
        <f>ROUND(SUM(L608:L613),10)</f>
        <v>#REF!</v>
      </c>
      <c r="M607" s="542"/>
      <c r="N607" s="180" t="e">
        <f>ROUND(SUM(N608:N613),10)</f>
        <v>#REF!</v>
      </c>
      <c r="O607" s="542"/>
      <c r="P607" s="180" t="e">
        <f>ROUND(SUM(P608:P613),10)</f>
        <v>#REF!</v>
      </c>
      <c r="Q607" s="542"/>
      <c r="R607" s="180" t="e">
        <f>ROUND(SUM(R608:R613),10)</f>
        <v>#REF!</v>
      </c>
      <c r="S607" s="542"/>
      <c r="T607" s="180" t="e">
        <f>ROUND(SUM(T608:T613),10)</f>
        <v>#REF!</v>
      </c>
      <c r="U607" s="568"/>
      <c r="V607" s="575"/>
      <c r="W607" s="570" t="e">
        <f>ROUND(SUM(W608:W613),10)</f>
        <v>#REF!</v>
      </c>
      <c r="X607" s="575"/>
      <c r="Y607" s="570">
        <f>ROUND(SUM(Y608:Y613),10)</f>
        <v>0</v>
      </c>
      <c r="Z607" s="575"/>
      <c r="AA607" s="570">
        <f>ROUND(SUM(AA608:AA613),10)</f>
        <v>0</v>
      </c>
      <c r="AB607" s="575"/>
      <c r="AC607" s="570">
        <f>ROUND(SUM(AC608:AC613),10)</f>
        <v>0</v>
      </c>
      <c r="AE607" s="769" t="e">
        <f t="shared" si="442"/>
        <v>#REF!</v>
      </c>
    </row>
    <row r="608" spans="1:31" ht="15" hidden="1" customHeight="1" x14ac:dyDescent="0.2">
      <c r="A608" s="611" t="s">
        <v>1635</v>
      </c>
      <c r="B608" s="601" t="s">
        <v>1636</v>
      </c>
      <c r="C608" s="611" t="s">
        <v>130</v>
      </c>
      <c r="D608" s="576">
        <f t="shared" ref="D608:D613" si="443">+I608+K608+M608+O608+Q608+S608</f>
        <v>0</v>
      </c>
      <c r="E608" s="577" t="e">
        <f t="shared" si="418"/>
        <v>#REF!</v>
      </c>
      <c r="F608" s="577" t="e">
        <f t="shared" ref="F608:F613" si="444">ROUND(D608*E608,10)</f>
        <v>#REF!</v>
      </c>
      <c r="G608" s="578"/>
      <c r="I608" s="594"/>
      <c r="J608" s="580" t="e">
        <f t="shared" ref="J608:J613" si="445">+ROUND(E608*I608,10)</f>
        <v>#REF!</v>
      </c>
      <c r="K608" s="537"/>
      <c r="L608" s="445" t="e">
        <f t="shared" ref="L608:L613" si="446">+ROUND(E608*K608,10)</f>
        <v>#REF!</v>
      </c>
      <c r="M608" s="542"/>
      <c r="N608" s="445" t="e">
        <f t="shared" ref="N608:N613" si="447">+ROUND(E608*M608,10)</f>
        <v>#REF!</v>
      </c>
      <c r="O608" s="542"/>
      <c r="P608" s="445" t="e">
        <f t="shared" ref="P608:P613" si="448">+ROUND(E608*O608,10)</f>
        <v>#REF!</v>
      </c>
      <c r="Q608" s="542"/>
      <c r="R608" s="445" t="e">
        <f t="shared" ref="R608:R613" si="449">+ROUND(E608*Q608,10)</f>
        <v>#REF!</v>
      </c>
      <c r="S608" s="542"/>
      <c r="T608" s="445" t="e">
        <f t="shared" ref="T608:T613" si="450">+ROUND(E608*S608,10)</f>
        <v>#REF!</v>
      </c>
      <c r="V608" s="581" t="e">
        <f>+'12,2,3,1 Rejas en varilla cuadr'!I19</f>
        <v>#REF!</v>
      </c>
      <c r="W608" s="582" t="e">
        <f t="shared" ref="W608:W613" si="451">ROUND(V608*$D608,10)</f>
        <v>#REF!</v>
      </c>
      <c r="X608" s="581">
        <f>+'12,2,3,1 Rejas en varilla cuadr'!I50</f>
        <v>35912.49</v>
      </c>
      <c r="Y608" s="582">
        <f t="shared" ref="Y608:Y613" si="452">ROUND(X608*$D608,10)</f>
        <v>0</v>
      </c>
      <c r="Z608" s="581">
        <f>+'12,2,3,1 Rejas en varilla cuadr'!I30</f>
        <v>7096.96</v>
      </c>
      <c r="AA608" s="582">
        <f t="shared" ref="AA608:AA613" si="453">ROUND(Z608*$D608,10)</f>
        <v>0</v>
      </c>
      <c r="AB608" s="581"/>
      <c r="AC608" s="582">
        <f t="shared" ref="AC608:AC613" si="454">ROUND(AB608*$D608,10)</f>
        <v>0</v>
      </c>
      <c r="AE608" s="769" t="e">
        <f t="shared" si="442"/>
        <v>#REF!</v>
      </c>
    </row>
    <row r="609" spans="1:31" ht="15" hidden="1" customHeight="1" x14ac:dyDescent="0.2">
      <c r="A609" s="611" t="s">
        <v>1637</v>
      </c>
      <c r="B609" s="601" t="s">
        <v>1638</v>
      </c>
      <c r="C609" s="611" t="s">
        <v>111</v>
      </c>
      <c r="D609" s="576">
        <f t="shared" si="443"/>
        <v>0</v>
      </c>
      <c r="E609" s="577" t="e">
        <f t="shared" si="418"/>
        <v>#REF!</v>
      </c>
      <c r="F609" s="577" t="e">
        <f t="shared" si="444"/>
        <v>#REF!</v>
      </c>
      <c r="G609" s="578"/>
      <c r="I609" s="584"/>
      <c r="J609" s="585" t="e">
        <f t="shared" si="445"/>
        <v>#REF!</v>
      </c>
      <c r="K609" s="537"/>
      <c r="L609" s="445" t="e">
        <f t="shared" si="446"/>
        <v>#REF!</v>
      </c>
      <c r="M609" s="542"/>
      <c r="N609" s="445" t="e">
        <f t="shared" si="447"/>
        <v>#REF!</v>
      </c>
      <c r="O609" s="542"/>
      <c r="P609" s="445" t="e">
        <f t="shared" si="448"/>
        <v>#REF!</v>
      </c>
      <c r="Q609" s="542"/>
      <c r="R609" s="445" t="e">
        <f t="shared" si="449"/>
        <v>#REF!</v>
      </c>
      <c r="S609" s="542"/>
      <c r="T609" s="445" t="e">
        <f t="shared" si="450"/>
        <v>#REF!</v>
      </c>
      <c r="V609" s="581" t="e">
        <f>+'12,2,3,2 Rejas ventana'!I19</f>
        <v>#REF!</v>
      </c>
      <c r="W609" s="582" t="e">
        <f t="shared" si="451"/>
        <v>#REF!</v>
      </c>
      <c r="X609" s="581">
        <f>+'12,2,3,2 Rejas ventana'!I50</f>
        <v>179562.47</v>
      </c>
      <c r="Y609" s="582">
        <f t="shared" si="452"/>
        <v>0</v>
      </c>
      <c r="Z609" s="581">
        <f>+'12,2,3,2 Rejas ventana'!I30</f>
        <v>57910.67</v>
      </c>
      <c r="AA609" s="582">
        <f t="shared" si="453"/>
        <v>0</v>
      </c>
      <c r="AB609" s="581"/>
      <c r="AC609" s="582">
        <f t="shared" si="454"/>
        <v>0</v>
      </c>
      <c r="AE609" s="769" t="e">
        <f t="shared" si="442"/>
        <v>#REF!</v>
      </c>
    </row>
    <row r="610" spans="1:31" ht="15" hidden="1" customHeight="1" x14ac:dyDescent="0.2">
      <c r="A610" s="611" t="s">
        <v>1639</v>
      </c>
      <c r="B610" s="601" t="s">
        <v>1640</v>
      </c>
      <c r="C610" s="611" t="s">
        <v>111</v>
      </c>
      <c r="D610" s="576">
        <f t="shared" si="443"/>
        <v>0</v>
      </c>
      <c r="E610" s="577" t="e">
        <f t="shared" si="418"/>
        <v>#REF!</v>
      </c>
      <c r="F610" s="577" t="e">
        <f t="shared" si="444"/>
        <v>#REF!</v>
      </c>
      <c r="G610" s="578"/>
      <c r="I610" s="584"/>
      <c r="J610" s="585" t="e">
        <f t="shared" si="445"/>
        <v>#REF!</v>
      </c>
      <c r="K610" s="537"/>
      <c r="L610" s="445" t="e">
        <f t="shared" si="446"/>
        <v>#REF!</v>
      </c>
      <c r="M610" s="542"/>
      <c r="N610" s="445" t="e">
        <f t="shared" si="447"/>
        <v>#REF!</v>
      </c>
      <c r="O610" s="542"/>
      <c r="P610" s="445" t="e">
        <f t="shared" si="448"/>
        <v>#REF!</v>
      </c>
      <c r="Q610" s="542"/>
      <c r="R610" s="445" t="e">
        <f t="shared" si="449"/>
        <v>#REF!</v>
      </c>
      <c r="S610" s="542"/>
      <c r="T610" s="445" t="e">
        <f t="shared" si="450"/>
        <v>#REF!</v>
      </c>
      <c r="V610" s="581" t="e">
        <f>+'12,2,3,3 Rejas Puerta baño'!I19</f>
        <v>#REF!</v>
      </c>
      <c r="W610" s="582" t="e">
        <f t="shared" si="451"/>
        <v>#REF!</v>
      </c>
      <c r="X610" s="581">
        <f>+'12,2,3,3 Rejas Puerta baño'!I50</f>
        <v>119708.92</v>
      </c>
      <c r="Y610" s="582">
        <f t="shared" si="452"/>
        <v>0</v>
      </c>
      <c r="Z610" s="581">
        <f>+'12,2,3,3 Rejas Puerta baño'!I30</f>
        <v>35934.620000000003</v>
      </c>
      <c r="AA610" s="582">
        <f t="shared" si="453"/>
        <v>0</v>
      </c>
      <c r="AB610" s="581"/>
      <c r="AC610" s="582">
        <f t="shared" si="454"/>
        <v>0</v>
      </c>
      <c r="AE610" s="769" t="e">
        <f t="shared" si="442"/>
        <v>#REF!</v>
      </c>
    </row>
    <row r="611" spans="1:31" ht="15" hidden="1" customHeight="1" x14ac:dyDescent="0.2">
      <c r="A611" s="611" t="s">
        <v>1641</v>
      </c>
      <c r="B611" s="601" t="s">
        <v>1642</v>
      </c>
      <c r="C611" s="611" t="s">
        <v>130</v>
      </c>
      <c r="D611" s="576">
        <f t="shared" si="443"/>
        <v>0</v>
      </c>
      <c r="E611" s="577" t="e">
        <f t="shared" si="418"/>
        <v>#REF!</v>
      </c>
      <c r="F611" s="577" t="e">
        <f t="shared" si="444"/>
        <v>#REF!</v>
      </c>
      <c r="G611" s="578"/>
      <c r="I611" s="584"/>
      <c r="J611" s="585" t="e">
        <f t="shared" si="445"/>
        <v>#REF!</v>
      </c>
      <c r="K611" s="537"/>
      <c r="L611" s="445" t="e">
        <f t="shared" si="446"/>
        <v>#REF!</v>
      </c>
      <c r="M611" s="542"/>
      <c r="N611" s="445" t="e">
        <f t="shared" si="447"/>
        <v>#REF!</v>
      </c>
      <c r="O611" s="542"/>
      <c r="P611" s="445" t="e">
        <f t="shared" si="448"/>
        <v>#REF!</v>
      </c>
      <c r="Q611" s="542"/>
      <c r="R611" s="445" t="e">
        <f t="shared" si="449"/>
        <v>#REF!</v>
      </c>
      <c r="S611" s="542"/>
      <c r="T611" s="445" t="e">
        <f t="shared" si="450"/>
        <v>#REF!</v>
      </c>
      <c r="V611" s="581" t="e">
        <f>+'12,2,3,4 Reja Ventilación'!I23</f>
        <v>#REF!</v>
      </c>
      <c r="W611" s="582" t="e">
        <f t="shared" si="451"/>
        <v>#REF!</v>
      </c>
      <c r="X611" s="581">
        <f>+'12,2,3,4 Reja Ventilación'!I54</f>
        <v>26934.37</v>
      </c>
      <c r="Y611" s="582">
        <f t="shared" si="452"/>
        <v>0</v>
      </c>
      <c r="Z611" s="581">
        <f>+'12,2,3,4 Reja Ventilación'!I34</f>
        <v>12239.47</v>
      </c>
      <c r="AA611" s="582">
        <f t="shared" si="453"/>
        <v>0</v>
      </c>
      <c r="AB611" s="581"/>
      <c r="AC611" s="582">
        <f t="shared" si="454"/>
        <v>0</v>
      </c>
      <c r="AE611" s="769" t="e">
        <f t="shared" si="442"/>
        <v>#REF!</v>
      </c>
    </row>
    <row r="612" spans="1:31" ht="15" hidden="1" customHeight="1" x14ac:dyDescent="0.2">
      <c r="A612" s="611" t="s">
        <v>1643</v>
      </c>
      <c r="B612" s="601" t="s">
        <v>1644</v>
      </c>
      <c r="C612" s="611" t="s">
        <v>114</v>
      </c>
      <c r="D612" s="576">
        <f t="shared" si="443"/>
        <v>0</v>
      </c>
      <c r="E612" s="577">
        <f t="shared" si="418"/>
        <v>0</v>
      </c>
      <c r="F612" s="577">
        <f t="shared" si="444"/>
        <v>0</v>
      </c>
      <c r="G612" s="578"/>
      <c r="I612" s="584"/>
      <c r="J612" s="585">
        <f t="shared" si="445"/>
        <v>0</v>
      </c>
      <c r="K612" s="537"/>
      <c r="L612" s="445">
        <f t="shared" si="446"/>
        <v>0</v>
      </c>
      <c r="M612" s="542"/>
      <c r="N612" s="445">
        <f t="shared" si="447"/>
        <v>0</v>
      </c>
      <c r="O612" s="542"/>
      <c r="P612" s="445">
        <f t="shared" si="448"/>
        <v>0</v>
      </c>
      <c r="Q612" s="542"/>
      <c r="R612" s="445">
        <f t="shared" si="449"/>
        <v>0</v>
      </c>
      <c r="S612" s="542"/>
      <c r="T612" s="445">
        <f t="shared" si="450"/>
        <v>0</v>
      </c>
      <c r="V612" s="581"/>
      <c r="W612" s="582">
        <f t="shared" si="451"/>
        <v>0</v>
      </c>
      <c r="X612" s="581"/>
      <c r="Y612" s="582">
        <f t="shared" si="452"/>
        <v>0</v>
      </c>
      <c r="Z612" s="581"/>
      <c r="AA612" s="582">
        <f t="shared" si="453"/>
        <v>0</v>
      </c>
      <c r="AB612" s="581"/>
      <c r="AC612" s="582">
        <f t="shared" si="454"/>
        <v>0</v>
      </c>
      <c r="AE612" s="769">
        <f t="shared" si="442"/>
        <v>0</v>
      </c>
    </row>
    <row r="613" spans="1:31" ht="15" hidden="1" customHeight="1" x14ac:dyDescent="0.2">
      <c r="A613" s="611" t="s">
        <v>1645</v>
      </c>
      <c r="B613" s="601" t="s">
        <v>1646</v>
      </c>
      <c r="C613" s="611" t="s">
        <v>111</v>
      </c>
      <c r="D613" s="576">
        <f t="shared" si="443"/>
        <v>0</v>
      </c>
      <c r="E613" s="577">
        <f t="shared" si="418"/>
        <v>0</v>
      </c>
      <c r="F613" s="577">
        <f t="shared" si="444"/>
        <v>0</v>
      </c>
      <c r="G613" s="578"/>
      <c r="I613" s="597"/>
      <c r="J613" s="598">
        <f t="shared" si="445"/>
        <v>0</v>
      </c>
      <c r="K613" s="537"/>
      <c r="L613" s="445">
        <f t="shared" si="446"/>
        <v>0</v>
      </c>
      <c r="M613" s="542"/>
      <c r="N613" s="445">
        <f t="shared" si="447"/>
        <v>0</v>
      </c>
      <c r="O613" s="542"/>
      <c r="P613" s="445">
        <f t="shared" si="448"/>
        <v>0</v>
      </c>
      <c r="Q613" s="542"/>
      <c r="R613" s="445">
        <f t="shared" si="449"/>
        <v>0</v>
      </c>
      <c r="S613" s="542"/>
      <c r="T613" s="445">
        <f t="shared" si="450"/>
        <v>0</v>
      </c>
      <c r="V613" s="581"/>
      <c r="W613" s="582">
        <f t="shared" si="451"/>
        <v>0</v>
      </c>
      <c r="X613" s="581"/>
      <c r="Y613" s="582">
        <f t="shared" si="452"/>
        <v>0</v>
      </c>
      <c r="Z613" s="581"/>
      <c r="AA613" s="582">
        <f t="shared" si="453"/>
        <v>0</v>
      </c>
      <c r="AB613" s="581"/>
      <c r="AC613" s="582">
        <f t="shared" si="454"/>
        <v>0</v>
      </c>
      <c r="AE613" s="769">
        <f t="shared" si="442"/>
        <v>0</v>
      </c>
    </row>
    <row r="614" spans="1:31" ht="15" hidden="1" customHeight="1" x14ac:dyDescent="0.2">
      <c r="A614" s="572" t="s">
        <v>1647</v>
      </c>
      <c r="B614" s="573" t="s">
        <v>1395</v>
      </c>
      <c r="C614" s="846"/>
      <c r="D614" s="576"/>
      <c r="E614" s="577"/>
      <c r="F614" s="626" t="e">
        <f>+ROUND(SUM(F615:F624),10)</f>
        <v>#REF!</v>
      </c>
      <c r="G614" s="473"/>
      <c r="H614" s="568"/>
      <c r="I614" s="613"/>
      <c r="J614" s="440" t="e">
        <f>ROUND(SUM(J615:J624),10)</f>
        <v>#REF!</v>
      </c>
      <c r="K614" s="537"/>
      <c r="L614" s="180" t="e">
        <f>ROUND(SUM(L615:L624),10)</f>
        <v>#REF!</v>
      </c>
      <c r="M614" s="542"/>
      <c r="N614" s="180" t="e">
        <f>ROUND(SUM(N615:N624),10)</f>
        <v>#REF!</v>
      </c>
      <c r="O614" s="542"/>
      <c r="P614" s="180" t="e">
        <f>ROUND(SUM(P615:P624),10)</f>
        <v>#REF!</v>
      </c>
      <c r="Q614" s="542"/>
      <c r="R614" s="180" t="e">
        <f>ROUND(SUM(R615:R624),10)</f>
        <v>#REF!</v>
      </c>
      <c r="S614" s="542"/>
      <c r="T614" s="180" t="e">
        <f>ROUND(SUM(T615:T624),10)</f>
        <v>#REF!</v>
      </c>
      <c r="U614" s="568"/>
      <c r="V614" s="575"/>
      <c r="W614" s="570" t="e">
        <f>ROUND(SUM(W615:W624),10)</f>
        <v>#REF!</v>
      </c>
      <c r="X614" s="575"/>
      <c r="Y614" s="570">
        <f>ROUND(SUM(Y615:Y624),10)</f>
        <v>0</v>
      </c>
      <c r="Z614" s="575"/>
      <c r="AA614" s="570">
        <f>ROUND(SUM(AA615:AA624),10)</f>
        <v>0</v>
      </c>
      <c r="AB614" s="575"/>
      <c r="AC614" s="570">
        <f>ROUND(SUM(AC615:AC624),10)</f>
        <v>0</v>
      </c>
      <c r="AE614" s="769" t="e">
        <f t="shared" si="442"/>
        <v>#REF!</v>
      </c>
    </row>
    <row r="615" spans="1:31" ht="15" hidden="1" customHeight="1" x14ac:dyDescent="0.2">
      <c r="A615" s="611" t="s">
        <v>1648</v>
      </c>
      <c r="B615" s="601" t="s">
        <v>1649</v>
      </c>
      <c r="C615" s="611" t="s">
        <v>111</v>
      </c>
      <c r="D615" s="576">
        <f t="shared" ref="D615:D624" si="455">+I615+K615+M615+O615+Q615+S615</f>
        <v>0</v>
      </c>
      <c r="E615" s="577" t="e">
        <f t="shared" si="418"/>
        <v>#REF!</v>
      </c>
      <c r="F615" s="577" t="e">
        <f t="shared" ref="F615:F624" si="456">ROUND(D615*E615,10)</f>
        <v>#REF!</v>
      </c>
      <c r="G615" s="578"/>
      <c r="I615" s="594"/>
      <c r="J615" s="580" t="e">
        <f t="shared" ref="J615:J624" si="457">+ROUND(E615*I615,10)</f>
        <v>#REF!</v>
      </c>
      <c r="K615" s="537"/>
      <c r="L615" s="445" t="e">
        <f t="shared" ref="L615:L624" si="458">+ROUND(E615*K615,10)</f>
        <v>#REF!</v>
      </c>
      <c r="M615" s="542"/>
      <c r="N615" s="445" t="e">
        <f t="shared" ref="N615:N624" si="459">+ROUND(E615*M615,10)</f>
        <v>#REF!</v>
      </c>
      <c r="O615" s="542"/>
      <c r="P615" s="445" t="e">
        <f t="shared" ref="P615:P624" si="460">+ROUND(E615*O615,10)</f>
        <v>#REF!</v>
      </c>
      <c r="Q615" s="542"/>
      <c r="R615" s="445" t="e">
        <f t="shared" ref="R615:R624" si="461">+ROUND(E615*Q615,10)</f>
        <v>#REF!</v>
      </c>
      <c r="S615" s="542"/>
      <c r="T615" s="445" t="e">
        <f t="shared" ref="T615:T624" si="462">+ROUND(E615*S615,10)</f>
        <v>#REF!</v>
      </c>
      <c r="V615" s="581" t="e">
        <f>+'12,2,4,1 CORTASOL'!I19</f>
        <v>#REF!</v>
      </c>
      <c r="W615" s="582" t="e">
        <f t="shared" ref="W615:W624" si="463">ROUND(V615*$D615,10)</f>
        <v>#REF!</v>
      </c>
      <c r="X615" s="581">
        <f>+'12,2,4,1 CORTASOL'!I50</f>
        <v>195886.33</v>
      </c>
      <c r="Y615" s="582">
        <f t="shared" ref="Y615:Y624" si="464">ROUND(X615*$D615,10)</f>
        <v>0</v>
      </c>
      <c r="Z615" s="581">
        <f>+'12,2,4,1 CORTASOL'!I30</f>
        <v>76101.69</v>
      </c>
      <c r="AA615" s="582">
        <f t="shared" ref="AA615:AA624" si="465">ROUND(Z615*$D615,10)</f>
        <v>0</v>
      </c>
      <c r="AB615" s="581"/>
      <c r="AC615" s="582">
        <f t="shared" ref="AC615:AC624" si="466">ROUND(AB615*$D615,10)</f>
        <v>0</v>
      </c>
      <c r="AE615" s="769" t="e">
        <f t="shared" si="442"/>
        <v>#REF!</v>
      </c>
    </row>
    <row r="616" spans="1:31" ht="15" hidden="1" customHeight="1" x14ac:dyDescent="0.2">
      <c r="A616" s="611" t="s">
        <v>1650</v>
      </c>
      <c r="B616" s="601" t="s">
        <v>1651</v>
      </c>
      <c r="C616" s="611" t="s">
        <v>111</v>
      </c>
      <c r="D616" s="576">
        <f t="shared" si="455"/>
        <v>0</v>
      </c>
      <c r="E616" s="577">
        <f t="shared" si="418"/>
        <v>0</v>
      </c>
      <c r="F616" s="577">
        <f t="shared" si="456"/>
        <v>0</v>
      </c>
      <c r="G616" s="578"/>
      <c r="I616" s="584"/>
      <c r="J616" s="585">
        <f t="shared" si="457"/>
        <v>0</v>
      </c>
      <c r="K616" s="537"/>
      <c r="L616" s="445">
        <f t="shared" si="458"/>
        <v>0</v>
      </c>
      <c r="M616" s="542"/>
      <c r="N616" s="445">
        <f t="shared" si="459"/>
        <v>0</v>
      </c>
      <c r="O616" s="542"/>
      <c r="P616" s="445">
        <f t="shared" si="460"/>
        <v>0</v>
      </c>
      <c r="Q616" s="542"/>
      <c r="R616" s="445">
        <f t="shared" si="461"/>
        <v>0</v>
      </c>
      <c r="S616" s="542"/>
      <c r="T616" s="445">
        <f t="shared" si="462"/>
        <v>0</v>
      </c>
      <c r="V616" s="581"/>
      <c r="W616" s="582">
        <f t="shared" si="463"/>
        <v>0</v>
      </c>
      <c r="X616" s="581"/>
      <c r="Y616" s="582">
        <f t="shared" si="464"/>
        <v>0</v>
      </c>
      <c r="Z616" s="581"/>
      <c r="AA616" s="582">
        <f t="shared" si="465"/>
        <v>0</v>
      </c>
      <c r="AB616" s="581"/>
      <c r="AC616" s="582">
        <f t="shared" si="466"/>
        <v>0</v>
      </c>
      <c r="AE616" s="769">
        <f t="shared" si="442"/>
        <v>0</v>
      </c>
    </row>
    <row r="617" spans="1:31" ht="15" hidden="1" customHeight="1" x14ac:dyDescent="0.2">
      <c r="A617" s="611" t="s">
        <v>1652</v>
      </c>
      <c r="B617" s="601" t="s">
        <v>1653</v>
      </c>
      <c r="C617" s="611" t="s">
        <v>130</v>
      </c>
      <c r="D617" s="576">
        <f t="shared" si="455"/>
        <v>0</v>
      </c>
      <c r="E617" s="577">
        <f t="shared" si="418"/>
        <v>0</v>
      </c>
      <c r="F617" s="577">
        <f t="shared" si="456"/>
        <v>0</v>
      </c>
      <c r="G617" s="578"/>
      <c r="I617" s="584"/>
      <c r="J617" s="585">
        <f t="shared" si="457"/>
        <v>0</v>
      </c>
      <c r="K617" s="537"/>
      <c r="L617" s="445">
        <f t="shared" si="458"/>
        <v>0</v>
      </c>
      <c r="M617" s="542"/>
      <c r="N617" s="445">
        <f t="shared" si="459"/>
        <v>0</v>
      </c>
      <c r="O617" s="542"/>
      <c r="P617" s="445">
        <f t="shared" si="460"/>
        <v>0</v>
      </c>
      <c r="Q617" s="542"/>
      <c r="R617" s="445">
        <f t="shared" si="461"/>
        <v>0</v>
      </c>
      <c r="S617" s="542"/>
      <c r="T617" s="445">
        <f t="shared" si="462"/>
        <v>0</v>
      </c>
      <c r="V617" s="581"/>
      <c r="W617" s="582">
        <f t="shared" si="463"/>
        <v>0</v>
      </c>
      <c r="X617" s="581"/>
      <c r="Y617" s="582">
        <f t="shared" si="464"/>
        <v>0</v>
      </c>
      <c r="Z617" s="581"/>
      <c r="AA617" s="582">
        <f t="shared" si="465"/>
        <v>0</v>
      </c>
      <c r="AB617" s="581"/>
      <c r="AC617" s="582">
        <f t="shared" si="466"/>
        <v>0</v>
      </c>
      <c r="AE617" s="769">
        <f t="shared" si="442"/>
        <v>0</v>
      </c>
    </row>
    <row r="618" spans="1:31" ht="15" hidden="1" customHeight="1" x14ac:dyDescent="0.2">
      <c r="A618" s="611" t="s">
        <v>1654</v>
      </c>
      <c r="B618" s="601" t="s">
        <v>1655</v>
      </c>
      <c r="C618" s="611" t="s">
        <v>130</v>
      </c>
      <c r="D618" s="576">
        <f t="shared" si="455"/>
        <v>0</v>
      </c>
      <c r="E618" s="577" t="e">
        <f t="shared" si="418"/>
        <v>#REF!</v>
      </c>
      <c r="F618" s="577" t="e">
        <f t="shared" si="456"/>
        <v>#REF!</v>
      </c>
      <c r="G618" s="578"/>
      <c r="I618" s="584"/>
      <c r="J618" s="585" t="e">
        <f t="shared" si="457"/>
        <v>#REF!</v>
      </c>
      <c r="K618" s="537"/>
      <c r="L618" s="445" t="e">
        <f t="shared" si="458"/>
        <v>#REF!</v>
      </c>
      <c r="M618" s="542"/>
      <c r="N618" s="445" t="e">
        <f t="shared" si="459"/>
        <v>#REF!</v>
      </c>
      <c r="O618" s="542"/>
      <c r="P618" s="445" t="e">
        <f t="shared" si="460"/>
        <v>#REF!</v>
      </c>
      <c r="Q618" s="542"/>
      <c r="R618" s="445" t="e">
        <f t="shared" si="461"/>
        <v>#REF!</v>
      </c>
      <c r="S618" s="542"/>
      <c r="T618" s="445" t="e">
        <f t="shared" si="462"/>
        <v>#REF!</v>
      </c>
      <c r="V618" s="581" t="e">
        <f>+'12,2,4,4 Ventana Malla'!I19</f>
        <v>#REF!</v>
      </c>
      <c r="W618" s="582" t="e">
        <f t="shared" si="463"/>
        <v>#REF!</v>
      </c>
      <c r="X618" s="581">
        <f>+'12,2,4,4 Ventana Malla'!I50</f>
        <v>17956.25</v>
      </c>
      <c r="Y618" s="582">
        <f t="shared" si="464"/>
        <v>0</v>
      </c>
      <c r="Z618" s="581">
        <f>+'12,2,4,4 Ventana Malla'!I30</f>
        <v>6814.29</v>
      </c>
      <c r="AA618" s="582">
        <f t="shared" si="465"/>
        <v>0</v>
      </c>
      <c r="AB618" s="581"/>
      <c r="AC618" s="582">
        <f t="shared" si="466"/>
        <v>0</v>
      </c>
      <c r="AE618" s="769" t="e">
        <f t="shared" si="442"/>
        <v>#REF!</v>
      </c>
    </row>
    <row r="619" spans="1:31" ht="15" hidden="1" customHeight="1" x14ac:dyDescent="0.2">
      <c r="A619" s="611" t="s">
        <v>1656</v>
      </c>
      <c r="B619" s="601" t="s">
        <v>1657</v>
      </c>
      <c r="C619" s="611" t="s">
        <v>130</v>
      </c>
      <c r="D619" s="576">
        <f t="shared" si="455"/>
        <v>0</v>
      </c>
      <c r="E619" s="577">
        <f t="shared" si="418"/>
        <v>0</v>
      </c>
      <c r="F619" s="577">
        <f t="shared" si="456"/>
        <v>0</v>
      </c>
      <c r="G619" s="578"/>
      <c r="I619" s="584"/>
      <c r="J619" s="585">
        <f t="shared" si="457"/>
        <v>0</v>
      </c>
      <c r="K619" s="537"/>
      <c r="L619" s="445">
        <f t="shared" si="458"/>
        <v>0</v>
      </c>
      <c r="M619" s="542"/>
      <c r="N619" s="445">
        <f t="shared" si="459"/>
        <v>0</v>
      </c>
      <c r="O619" s="542"/>
      <c r="P619" s="445">
        <f t="shared" si="460"/>
        <v>0</v>
      </c>
      <c r="Q619" s="542"/>
      <c r="R619" s="445">
        <f t="shared" si="461"/>
        <v>0</v>
      </c>
      <c r="S619" s="542"/>
      <c r="T619" s="445">
        <f t="shared" si="462"/>
        <v>0</v>
      </c>
      <c r="V619" s="581"/>
      <c r="W619" s="582">
        <f t="shared" si="463"/>
        <v>0</v>
      </c>
      <c r="X619" s="581"/>
      <c r="Y619" s="582">
        <f t="shared" si="464"/>
        <v>0</v>
      </c>
      <c r="Z619" s="581"/>
      <c r="AA619" s="582">
        <f t="shared" si="465"/>
        <v>0</v>
      </c>
      <c r="AB619" s="581"/>
      <c r="AC619" s="582">
        <f t="shared" si="466"/>
        <v>0</v>
      </c>
      <c r="AE619" s="769">
        <f t="shared" si="442"/>
        <v>0</v>
      </c>
    </row>
    <row r="620" spans="1:31" ht="15" hidden="1" customHeight="1" x14ac:dyDescent="0.2">
      <c r="A620" s="611" t="s">
        <v>1658</v>
      </c>
      <c r="B620" s="601" t="s">
        <v>1659</v>
      </c>
      <c r="C620" s="611" t="s">
        <v>111</v>
      </c>
      <c r="D620" s="576">
        <f t="shared" si="455"/>
        <v>0</v>
      </c>
      <c r="E620" s="577">
        <f t="shared" si="418"/>
        <v>0</v>
      </c>
      <c r="F620" s="577">
        <f t="shared" si="456"/>
        <v>0</v>
      </c>
      <c r="G620" s="578"/>
      <c r="I620" s="584"/>
      <c r="J620" s="585">
        <f t="shared" si="457"/>
        <v>0</v>
      </c>
      <c r="K620" s="537"/>
      <c r="L620" s="445">
        <f t="shared" si="458"/>
        <v>0</v>
      </c>
      <c r="M620" s="542"/>
      <c r="N620" s="445">
        <f t="shared" si="459"/>
        <v>0</v>
      </c>
      <c r="O620" s="542"/>
      <c r="P620" s="445">
        <f t="shared" si="460"/>
        <v>0</v>
      </c>
      <c r="Q620" s="542"/>
      <c r="R620" s="445">
        <f t="shared" si="461"/>
        <v>0</v>
      </c>
      <c r="S620" s="542"/>
      <c r="T620" s="445">
        <f t="shared" si="462"/>
        <v>0</v>
      </c>
      <c r="V620" s="581"/>
      <c r="W620" s="582">
        <f t="shared" si="463"/>
        <v>0</v>
      </c>
      <c r="X620" s="581"/>
      <c r="Y620" s="582">
        <f t="shared" si="464"/>
        <v>0</v>
      </c>
      <c r="Z620" s="581"/>
      <c r="AA620" s="582">
        <f t="shared" si="465"/>
        <v>0</v>
      </c>
      <c r="AB620" s="581"/>
      <c r="AC620" s="582">
        <f t="shared" si="466"/>
        <v>0</v>
      </c>
      <c r="AE620" s="769">
        <f t="shared" si="442"/>
        <v>0</v>
      </c>
    </row>
    <row r="621" spans="1:31" ht="15" hidden="1" customHeight="1" x14ac:dyDescent="0.2">
      <c r="A621" s="611" t="s">
        <v>1660</v>
      </c>
      <c r="B621" s="601" t="s">
        <v>1661</v>
      </c>
      <c r="C621" s="611" t="s">
        <v>111</v>
      </c>
      <c r="D621" s="576">
        <f t="shared" si="455"/>
        <v>0</v>
      </c>
      <c r="E621" s="577">
        <f t="shared" si="418"/>
        <v>0</v>
      </c>
      <c r="F621" s="577">
        <f t="shared" si="456"/>
        <v>0</v>
      </c>
      <c r="G621" s="578"/>
      <c r="I621" s="584"/>
      <c r="J621" s="585">
        <f t="shared" si="457"/>
        <v>0</v>
      </c>
      <c r="K621" s="537"/>
      <c r="L621" s="445">
        <f t="shared" si="458"/>
        <v>0</v>
      </c>
      <c r="M621" s="542"/>
      <c r="N621" s="445">
        <f t="shared" si="459"/>
        <v>0</v>
      </c>
      <c r="O621" s="542"/>
      <c r="P621" s="445">
        <f t="shared" si="460"/>
        <v>0</v>
      </c>
      <c r="Q621" s="542"/>
      <c r="R621" s="445">
        <f t="shared" si="461"/>
        <v>0</v>
      </c>
      <c r="S621" s="542"/>
      <c r="T621" s="445">
        <f t="shared" si="462"/>
        <v>0</v>
      </c>
      <c r="V621" s="581"/>
      <c r="W621" s="582">
        <f t="shared" si="463"/>
        <v>0</v>
      </c>
      <c r="X621" s="581"/>
      <c r="Y621" s="582">
        <f t="shared" si="464"/>
        <v>0</v>
      </c>
      <c r="Z621" s="581"/>
      <c r="AA621" s="582">
        <f t="shared" si="465"/>
        <v>0</v>
      </c>
      <c r="AB621" s="581"/>
      <c r="AC621" s="582">
        <f t="shared" si="466"/>
        <v>0</v>
      </c>
      <c r="AE621" s="769">
        <f t="shared" si="442"/>
        <v>0</v>
      </c>
    </row>
    <row r="622" spans="1:31" ht="15" hidden="1" customHeight="1" x14ac:dyDescent="0.2">
      <c r="A622" s="611" t="s">
        <v>1662</v>
      </c>
      <c r="B622" s="601" t="s">
        <v>1663</v>
      </c>
      <c r="C622" s="611" t="s">
        <v>114</v>
      </c>
      <c r="D622" s="576">
        <f t="shared" si="455"/>
        <v>0</v>
      </c>
      <c r="E622" s="577">
        <f t="shared" si="418"/>
        <v>0</v>
      </c>
      <c r="F622" s="577">
        <f t="shared" si="456"/>
        <v>0</v>
      </c>
      <c r="G622" s="578"/>
      <c r="I622" s="584"/>
      <c r="J622" s="585">
        <f t="shared" si="457"/>
        <v>0</v>
      </c>
      <c r="K622" s="537"/>
      <c r="L622" s="445">
        <f t="shared" si="458"/>
        <v>0</v>
      </c>
      <c r="M622" s="542"/>
      <c r="N622" s="445">
        <f t="shared" si="459"/>
        <v>0</v>
      </c>
      <c r="O622" s="542"/>
      <c r="P622" s="445">
        <f t="shared" si="460"/>
        <v>0</v>
      </c>
      <c r="Q622" s="542"/>
      <c r="R622" s="445">
        <f t="shared" si="461"/>
        <v>0</v>
      </c>
      <c r="S622" s="542"/>
      <c r="T622" s="445">
        <f t="shared" si="462"/>
        <v>0</v>
      </c>
      <c r="V622" s="581"/>
      <c r="W622" s="582">
        <f t="shared" si="463"/>
        <v>0</v>
      </c>
      <c r="X622" s="581"/>
      <c r="Y622" s="582">
        <f t="shared" si="464"/>
        <v>0</v>
      </c>
      <c r="Z622" s="581"/>
      <c r="AA622" s="582">
        <f t="shared" si="465"/>
        <v>0</v>
      </c>
      <c r="AB622" s="581"/>
      <c r="AC622" s="582">
        <f t="shared" si="466"/>
        <v>0</v>
      </c>
      <c r="AE622" s="769">
        <f t="shared" si="442"/>
        <v>0</v>
      </c>
    </row>
    <row r="623" spans="1:31" ht="15" hidden="1" customHeight="1" x14ac:dyDescent="0.2">
      <c r="A623" s="611" t="s">
        <v>1664</v>
      </c>
      <c r="B623" s="601" t="s">
        <v>1665</v>
      </c>
      <c r="C623" s="611" t="s">
        <v>114</v>
      </c>
      <c r="D623" s="576">
        <f t="shared" si="455"/>
        <v>0</v>
      </c>
      <c r="E623" s="577">
        <f t="shared" si="418"/>
        <v>0</v>
      </c>
      <c r="F623" s="577">
        <f t="shared" si="456"/>
        <v>0</v>
      </c>
      <c r="G623" s="578"/>
      <c r="I623" s="584"/>
      <c r="J623" s="585">
        <f t="shared" si="457"/>
        <v>0</v>
      </c>
      <c r="K623" s="537"/>
      <c r="L623" s="445">
        <f t="shared" si="458"/>
        <v>0</v>
      </c>
      <c r="M623" s="542"/>
      <c r="N623" s="445">
        <f t="shared" si="459"/>
        <v>0</v>
      </c>
      <c r="O623" s="542"/>
      <c r="P623" s="445">
        <f t="shared" si="460"/>
        <v>0</v>
      </c>
      <c r="Q623" s="542"/>
      <c r="R623" s="445">
        <f t="shared" si="461"/>
        <v>0</v>
      </c>
      <c r="S623" s="542"/>
      <c r="T623" s="445">
        <f t="shared" si="462"/>
        <v>0</v>
      </c>
      <c r="V623" s="581"/>
      <c r="W623" s="582">
        <f t="shared" si="463"/>
        <v>0</v>
      </c>
      <c r="X623" s="581"/>
      <c r="Y623" s="582">
        <f t="shared" si="464"/>
        <v>0</v>
      </c>
      <c r="Z623" s="581"/>
      <c r="AA623" s="582">
        <f t="shared" si="465"/>
        <v>0</v>
      </c>
      <c r="AB623" s="581"/>
      <c r="AC623" s="582">
        <f t="shared" si="466"/>
        <v>0</v>
      </c>
      <c r="AE623" s="769">
        <f t="shared" si="442"/>
        <v>0</v>
      </c>
    </row>
    <row r="624" spans="1:31" ht="15" hidden="1" customHeight="1" thickBot="1" x14ac:dyDescent="0.25">
      <c r="A624" s="611" t="s">
        <v>1666</v>
      </c>
      <c r="B624" s="601" t="s">
        <v>1037</v>
      </c>
      <c r="C624" s="611"/>
      <c r="D624" s="576">
        <f t="shared" si="455"/>
        <v>0</v>
      </c>
      <c r="E624" s="577">
        <f t="shared" si="418"/>
        <v>0</v>
      </c>
      <c r="F624" s="577">
        <f t="shared" si="456"/>
        <v>0</v>
      </c>
      <c r="G624" s="578"/>
      <c r="I624" s="602"/>
      <c r="J624" s="603">
        <f t="shared" si="457"/>
        <v>0</v>
      </c>
      <c r="K624" s="537"/>
      <c r="L624" s="445">
        <f t="shared" si="458"/>
        <v>0</v>
      </c>
      <c r="M624" s="542"/>
      <c r="N624" s="445">
        <f t="shared" si="459"/>
        <v>0</v>
      </c>
      <c r="O624" s="542"/>
      <c r="P624" s="445">
        <f t="shared" si="460"/>
        <v>0</v>
      </c>
      <c r="Q624" s="542"/>
      <c r="R624" s="445">
        <f t="shared" si="461"/>
        <v>0</v>
      </c>
      <c r="S624" s="542"/>
      <c r="T624" s="445">
        <f t="shared" si="462"/>
        <v>0</v>
      </c>
      <c r="V624" s="581"/>
      <c r="W624" s="582">
        <f t="shared" si="463"/>
        <v>0</v>
      </c>
      <c r="X624" s="581"/>
      <c r="Y624" s="582">
        <f t="shared" si="464"/>
        <v>0</v>
      </c>
      <c r="Z624" s="581"/>
      <c r="AA624" s="582">
        <f t="shared" si="465"/>
        <v>0</v>
      </c>
      <c r="AB624" s="581"/>
      <c r="AC624" s="582">
        <f t="shared" si="466"/>
        <v>0</v>
      </c>
      <c r="AE624" s="769">
        <f t="shared" si="442"/>
        <v>0</v>
      </c>
    </row>
    <row r="625" spans="1:31" ht="15" hidden="1" customHeight="1" thickTop="1" x14ac:dyDescent="0.2">
      <c r="A625" s="611"/>
      <c r="B625" s="601"/>
      <c r="C625" s="611"/>
      <c r="D625" s="576"/>
      <c r="E625" s="577"/>
      <c r="F625" s="577"/>
      <c r="G625" s="578"/>
      <c r="I625" s="604"/>
      <c r="J625" s="635"/>
      <c r="K625" s="537"/>
      <c r="L625" s="445"/>
      <c r="M625" s="542"/>
      <c r="N625" s="445"/>
      <c r="O625" s="542"/>
      <c r="P625" s="445"/>
      <c r="Q625" s="542"/>
      <c r="R625" s="445"/>
      <c r="S625" s="542"/>
      <c r="T625" s="445"/>
      <c r="V625" s="581"/>
      <c r="W625" s="582"/>
      <c r="X625" s="581"/>
      <c r="Y625" s="582"/>
      <c r="Z625" s="581"/>
      <c r="AA625" s="582"/>
      <c r="AB625" s="581"/>
      <c r="AC625" s="582"/>
      <c r="AE625" s="769">
        <f t="shared" si="442"/>
        <v>0</v>
      </c>
    </row>
    <row r="626" spans="1:31" s="657" customFormat="1" ht="6.75" customHeight="1" x14ac:dyDescent="0.2">
      <c r="A626" s="919"/>
      <c r="B626" s="920"/>
      <c r="C626" s="919"/>
      <c r="D626" s="655"/>
      <c r="E626" s="656"/>
      <c r="F626" s="656"/>
      <c r="G626" s="656"/>
      <c r="I626" s="658"/>
      <c r="J626" s="658"/>
      <c r="K626" s="659"/>
      <c r="L626" s="658"/>
      <c r="M626" s="174"/>
      <c r="N626" s="658"/>
      <c r="O626" s="174"/>
      <c r="P626" s="658"/>
      <c r="Q626" s="174"/>
      <c r="R626" s="658"/>
      <c r="S626" s="174"/>
      <c r="T626" s="658"/>
      <c r="V626" s="667"/>
      <c r="W626" s="667"/>
      <c r="X626" s="667"/>
      <c r="Y626" s="667"/>
      <c r="Z626" s="667"/>
      <c r="AA626" s="667"/>
      <c r="AB626" s="667"/>
      <c r="AC626" s="667"/>
      <c r="AE626" s="769"/>
    </row>
    <row r="627" spans="1:31" ht="30" hidden="1" customHeight="1" thickTop="1" thickBot="1" x14ac:dyDescent="0.25">
      <c r="A627" s="678">
        <v>13</v>
      </c>
      <c r="B627" s="1047" t="s">
        <v>1667</v>
      </c>
      <c r="C627" s="1048"/>
      <c r="D627" s="1048"/>
      <c r="E627" s="1048"/>
      <c r="F627" s="1049"/>
      <c r="G627" s="443">
        <f>+F628+F633+F642</f>
        <v>0</v>
      </c>
      <c r="H627" s="568"/>
      <c r="I627" s="616"/>
      <c r="J627" s="439">
        <f>+ROUND(J628+J633+J642,10)</f>
        <v>0</v>
      </c>
      <c r="K627" s="679"/>
      <c r="L627" s="442">
        <f>+ROUND(L628+L633+L642,10)</f>
        <v>0</v>
      </c>
      <c r="M627" s="442"/>
      <c r="N627" s="442">
        <f>+ROUND(N628+N633+N642,10)</f>
        <v>0</v>
      </c>
      <c r="O627" s="442"/>
      <c r="P627" s="442">
        <f>+ROUND(P628+P633+P642,10)</f>
        <v>0</v>
      </c>
      <c r="Q627" s="442"/>
      <c r="R627" s="442">
        <f>+ROUND(R628+R633+R642,10)</f>
        <v>0</v>
      </c>
      <c r="S627" s="442"/>
      <c r="T627" s="443">
        <f>+ROUND(T628+T633+T642,10)</f>
        <v>0</v>
      </c>
      <c r="U627" s="568"/>
      <c r="V627" s="680" t="e">
        <f>W627/$G$627</f>
        <v>#DIV/0!</v>
      </c>
      <c r="W627" s="681">
        <f>ROUND(W628+W633+W642,10)</f>
        <v>0</v>
      </c>
      <c r="X627" s="682" t="e">
        <f>+Y627/G627</f>
        <v>#DIV/0!</v>
      </c>
      <c r="Y627" s="681">
        <f>ROUND(Y628+Y633+Y642,10)</f>
        <v>0</v>
      </c>
      <c r="Z627" s="682" t="e">
        <f>+AA627/G627</f>
        <v>#DIV/0!</v>
      </c>
      <c r="AA627" s="681">
        <f>ROUND(AA628+AA633+AA642,10)</f>
        <v>0</v>
      </c>
      <c r="AB627" s="682" t="e">
        <f>+AC627/G627</f>
        <v>#DIV/0!</v>
      </c>
      <c r="AC627" s="681">
        <f>ROUND(AC628+AC633+AC642,10)</f>
        <v>0</v>
      </c>
      <c r="AE627" s="769">
        <f t="shared" si="442"/>
        <v>0</v>
      </c>
    </row>
    <row r="628" spans="1:31" s="595" customFormat="1" ht="16.5" hidden="1" customHeight="1" thickTop="1" x14ac:dyDescent="0.2">
      <c r="A628" s="683" t="s">
        <v>1668</v>
      </c>
      <c r="B628" s="573" t="s">
        <v>1669</v>
      </c>
      <c r="C628" s="846"/>
      <c r="D628" s="576"/>
      <c r="E628" s="180"/>
      <c r="F628" s="180">
        <f>+ROUND(SUM(F629:F632),10)</f>
        <v>0</v>
      </c>
      <c r="G628" s="176"/>
      <c r="H628" s="568"/>
      <c r="I628" s="618"/>
      <c r="J628" s="439">
        <f>ROUND(SUM(J629:J632),10)</f>
        <v>0</v>
      </c>
      <c r="K628" s="684"/>
      <c r="L628" s="180">
        <f>ROUND(SUM(L629:L632),10)</f>
        <v>0</v>
      </c>
      <c r="M628" s="473"/>
      <c r="N628" s="180">
        <f>ROUND(SUM(N629:N632),10)</f>
        <v>0</v>
      </c>
      <c r="O628" s="473"/>
      <c r="P628" s="180">
        <f>ROUND(SUM(P629:P632),10)</f>
        <v>0</v>
      </c>
      <c r="Q628" s="473"/>
      <c r="R628" s="180">
        <f>ROUND(SUM(R629:R632),10)</f>
        <v>0</v>
      </c>
      <c r="S628" s="473"/>
      <c r="T628" s="447">
        <f>ROUND(SUM(T629:T632),10)</f>
        <v>0</v>
      </c>
      <c r="U628" s="568"/>
      <c r="V628" s="685"/>
      <c r="W628" s="570">
        <f>ROUND(SUM(W629:W632),10)</f>
        <v>0</v>
      </c>
      <c r="X628" s="575"/>
      <c r="Y628" s="570">
        <f>ROUND(SUM(Y629:Y632),10)</f>
        <v>0</v>
      </c>
      <c r="Z628" s="575"/>
      <c r="AA628" s="570">
        <f>ROUND(SUM(AA629:AA632),10)</f>
        <v>0</v>
      </c>
      <c r="AB628" s="575"/>
      <c r="AC628" s="570">
        <f>ROUND(SUM(AC629:AC632),10)</f>
        <v>0</v>
      </c>
      <c r="AD628" s="912"/>
      <c r="AE628" s="769">
        <f t="shared" si="442"/>
        <v>0</v>
      </c>
    </row>
    <row r="629" spans="1:31" s="595" customFormat="1" ht="15" hidden="1" customHeight="1" x14ac:dyDescent="0.2">
      <c r="A629" s="922" t="s">
        <v>1670</v>
      </c>
      <c r="B629" s="601" t="s">
        <v>1671</v>
      </c>
      <c r="C629" s="611" t="s">
        <v>130</v>
      </c>
      <c r="D629" s="576">
        <f>+I629+K629+M629+O629+Q629+S629</f>
        <v>0</v>
      </c>
      <c r="E629" s="577">
        <f t="shared" ref="E629:E644" si="467">V629+X629+Z629+AB629</f>
        <v>0</v>
      </c>
      <c r="F629" s="577">
        <f>ROUND(D629*E629,10)</f>
        <v>0</v>
      </c>
      <c r="G629" s="686"/>
      <c r="H629" s="552"/>
      <c r="I629" s="594"/>
      <c r="J629" s="580">
        <f>+ROUND(E629*I629,10)</f>
        <v>0</v>
      </c>
      <c r="K629" s="540"/>
      <c r="L629" s="445">
        <f>+ROUND(E629*K629,10)</f>
        <v>0</v>
      </c>
      <c r="M629" s="542"/>
      <c r="N629" s="445">
        <f>+ROUND(E629*M629,10)</f>
        <v>0</v>
      </c>
      <c r="O629" s="542"/>
      <c r="P629" s="445">
        <f>+ROUND(E629*O629,10)</f>
        <v>0</v>
      </c>
      <c r="Q629" s="542"/>
      <c r="R629" s="445">
        <f>+ROUND(E629*Q629,10)</f>
        <v>0</v>
      </c>
      <c r="S629" s="542"/>
      <c r="T629" s="687">
        <f>+ROUND(E629*S629,10)</f>
        <v>0</v>
      </c>
      <c r="U629" s="552"/>
      <c r="V629" s="614"/>
      <c r="W629" s="582">
        <f>ROUND(V629*$D629,10)</f>
        <v>0</v>
      </c>
      <c r="X629" s="581"/>
      <c r="Y629" s="582">
        <f>ROUND(X629*$D629,10)</f>
        <v>0</v>
      </c>
      <c r="Z629" s="581"/>
      <c r="AA629" s="582">
        <f>ROUND(Z629*$D629,10)</f>
        <v>0</v>
      </c>
      <c r="AB629" s="581"/>
      <c r="AC629" s="582">
        <f>ROUND(AB629*$D629,10)</f>
        <v>0</v>
      </c>
      <c r="AD629" s="912"/>
      <c r="AE629" s="769">
        <f t="shared" si="442"/>
        <v>0</v>
      </c>
    </row>
    <row r="630" spans="1:31" s="595" customFormat="1" ht="25.5" hidden="1" customHeight="1" x14ac:dyDescent="0.2">
      <c r="A630" s="922" t="s">
        <v>1672</v>
      </c>
      <c r="B630" s="601" t="s">
        <v>1673</v>
      </c>
      <c r="C630" s="611" t="s">
        <v>130</v>
      </c>
      <c r="D630" s="576">
        <f>+I630+K630+M630+O630+Q630+S630</f>
        <v>0</v>
      </c>
      <c r="E630" s="577">
        <f t="shared" si="467"/>
        <v>0</v>
      </c>
      <c r="F630" s="577">
        <f>ROUND(D630*E630,10)</f>
        <v>0</v>
      </c>
      <c r="G630" s="686"/>
      <c r="H630" s="552"/>
      <c r="I630" s="584"/>
      <c r="J630" s="585">
        <f>+ROUND(E630*I630,10)</f>
        <v>0</v>
      </c>
      <c r="K630" s="540"/>
      <c r="L630" s="445">
        <f>+ROUND(E630*K630,10)</f>
        <v>0</v>
      </c>
      <c r="M630" s="542"/>
      <c r="N630" s="445">
        <f>+ROUND(E630*M630,10)</f>
        <v>0</v>
      </c>
      <c r="O630" s="542"/>
      <c r="P630" s="445">
        <f>+ROUND(E630*O630,10)</f>
        <v>0</v>
      </c>
      <c r="Q630" s="542"/>
      <c r="R630" s="445">
        <f>+ROUND(E630*Q630,10)</f>
        <v>0</v>
      </c>
      <c r="S630" s="542"/>
      <c r="T630" s="687">
        <f>+ROUND(E630*S630,10)</f>
        <v>0</v>
      </c>
      <c r="U630" s="552"/>
      <c r="V630" s="614"/>
      <c r="W630" s="582">
        <f>ROUND(V630*$D630,10)</f>
        <v>0</v>
      </c>
      <c r="X630" s="581"/>
      <c r="Y630" s="582">
        <f>ROUND(X630*$D630,10)</f>
        <v>0</v>
      </c>
      <c r="Z630" s="581"/>
      <c r="AA630" s="582">
        <f>ROUND(Z630*$D630,10)</f>
        <v>0</v>
      </c>
      <c r="AB630" s="581"/>
      <c r="AC630" s="582">
        <f>ROUND(AB630*$D630,10)</f>
        <v>0</v>
      </c>
      <c r="AD630" s="912"/>
      <c r="AE630" s="769">
        <f t="shared" si="442"/>
        <v>0</v>
      </c>
    </row>
    <row r="631" spans="1:31" s="595" customFormat="1" ht="25.5" hidden="1" customHeight="1" x14ac:dyDescent="0.2">
      <c r="A631" s="922" t="s">
        <v>1674</v>
      </c>
      <c r="B631" s="601" t="s">
        <v>1675</v>
      </c>
      <c r="C631" s="611" t="s">
        <v>130</v>
      </c>
      <c r="D631" s="576">
        <f>+I631+K631+M631+O631+Q631+S631</f>
        <v>0</v>
      </c>
      <c r="E631" s="577">
        <f t="shared" si="467"/>
        <v>0</v>
      </c>
      <c r="F631" s="577">
        <f>ROUND(D631*E631,10)</f>
        <v>0</v>
      </c>
      <c r="G631" s="686"/>
      <c r="H631" s="552"/>
      <c r="I631" s="584"/>
      <c r="J631" s="585">
        <f>+ROUND(E631*I631,10)</f>
        <v>0</v>
      </c>
      <c r="K631" s="540"/>
      <c r="L631" s="445">
        <f>+ROUND(E631*K631,10)</f>
        <v>0</v>
      </c>
      <c r="M631" s="542"/>
      <c r="N631" s="445">
        <f>+ROUND(E631*M631,10)</f>
        <v>0</v>
      </c>
      <c r="O631" s="542"/>
      <c r="P631" s="445">
        <f>+ROUND(E631*O631,10)</f>
        <v>0</v>
      </c>
      <c r="Q631" s="542"/>
      <c r="R631" s="445">
        <f>+ROUND(E631*Q631,10)</f>
        <v>0</v>
      </c>
      <c r="S631" s="542"/>
      <c r="T631" s="687">
        <f>+ROUND(E631*S631,10)</f>
        <v>0</v>
      </c>
      <c r="U631" s="552"/>
      <c r="V631" s="614"/>
      <c r="W631" s="582">
        <f>ROUND(V631*$D631,10)</f>
        <v>0</v>
      </c>
      <c r="X631" s="581"/>
      <c r="Y631" s="582">
        <f>ROUND(X631*$D631,10)</f>
        <v>0</v>
      </c>
      <c r="Z631" s="581"/>
      <c r="AA631" s="582">
        <f>ROUND(Z631*$D631,10)</f>
        <v>0</v>
      </c>
      <c r="AB631" s="581"/>
      <c r="AC631" s="582">
        <f>ROUND(AB631*$D631,10)</f>
        <v>0</v>
      </c>
      <c r="AD631" s="912"/>
      <c r="AE631" s="769">
        <f t="shared" si="442"/>
        <v>0</v>
      </c>
    </row>
    <row r="632" spans="1:31" s="595" customFormat="1" ht="25.5" hidden="1" customHeight="1" x14ac:dyDescent="0.2">
      <c r="A632" s="922" t="s">
        <v>1676</v>
      </c>
      <c r="B632" s="601" t="s">
        <v>1677</v>
      </c>
      <c r="C632" s="611" t="s">
        <v>130</v>
      </c>
      <c r="D632" s="576">
        <f>+I632+K632+M632+O632+Q632+S632</f>
        <v>0</v>
      </c>
      <c r="E632" s="577">
        <f t="shared" si="467"/>
        <v>0</v>
      </c>
      <c r="F632" s="577">
        <f>ROUND(D632*E632,10)</f>
        <v>0</v>
      </c>
      <c r="G632" s="686"/>
      <c r="H632" s="552"/>
      <c r="I632" s="597"/>
      <c r="J632" s="598">
        <f>+ROUND(E632*I632,10)</f>
        <v>0</v>
      </c>
      <c r="K632" s="540"/>
      <c r="L632" s="445">
        <f>+ROUND(E632*K632,10)</f>
        <v>0</v>
      </c>
      <c r="M632" s="542"/>
      <c r="N632" s="445">
        <f>+ROUND(E632*M632,10)</f>
        <v>0</v>
      </c>
      <c r="O632" s="542"/>
      <c r="P632" s="445">
        <f>+ROUND(E632*O632,10)</f>
        <v>0</v>
      </c>
      <c r="Q632" s="542"/>
      <c r="R632" s="445">
        <f>+ROUND(E632*Q632,10)</f>
        <v>0</v>
      </c>
      <c r="S632" s="542"/>
      <c r="T632" s="687">
        <f>+ROUND(E632*S632,10)</f>
        <v>0</v>
      </c>
      <c r="U632" s="552"/>
      <c r="V632" s="614"/>
      <c r="W632" s="582">
        <f>ROUND(V632*$D632,10)</f>
        <v>0</v>
      </c>
      <c r="X632" s="581"/>
      <c r="Y632" s="582">
        <f>ROUND(X632*$D632,10)</f>
        <v>0</v>
      </c>
      <c r="Z632" s="581"/>
      <c r="AA632" s="582">
        <f>ROUND(Z632*$D632,10)</f>
        <v>0</v>
      </c>
      <c r="AB632" s="581"/>
      <c r="AC632" s="582">
        <f>ROUND(AB632*$D632,10)</f>
        <v>0</v>
      </c>
      <c r="AD632" s="912"/>
      <c r="AE632" s="769">
        <f t="shared" si="442"/>
        <v>0</v>
      </c>
    </row>
    <row r="633" spans="1:31" ht="15" hidden="1" customHeight="1" x14ac:dyDescent="0.2">
      <c r="A633" s="683" t="s">
        <v>1678</v>
      </c>
      <c r="B633" s="573" t="s">
        <v>1679</v>
      </c>
      <c r="C633" s="846"/>
      <c r="D633" s="576"/>
      <c r="E633" s="577"/>
      <c r="F633" s="180">
        <f>+ROUND(SUM(F634:F641),10)</f>
        <v>0</v>
      </c>
      <c r="G633" s="176"/>
      <c r="I633" s="613"/>
      <c r="J633" s="440">
        <f>ROUND(SUM(J634:J641),10)</f>
        <v>0</v>
      </c>
      <c r="K633" s="540"/>
      <c r="L633" s="180">
        <f>ROUND(SUM(L634:L641),10)</f>
        <v>0</v>
      </c>
      <c r="M633" s="542"/>
      <c r="N633" s="180">
        <f>ROUND(SUM(N634:N641),10)</f>
        <v>0</v>
      </c>
      <c r="O633" s="542"/>
      <c r="P633" s="180">
        <f>ROUND(SUM(P634:P641),10)</f>
        <v>0</v>
      </c>
      <c r="Q633" s="542"/>
      <c r="R633" s="180">
        <f>ROUND(SUM(R634:R641),10)</f>
        <v>0</v>
      </c>
      <c r="S633" s="542"/>
      <c r="T633" s="447">
        <f>ROUND(SUM(T634:T641),10)</f>
        <v>0</v>
      </c>
      <c r="V633" s="614"/>
      <c r="W633" s="570">
        <f>ROUND(SUM(W634:W641),10)</f>
        <v>0</v>
      </c>
      <c r="X633" s="581"/>
      <c r="Y633" s="570">
        <f>ROUND(SUM(Y634:Y641),10)</f>
        <v>0</v>
      </c>
      <c r="Z633" s="581"/>
      <c r="AA633" s="570">
        <f>ROUND(SUM(AA634:AA641),10)</f>
        <v>0</v>
      </c>
      <c r="AB633" s="581"/>
      <c r="AC633" s="570">
        <f>ROUND(SUM(AC634:AC641),10)</f>
        <v>0</v>
      </c>
      <c r="AE633" s="769">
        <f t="shared" si="442"/>
        <v>0</v>
      </c>
    </row>
    <row r="634" spans="1:31" ht="15" hidden="1" customHeight="1" x14ac:dyDescent="0.2">
      <c r="A634" s="922" t="s">
        <v>1680</v>
      </c>
      <c r="B634" s="601" t="s">
        <v>1681</v>
      </c>
      <c r="C634" s="611" t="s">
        <v>111</v>
      </c>
      <c r="D634" s="576">
        <f t="shared" ref="D634:D641" si="468">+I634+K634+M634+O634+Q634+S634</f>
        <v>0</v>
      </c>
      <c r="E634" s="577">
        <f t="shared" si="467"/>
        <v>0</v>
      </c>
      <c r="F634" s="577">
        <f t="shared" ref="F634:F641" si="469">ROUND(D634*E634,10)</f>
        <v>0</v>
      </c>
      <c r="G634" s="686"/>
      <c r="I634" s="594"/>
      <c r="J634" s="580">
        <f t="shared" ref="J634:J641" si="470">+ROUND(E634*I634,10)</f>
        <v>0</v>
      </c>
      <c r="K634" s="540"/>
      <c r="L634" s="445">
        <f t="shared" ref="L634:L641" si="471">+ROUND(E634*K634,10)</f>
        <v>0</v>
      </c>
      <c r="M634" s="542"/>
      <c r="N634" s="445">
        <f t="shared" ref="N634:N641" si="472">+ROUND(E634*M634,10)</f>
        <v>0</v>
      </c>
      <c r="O634" s="542"/>
      <c r="P634" s="445">
        <f t="shared" ref="P634:P641" si="473">+ROUND(E634*O634,10)</f>
        <v>0</v>
      </c>
      <c r="Q634" s="542"/>
      <c r="R634" s="445">
        <f t="shared" ref="R634:R641" si="474">+ROUND(E634*Q634,10)</f>
        <v>0</v>
      </c>
      <c r="S634" s="542"/>
      <c r="T634" s="687">
        <f t="shared" ref="T634:T641" si="475">+ROUND(E634*S634,10)</f>
        <v>0</v>
      </c>
      <c r="V634" s="614"/>
      <c r="W634" s="582">
        <f t="shared" ref="W634:W641" si="476">ROUND(V634*$D634,10)</f>
        <v>0</v>
      </c>
      <c r="X634" s="581"/>
      <c r="Y634" s="582">
        <f t="shared" ref="Y634:Y641" si="477">ROUND(X634*$D634,10)</f>
        <v>0</v>
      </c>
      <c r="Z634" s="581"/>
      <c r="AA634" s="582">
        <f t="shared" ref="AA634:AA641" si="478">ROUND(Z634*$D634,10)</f>
        <v>0</v>
      </c>
      <c r="AB634" s="581"/>
      <c r="AC634" s="582">
        <f t="shared" ref="AC634:AC641" si="479">ROUND(AB634*$D634,10)</f>
        <v>0</v>
      </c>
      <c r="AE634" s="769">
        <f t="shared" si="442"/>
        <v>0</v>
      </c>
    </row>
    <row r="635" spans="1:31" ht="15" hidden="1" customHeight="1" x14ac:dyDescent="0.2">
      <c r="A635" s="922" t="s">
        <v>1682</v>
      </c>
      <c r="B635" s="601" t="s">
        <v>1683</v>
      </c>
      <c r="C635" s="611" t="s">
        <v>111</v>
      </c>
      <c r="D635" s="576">
        <f t="shared" si="468"/>
        <v>0</v>
      </c>
      <c r="E635" s="577">
        <f t="shared" si="467"/>
        <v>0</v>
      </c>
      <c r="F635" s="577">
        <f t="shared" si="469"/>
        <v>0</v>
      </c>
      <c r="G635" s="686"/>
      <c r="I635" s="584"/>
      <c r="J635" s="585">
        <f t="shared" si="470"/>
        <v>0</v>
      </c>
      <c r="K635" s="540"/>
      <c r="L635" s="445">
        <f t="shared" si="471"/>
        <v>0</v>
      </c>
      <c r="M635" s="542"/>
      <c r="N635" s="445">
        <f t="shared" si="472"/>
        <v>0</v>
      </c>
      <c r="O635" s="542"/>
      <c r="P635" s="445">
        <f t="shared" si="473"/>
        <v>0</v>
      </c>
      <c r="Q635" s="542"/>
      <c r="R635" s="445">
        <f t="shared" si="474"/>
        <v>0</v>
      </c>
      <c r="S635" s="542"/>
      <c r="T635" s="687">
        <f t="shared" si="475"/>
        <v>0</v>
      </c>
      <c r="V635" s="614"/>
      <c r="W635" s="582">
        <f t="shared" si="476"/>
        <v>0</v>
      </c>
      <c r="X635" s="581"/>
      <c r="Y635" s="582">
        <f t="shared" si="477"/>
        <v>0</v>
      </c>
      <c r="Z635" s="581"/>
      <c r="AA635" s="582">
        <f t="shared" si="478"/>
        <v>0</v>
      </c>
      <c r="AB635" s="581"/>
      <c r="AC635" s="582">
        <f t="shared" si="479"/>
        <v>0</v>
      </c>
      <c r="AE635" s="769">
        <f t="shared" si="442"/>
        <v>0</v>
      </c>
    </row>
    <row r="636" spans="1:31" ht="15" hidden="1" customHeight="1" x14ac:dyDescent="0.2">
      <c r="A636" s="922" t="s">
        <v>1684</v>
      </c>
      <c r="B636" s="601" t="s">
        <v>1685</v>
      </c>
      <c r="C636" s="792" t="s">
        <v>114</v>
      </c>
      <c r="D636" s="576">
        <f t="shared" si="468"/>
        <v>0</v>
      </c>
      <c r="E636" s="577">
        <f t="shared" si="467"/>
        <v>0</v>
      </c>
      <c r="F636" s="577">
        <f t="shared" si="469"/>
        <v>0</v>
      </c>
      <c r="G636" s="446"/>
      <c r="I636" s="584"/>
      <c r="J636" s="585">
        <f t="shared" si="470"/>
        <v>0</v>
      </c>
      <c r="K636" s="540"/>
      <c r="L636" s="445">
        <f t="shared" si="471"/>
        <v>0</v>
      </c>
      <c r="M636" s="542"/>
      <c r="N636" s="445">
        <f t="shared" si="472"/>
        <v>0</v>
      </c>
      <c r="O636" s="542"/>
      <c r="P636" s="445">
        <f t="shared" si="473"/>
        <v>0</v>
      </c>
      <c r="Q636" s="542"/>
      <c r="R636" s="445">
        <f t="shared" si="474"/>
        <v>0</v>
      </c>
      <c r="S636" s="542"/>
      <c r="T636" s="687">
        <f t="shared" si="475"/>
        <v>0</v>
      </c>
      <c r="V636" s="614"/>
      <c r="W636" s="582">
        <f t="shared" si="476"/>
        <v>0</v>
      </c>
      <c r="X636" s="581"/>
      <c r="Y636" s="582">
        <f t="shared" si="477"/>
        <v>0</v>
      </c>
      <c r="Z636" s="581"/>
      <c r="AA636" s="582">
        <f t="shared" si="478"/>
        <v>0</v>
      </c>
      <c r="AB636" s="581"/>
      <c r="AC636" s="582">
        <f t="shared" si="479"/>
        <v>0</v>
      </c>
      <c r="AE636" s="769">
        <f t="shared" si="442"/>
        <v>0</v>
      </c>
    </row>
    <row r="637" spans="1:31" ht="15" hidden="1" customHeight="1" x14ac:dyDescent="0.2">
      <c r="A637" s="922" t="s">
        <v>1686</v>
      </c>
      <c r="B637" s="601" t="s">
        <v>1687</v>
      </c>
      <c r="C637" s="611" t="s">
        <v>130</v>
      </c>
      <c r="D637" s="576">
        <f t="shared" si="468"/>
        <v>0</v>
      </c>
      <c r="E637" s="577">
        <f t="shared" si="467"/>
        <v>0</v>
      </c>
      <c r="F637" s="577">
        <f t="shared" si="469"/>
        <v>0</v>
      </c>
      <c r="G637" s="686"/>
      <c r="I637" s="584"/>
      <c r="J637" s="585">
        <f t="shared" si="470"/>
        <v>0</v>
      </c>
      <c r="K637" s="540"/>
      <c r="L637" s="445">
        <f t="shared" si="471"/>
        <v>0</v>
      </c>
      <c r="M637" s="542"/>
      <c r="N637" s="445">
        <f t="shared" si="472"/>
        <v>0</v>
      </c>
      <c r="O637" s="542"/>
      <c r="P637" s="445">
        <f t="shared" si="473"/>
        <v>0</v>
      </c>
      <c r="Q637" s="542"/>
      <c r="R637" s="445">
        <f t="shared" si="474"/>
        <v>0</v>
      </c>
      <c r="S637" s="542"/>
      <c r="T637" s="687">
        <f t="shared" si="475"/>
        <v>0</v>
      </c>
      <c r="V637" s="614"/>
      <c r="W637" s="582">
        <f t="shared" si="476"/>
        <v>0</v>
      </c>
      <c r="X637" s="581"/>
      <c r="Y637" s="582">
        <f t="shared" si="477"/>
        <v>0</v>
      </c>
      <c r="Z637" s="581"/>
      <c r="AA637" s="582">
        <f t="shared" si="478"/>
        <v>0</v>
      </c>
      <c r="AB637" s="581"/>
      <c r="AC637" s="582">
        <f t="shared" si="479"/>
        <v>0</v>
      </c>
      <c r="AE637" s="769">
        <f t="shared" si="442"/>
        <v>0</v>
      </c>
    </row>
    <row r="638" spans="1:31" ht="15" hidden="1" customHeight="1" x14ac:dyDescent="0.2">
      <c r="A638" s="922" t="s">
        <v>1688</v>
      </c>
      <c r="B638" s="601" t="s">
        <v>1689</v>
      </c>
      <c r="C638" s="611" t="s">
        <v>130</v>
      </c>
      <c r="D638" s="576">
        <f t="shared" si="468"/>
        <v>0</v>
      </c>
      <c r="E638" s="577">
        <f t="shared" si="467"/>
        <v>0</v>
      </c>
      <c r="F638" s="577">
        <f t="shared" si="469"/>
        <v>0</v>
      </c>
      <c r="G638" s="686"/>
      <c r="I638" s="584"/>
      <c r="J638" s="585">
        <f t="shared" si="470"/>
        <v>0</v>
      </c>
      <c r="K638" s="540"/>
      <c r="L638" s="445">
        <f t="shared" si="471"/>
        <v>0</v>
      </c>
      <c r="M638" s="542"/>
      <c r="N638" s="445">
        <f t="shared" si="472"/>
        <v>0</v>
      </c>
      <c r="O638" s="542"/>
      <c r="P638" s="445">
        <f t="shared" si="473"/>
        <v>0</v>
      </c>
      <c r="Q638" s="542"/>
      <c r="R638" s="445">
        <f t="shared" si="474"/>
        <v>0</v>
      </c>
      <c r="S638" s="542"/>
      <c r="T638" s="687">
        <f t="shared" si="475"/>
        <v>0</v>
      </c>
      <c r="V638" s="614"/>
      <c r="W638" s="582">
        <f t="shared" si="476"/>
        <v>0</v>
      </c>
      <c r="X638" s="581"/>
      <c r="Y638" s="582">
        <f t="shared" si="477"/>
        <v>0</v>
      </c>
      <c r="Z638" s="581"/>
      <c r="AA638" s="582">
        <f t="shared" si="478"/>
        <v>0</v>
      </c>
      <c r="AB638" s="581"/>
      <c r="AC638" s="582">
        <f t="shared" si="479"/>
        <v>0</v>
      </c>
      <c r="AE638" s="769">
        <f t="shared" si="442"/>
        <v>0</v>
      </c>
    </row>
    <row r="639" spans="1:31" ht="15" hidden="1" customHeight="1" x14ac:dyDescent="0.2">
      <c r="A639" s="922" t="s">
        <v>1690</v>
      </c>
      <c r="B639" s="601" t="s">
        <v>1691</v>
      </c>
      <c r="C639" s="611" t="s">
        <v>114</v>
      </c>
      <c r="D639" s="576">
        <f t="shared" si="468"/>
        <v>0</v>
      </c>
      <c r="E639" s="577">
        <f t="shared" si="467"/>
        <v>0</v>
      </c>
      <c r="F639" s="577">
        <f t="shared" si="469"/>
        <v>0</v>
      </c>
      <c r="G639" s="686"/>
      <c r="I639" s="584"/>
      <c r="J639" s="585">
        <f t="shared" si="470"/>
        <v>0</v>
      </c>
      <c r="K639" s="540"/>
      <c r="L639" s="445">
        <f t="shared" si="471"/>
        <v>0</v>
      </c>
      <c r="M639" s="542"/>
      <c r="N639" s="445">
        <f t="shared" si="472"/>
        <v>0</v>
      </c>
      <c r="O639" s="542"/>
      <c r="P639" s="445">
        <f t="shared" si="473"/>
        <v>0</v>
      </c>
      <c r="Q639" s="542"/>
      <c r="R639" s="445">
        <f t="shared" si="474"/>
        <v>0</v>
      </c>
      <c r="S639" s="542"/>
      <c r="T639" s="687">
        <f t="shared" si="475"/>
        <v>0</v>
      </c>
      <c r="V639" s="614"/>
      <c r="W639" s="582">
        <f t="shared" si="476"/>
        <v>0</v>
      </c>
      <c r="X639" s="581"/>
      <c r="Y639" s="582">
        <f t="shared" si="477"/>
        <v>0</v>
      </c>
      <c r="Z639" s="581"/>
      <c r="AA639" s="582">
        <f t="shared" si="478"/>
        <v>0</v>
      </c>
      <c r="AB639" s="581"/>
      <c r="AC639" s="582">
        <f t="shared" si="479"/>
        <v>0</v>
      </c>
      <c r="AE639" s="769">
        <f t="shared" si="442"/>
        <v>0</v>
      </c>
    </row>
    <row r="640" spans="1:31" ht="15" hidden="1" customHeight="1" x14ac:dyDescent="0.2">
      <c r="A640" s="922" t="s">
        <v>1692</v>
      </c>
      <c r="B640" s="601" t="s">
        <v>1693</v>
      </c>
      <c r="C640" s="611" t="s">
        <v>114</v>
      </c>
      <c r="D640" s="576">
        <f t="shared" si="468"/>
        <v>0</v>
      </c>
      <c r="E640" s="577">
        <f t="shared" si="467"/>
        <v>0</v>
      </c>
      <c r="F640" s="577">
        <f t="shared" si="469"/>
        <v>0</v>
      </c>
      <c r="G640" s="686"/>
      <c r="I640" s="584"/>
      <c r="J640" s="585">
        <f t="shared" si="470"/>
        <v>0</v>
      </c>
      <c r="K640" s="540"/>
      <c r="L640" s="445">
        <f t="shared" si="471"/>
        <v>0</v>
      </c>
      <c r="M640" s="542"/>
      <c r="N640" s="445">
        <f t="shared" si="472"/>
        <v>0</v>
      </c>
      <c r="O640" s="542"/>
      <c r="P640" s="445">
        <f t="shared" si="473"/>
        <v>0</v>
      </c>
      <c r="Q640" s="542"/>
      <c r="R640" s="445">
        <f t="shared" si="474"/>
        <v>0</v>
      </c>
      <c r="S640" s="542"/>
      <c r="T640" s="687">
        <f t="shared" si="475"/>
        <v>0</v>
      </c>
      <c r="V640" s="614"/>
      <c r="W640" s="582">
        <f t="shared" si="476"/>
        <v>0</v>
      </c>
      <c r="X640" s="581"/>
      <c r="Y640" s="582">
        <f t="shared" si="477"/>
        <v>0</v>
      </c>
      <c r="Z640" s="581"/>
      <c r="AA640" s="582">
        <f t="shared" si="478"/>
        <v>0</v>
      </c>
      <c r="AB640" s="581"/>
      <c r="AC640" s="582">
        <f t="shared" si="479"/>
        <v>0</v>
      </c>
      <c r="AE640" s="769">
        <f t="shared" si="442"/>
        <v>0</v>
      </c>
    </row>
    <row r="641" spans="1:31" ht="15" hidden="1" customHeight="1" x14ac:dyDescent="0.2">
      <c r="A641" s="922" t="s">
        <v>1694</v>
      </c>
      <c r="B641" s="601" t="s">
        <v>1695</v>
      </c>
      <c r="C641" s="611" t="s">
        <v>114</v>
      </c>
      <c r="D641" s="576">
        <f t="shared" si="468"/>
        <v>0</v>
      </c>
      <c r="E641" s="577">
        <f t="shared" si="467"/>
        <v>0</v>
      </c>
      <c r="F641" s="577">
        <f t="shared" si="469"/>
        <v>0</v>
      </c>
      <c r="G641" s="686"/>
      <c r="I641" s="597"/>
      <c r="J641" s="598">
        <f t="shared" si="470"/>
        <v>0</v>
      </c>
      <c r="K641" s="540"/>
      <c r="L641" s="445">
        <f t="shared" si="471"/>
        <v>0</v>
      </c>
      <c r="M641" s="542"/>
      <c r="N641" s="445">
        <f t="shared" si="472"/>
        <v>0</v>
      </c>
      <c r="O641" s="542"/>
      <c r="P641" s="445">
        <f t="shared" si="473"/>
        <v>0</v>
      </c>
      <c r="Q641" s="542"/>
      <c r="R641" s="445">
        <f t="shared" si="474"/>
        <v>0</v>
      </c>
      <c r="S641" s="542"/>
      <c r="T641" s="687">
        <f t="shared" si="475"/>
        <v>0</v>
      </c>
      <c r="V641" s="685"/>
      <c r="W641" s="582">
        <f t="shared" si="476"/>
        <v>0</v>
      </c>
      <c r="X641" s="575"/>
      <c r="Y641" s="582">
        <f t="shared" si="477"/>
        <v>0</v>
      </c>
      <c r="Z641" s="575"/>
      <c r="AA641" s="582">
        <f t="shared" si="478"/>
        <v>0</v>
      </c>
      <c r="AB641" s="575"/>
      <c r="AC641" s="582">
        <f t="shared" si="479"/>
        <v>0</v>
      </c>
      <c r="AE641" s="769">
        <f t="shared" si="442"/>
        <v>0</v>
      </c>
    </row>
    <row r="642" spans="1:31" ht="15" hidden="1" customHeight="1" x14ac:dyDescent="0.2">
      <c r="A642" s="683" t="s">
        <v>1696</v>
      </c>
      <c r="B642" s="573" t="s">
        <v>598</v>
      </c>
      <c r="C642" s="611"/>
      <c r="D642" s="576"/>
      <c r="E642" s="577"/>
      <c r="F642" s="626">
        <f>+ROUND(SUM(F643:F644),10)</f>
        <v>0</v>
      </c>
      <c r="G642" s="686"/>
      <c r="I642" s="613"/>
      <c r="J642" s="440">
        <f>ROUND(SUM(J643:J644),10)</f>
        <v>0</v>
      </c>
      <c r="K642" s="540"/>
      <c r="L642" s="180">
        <f>ROUND(SUM(L643:L644),10)</f>
        <v>0</v>
      </c>
      <c r="M642" s="542"/>
      <c r="N642" s="180">
        <f>ROUND(SUM(N643:N644),10)</f>
        <v>0</v>
      </c>
      <c r="O642" s="542"/>
      <c r="P642" s="180">
        <f>ROUND(SUM(P643:P644),10)</f>
        <v>0</v>
      </c>
      <c r="Q642" s="542"/>
      <c r="R642" s="180">
        <f>ROUND(SUM(R643:R644),10)</f>
        <v>0</v>
      </c>
      <c r="S642" s="542"/>
      <c r="T642" s="447">
        <f>ROUND(SUM(T643:T644),10)</f>
        <v>0</v>
      </c>
      <c r="V642" s="614"/>
      <c r="W642" s="570">
        <f>ROUND(SUM(W643:W644),10)</f>
        <v>0</v>
      </c>
      <c r="X642" s="581"/>
      <c r="Y642" s="570">
        <f>ROUND(SUM(Y643:Y644),10)</f>
        <v>0</v>
      </c>
      <c r="Z642" s="581"/>
      <c r="AA642" s="570">
        <f>ROUND(SUM(AA643:AA644),10)</f>
        <v>0</v>
      </c>
      <c r="AB642" s="581"/>
      <c r="AC642" s="570">
        <f>ROUND(SUM(AC643:AC644),10)</f>
        <v>0</v>
      </c>
      <c r="AE642" s="769">
        <f t="shared" si="442"/>
        <v>0</v>
      </c>
    </row>
    <row r="643" spans="1:31" ht="15" hidden="1" customHeight="1" x14ac:dyDescent="0.2">
      <c r="A643" s="922" t="s">
        <v>1697</v>
      </c>
      <c r="B643" s="601" t="s">
        <v>1698</v>
      </c>
      <c r="C643" s="611" t="s">
        <v>114</v>
      </c>
      <c r="D643" s="576">
        <f>+I643+K643+M643+O643+Q643+S643</f>
        <v>0</v>
      </c>
      <c r="E643" s="577">
        <f t="shared" si="467"/>
        <v>0</v>
      </c>
      <c r="F643" s="577">
        <f>ROUND(D643*E643,10)</f>
        <v>0</v>
      </c>
      <c r="G643" s="686"/>
      <c r="I643" s="594"/>
      <c r="J643" s="580">
        <f>+ROUND(E643*I643,10)</f>
        <v>0</v>
      </c>
      <c r="K643" s="540"/>
      <c r="L643" s="445">
        <f>+ROUND(E643*K643,10)</f>
        <v>0</v>
      </c>
      <c r="M643" s="542"/>
      <c r="N643" s="445">
        <f>+ROUND(E643*M643,10)</f>
        <v>0</v>
      </c>
      <c r="O643" s="542"/>
      <c r="P643" s="445">
        <f>+ROUND(E643*O643,10)</f>
        <v>0</v>
      </c>
      <c r="Q643" s="542"/>
      <c r="R643" s="445">
        <f>+ROUND(E643*Q643,10)</f>
        <v>0</v>
      </c>
      <c r="S643" s="542"/>
      <c r="T643" s="687">
        <f>+ROUND(E643*S643,10)</f>
        <v>0</v>
      </c>
      <c r="V643" s="614"/>
      <c r="W643" s="582">
        <f>ROUND(V643*$D643,10)</f>
        <v>0</v>
      </c>
      <c r="X643" s="581"/>
      <c r="Y643" s="582">
        <f>ROUND(X643*$D643,10)</f>
        <v>0</v>
      </c>
      <c r="Z643" s="581"/>
      <c r="AA643" s="582">
        <f>ROUND(Z643*$D643,10)</f>
        <v>0</v>
      </c>
      <c r="AB643" s="581"/>
      <c r="AC643" s="582">
        <f>ROUND(AB643*$D643,10)</f>
        <v>0</v>
      </c>
      <c r="AE643" s="769">
        <f t="shared" si="442"/>
        <v>0</v>
      </c>
    </row>
    <row r="644" spans="1:31" ht="15" hidden="1" customHeight="1" thickBot="1" x14ac:dyDescent="0.25">
      <c r="A644" s="922" t="s">
        <v>1699</v>
      </c>
      <c r="B644" s="601" t="s">
        <v>1700</v>
      </c>
      <c r="C644" s="611" t="s">
        <v>130</v>
      </c>
      <c r="D644" s="576">
        <f>+I644+K644+M644+O644+Q644+S644</f>
        <v>0</v>
      </c>
      <c r="E644" s="577">
        <f t="shared" si="467"/>
        <v>0</v>
      </c>
      <c r="F644" s="577">
        <f>ROUND(D644*E644,10)</f>
        <v>0</v>
      </c>
      <c r="G644" s="686"/>
      <c r="I644" s="602"/>
      <c r="J644" s="603">
        <f>+ROUND(E644*I644,10)</f>
        <v>0</v>
      </c>
      <c r="K644" s="540"/>
      <c r="L644" s="445">
        <f>+ROUND(E644*K644,10)</f>
        <v>0</v>
      </c>
      <c r="M644" s="542"/>
      <c r="N644" s="445">
        <f>+ROUND(E644*M644,10)</f>
        <v>0</v>
      </c>
      <c r="O644" s="542"/>
      <c r="P644" s="445">
        <f>+ROUND(E644*O644,10)</f>
        <v>0</v>
      </c>
      <c r="Q644" s="542"/>
      <c r="R644" s="445">
        <f>+ROUND(E644*Q644,10)</f>
        <v>0</v>
      </c>
      <c r="S644" s="542"/>
      <c r="T644" s="687">
        <f>+ROUND(E644*S644,10)</f>
        <v>0</v>
      </c>
      <c r="V644" s="614"/>
      <c r="W644" s="582">
        <f>ROUND(V644*$D644,10)</f>
        <v>0</v>
      </c>
      <c r="X644" s="581"/>
      <c r="Y644" s="582">
        <f>ROUND(X644*$D644,10)</f>
        <v>0</v>
      </c>
      <c r="Z644" s="581"/>
      <c r="AA644" s="582">
        <f>ROUND(Z644*$D644,10)</f>
        <v>0</v>
      </c>
      <c r="AB644" s="581"/>
      <c r="AC644" s="582">
        <f>ROUND(AB644*$D644,10)</f>
        <v>0</v>
      </c>
      <c r="AE644" s="769">
        <f t="shared" si="442"/>
        <v>0</v>
      </c>
    </row>
    <row r="645" spans="1:31" ht="15" hidden="1" customHeight="1" thickTop="1" thickBot="1" x14ac:dyDescent="0.25">
      <c r="A645" s="923"/>
      <c r="B645" s="924"/>
      <c r="C645" s="925"/>
      <c r="D645" s="576"/>
      <c r="E645" s="688"/>
      <c r="F645" s="688"/>
      <c r="G645" s="689"/>
      <c r="I645" s="604"/>
      <c r="J645" s="635"/>
      <c r="K645" s="722"/>
      <c r="L645" s="690"/>
      <c r="M645" s="723"/>
      <c r="N645" s="690"/>
      <c r="O645" s="723"/>
      <c r="P645" s="690"/>
      <c r="Q645" s="723"/>
      <c r="R645" s="690"/>
      <c r="S645" s="723"/>
      <c r="T645" s="691"/>
      <c r="V645" s="692"/>
      <c r="W645" s="693"/>
      <c r="X645" s="694"/>
      <c r="Y645" s="693"/>
      <c r="Z645" s="694"/>
      <c r="AA645" s="693"/>
      <c r="AB645" s="694"/>
      <c r="AC645" s="693"/>
      <c r="AE645" s="769">
        <f t="shared" si="442"/>
        <v>0</v>
      </c>
    </row>
    <row r="646" spans="1:31" s="657" customFormat="1" ht="6.75" customHeight="1" thickBot="1" x14ac:dyDescent="0.25">
      <c r="A646" s="919"/>
      <c r="B646" s="920"/>
      <c r="C646" s="919"/>
      <c r="D646" s="655"/>
      <c r="E646" s="656"/>
      <c r="F646" s="656"/>
      <c r="G646" s="656"/>
      <c r="I646" s="658"/>
      <c r="J646" s="658"/>
      <c r="K646" s="659"/>
      <c r="L646" s="658"/>
      <c r="M646" s="174"/>
      <c r="N646" s="658"/>
      <c r="O646" s="174"/>
      <c r="P646" s="658"/>
      <c r="Q646" s="174"/>
      <c r="R646" s="658"/>
      <c r="S646" s="174"/>
      <c r="T646" s="658"/>
      <c r="V646" s="667"/>
      <c r="W646" s="667"/>
      <c r="X646" s="667"/>
      <c r="Y646" s="667"/>
      <c r="Z646" s="667"/>
      <c r="AA646" s="667"/>
      <c r="AB646" s="667"/>
      <c r="AC646" s="667"/>
      <c r="AE646" s="769"/>
    </row>
    <row r="647" spans="1:31" ht="30" customHeight="1" thickTop="1" thickBot="1" x14ac:dyDescent="0.25">
      <c r="A647" s="564">
        <v>14</v>
      </c>
      <c r="B647" s="1068" t="s">
        <v>1701</v>
      </c>
      <c r="C647" s="1069"/>
      <c r="D647" s="1069"/>
      <c r="E647" s="1069"/>
      <c r="F647" s="1070"/>
      <c r="G647" s="180" t="e">
        <f>+F648+F653+F658</f>
        <v>#REF!</v>
      </c>
      <c r="H647" s="568"/>
      <c r="I647" s="616"/>
      <c r="J647" s="439" t="e">
        <f>+ROUND(J648+J653+J658,10)</f>
        <v>#REF!</v>
      </c>
      <c r="K647" s="617"/>
      <c r="L647" s="180" t="e">
        <f>+ROUND(L648+L653+L658,10)</f>
        <v>#REF!</v>
      </c>
      <c r="M647" s="180"/>
      <c r="N647" s="180" t="e">
        <f>+ROUND(N648+N653+N658,10)</f>
        <v>#REF!</v>
      </c>
      <c r="O647" s="180"/>
      <c r="P647" s="180" t="e">
        <f>+ROUND(P648+P653+P658,10)</f>
        <v>#REF!</v>
      </c>
      <c r="Q647" s="180"/>
      <c r="R647" s="180" t="e">
        <f>+ROUND(R648+R653+R658,10)</f>
        <v>#REF!</v>
      </c>
      <c r="S647" s="180"/>
      <c r="T647" s="180" t="e">
        <f>+ROUND(T648+T653+T658,10)</f>
        <v>#REF!</v>
      </c>
      <c r="U647" s="568"/>
      <c r="V647" s="569" t="e">
        <f>W647/$G$647</f>
        <v>#REF!</v>
      </c>
      <c r="W647" s="570" t="e">
        <f>ROUND(W648+W653+W658,10)</f>
        <v>#REF!</v>
      </c>
      <c r="X647" s="569" t="e">
        <f>Y647/$G$647</f>
        <v>#REF!</v>
      </c>
      <c r="Y647" s="570" t="e">
        <f>ROUND(Y648+Y653+Y658,10)</f>
        <v>#REF!</v>
      </c>
      <c r="Z647" s="569" t="e">
        <f>AA647/$G$647</f>
        <v>#REF!</v>
      </c>
      <c r="AA647" s="570" t="e">
        <f>ROUND(AA648+AA653+AA658,10)</f>
        <v>#REF!</v>
      </c>
      <c r="AB647" s="569" t="e">
        <f>AC647/$G$647</f>
        <v>#REF!</v>
      </c>
      <c r="AC647" s="570" t="e">
        <f>ROUND(AC648+AC653+AC658,10)</f>
        <v>#REF!</v>
      </c>
      <c r="AE647" s="769" t="e">
        <f t="shared" si="442"/>
        <v>#REF!</v>
      </c>
    </row>
    <row r="648" spans="1:31" s="595" customFormat="1" ht="16.5" thickTop="1" x14ac:dyDescent="0.2">
      <c r="A648" s="572" t="s">
        <v>1702</v>
      </c>
      <c r="B648" s="573" t="s">
        <v>1387</v>
      </c>
      <c r="C648" s="846"/>
      <c r="D648" s="576"/>
      <c r="E648" s="180"/>
      <c r="F648" s="180" t="e">
        <f>+ROUND(SUM(F649:F652),10)</f>
        <v>#REF!</v>
      </c>
      <c r="G648" s="473"/>
      <c r="H648" s="568"/>
      <c r="I648" s="618"/>
      <c r="J648" s="439" t="e">
        <f>ROUND(SUM(J649:J652),10)</f>
        <v>#REF!</v>
      </c>
      <c r="K648" s="539"/>
      <c r="L648" s="180" t="e">
        <f>ROUND(SUM(L649:L652),10)</f>
        <v>#REF!</v>
      </c>
      <c r="M648" s="541"/>
      <c r="N648" s="180" t="e">
        <f>ROUND(SUM(N649:N652),10)</f>
        <v>#REF!</v>
      </c>
      <c r="O648" s="541"/>
      <c r="P648" s="180" t="e">
        <f>ROUND(SUM(P649:P652),10)</f>
        <v>#REF!</v>
      </c>
      <c r="Q648" s="541"/>
      <c r="R648" s="180" t="e">
        <f>ROUND(SUM(R649:R652),10)</f>
        <v>#REF!</v>
      </c>
      <c r="S648" s="541"/>
      <c r="T648" s="180" t="e">
        <f>ROUND(SUM(T649:T652),10)</f>
        <v>#REF!</v>
      </c>
      <c r="U648" s="568"/>
      <c r="V648" s="575"/>
      <c r="W648" s="570" t="e">
        <f>ROUND(SUM(W649:W652),10)</f>
        <v>#REF!</v>
      </c>
      <c r="X648" s="575"/>
      <c r="Y648" s="570" t="e">
        <f>ROUND(SUM(Y649:Y652),10)</f>
        <v>#REF!</v>
      </c>
      <c r="Z648" s="575"/>
      <c r="AA648" s="570" t="e">
        <f>ROUND(SUM(AA649:AA652),10)</f>
        <v>#REF!</v>
      </c>
      <c r="AB648" s="575"/>
      <c r="AC648" s="570" t="e">
        <f>ROUND(SUM(AC649:AC652),10)</f>
        <v>#REF!</v>
      </c>
      <c r="AD648" s="912"/>
      <c r="AE648" s="769" t="e">
        <f t="shared" si="442"/>
        <v>#REF!</v>
      </c>
    </row>
    <row r="649" spans="1:31" s="595" customFormat="1" x14ac:dyDescent="0.2">
      <c r="A649" s="611" t="s">
        <v>1703</v>
      </c>
      <c r="B649" s="601" t="s">
        <v>1704</v>
      </c>
      <c r="C649" s="611" t="s">
        <v>130</v>
      </c>
      <c r="D649" s="576">
        <f>+I649+K649+M649+O649+Q649+S649</f>
        <v>336.83</v>
      </c>
      <c r="E649" s="577" t="e">
        <f t="shared" ref="E649:E661" si="480">V649+X649+Z649+AB649</f>
        <v>#REF!</v>
      </c>
      <c r="F649" s="577" t="e">
        <f>ROUND(D649*E649,10)</f>
        <v>#REF!</v>
      </c>
      <c r="G649" s="578"/>
      <c r="H649" s="552"/>
      <c r="I649" s="594"/>
      <c r="J649" s="580" t="e">
        <f>+ROUND(E649*I649,10)</f>
        <v>#REF!</v>
      </c>
      <c r="K649" s="537"/>
      <c r="L649" s="445" t="e">
        <f>+ROUND(E649*K649,10)</f>
        <v>#REF!</v>
      </c>
      <c r="M649" s="542">
        <f>11.09+8.3</f>
        <v>19.39</v>
      </c>
      <c r="N649" s="445" t="e">
        <f>+ROUND(E649*M649,10)</f>
        <v>#REF!</v>
      </c>
      <c r="O649" s="542">
        <v>317.44</v>
      </c>
      <c r="P649" s="445" t="e">
        <f>+ROUND(E649*O649,10)</f>
        <v>#REF!</v>
      </c>
      <c r="Q649" s="542"/>
      <c r="R649" s="445" t="e">
        <f>+ROUND(E649*Q649,10)</f>
        <v>#REF!</v>
      </c>
      <c r="S649" s="542"/>
      <c r="T649" s="445" t="e">
        <f>+ROUND(E649*S649,10)</f>
        <v>#REF!</v>
      </c>
      <c r="U649" s="552"/>
      <c r="V649" s="581" t="e">
        <f>+#REF!</f>
        <v>#REF!</v>
      </c>
      <c r="W649" s="582" t="e">
        <f>ROUND(V649*$D649,10)</f>
        <v>#REF!</v>
      </c>
      <c r="X649" s="581" t="e">
        <f>+#REF!</f>
        <v>#REF!</v>
      </c>
      <c r="Y649" s="582" t="e">
        <f>ROUND(X649*$D649,10)</f>
        <v>#REF!</v>
      </c>
      <c r="Z649" s="581" t="e">
        <f>+#REF!</f>
        <v>#REF!</v>
      </c>
      <c r="AA649" s="582" t="e">
        <f>ROUND(Z649*$D649,10)</f>
        <v>#REF!</v>
      </c>
      <c r="AB649" s="581" t="e">
        <f>+#REF!</f>
        <v>#REF!</v>
      </c>
      <c r="AC649" s="582" t="e">
        <f>ROUND(AB649*$D649,10)</f>
        <v>#REF!</v>
      </c>
      <c r="AD649" s="912"/>
      <c r="AE649" s="769" t="e">
        <f t="shared" si="442"/>
        <v>#REF!</v>
      </c>
    </row>
    <row r="650" spans="1:31" s="595" customFormat="1" ht="15" hidden="1" customHeight="1" x14ac:dyDescent="0.2">
      <c r="A650" s="611" t="s">
        <v>1705</v>
      </c>
      <c r="B650" s="601" t="s">
        <v>1706</v>
      </c>
      <c r="C650" s="611" t="s">
        <v>130</v>
      </c>
      <c r="D650" s="576">
        <f>+I650+K650+M650+O650+Q650+S650</f>
        <v>0</v>
      </c>
      <c r="E650" s="577">
        <f t="shared" si="480"/>
        <v>0</v>
      </c>
      <c r="F650" s="577">
        <f>ROUND(D650*E650,10)</f>
        <v>0</v>
      </c>
      <c r="G650" s="578"/>
      <c r="H650" s="552"/>
      <c r="I650" s="584"/>
      <c r="J650" s="585">
        <f>+ROUND(E650*I650,10)</f>
        <v>0</v>
      </c>
      <c r="K650" s="537"/>
      <c r="L650" s="445">
        <f>+ROUND(E650*K650,10)</f>
        <v>0</v>
      </c>
      <c r="M650" s="542"/>
      <c r="N650" s="445">
        <f>+ROUND(E650*M650,10)</f>
        <v>0</v>
      </c>
      <c r="O650" s="542"/>
      <c r="P650" s="445">
        <f>+ROUND(E650*O650,10)</f>
        <v>0</v>
      </c>
      <c r="Q650" s="542"/>
      <c r="R650" s="445">
        <f>+ROUND(E650*Q650,10)</f>
        <v>0</v>
      </c>
      <c r="S650" s="542"/>
      <c r="T650" s="445">
        <f>+ROUND(E650*S650,10)</f>
        <v>0</v>
      </c>
      <c r="U650" s="552"/>
      <c r="V650" s="581"/>
      <c r="W650" s="582">
        <f>ROUND(V650*$D650,10)</f>
        <v>0</v>
      </c>
      <c r="X650" s="581"/>
      <c r="Y650" s="582">
        <f>ROUND(X650*$D650,10)</f>
        <v>0</v>
      </c>
      <c r="Z650" s="581"/>
      <c r="AA650" s="582">
        <f>ROUND(Z650*$D650,10)</f>
        <v>0</v>
      </c>
      <c r="AB650" s="581"/>
      <c r="AC650" s="582">
        <f>ROUND(AB650*$D650,10)</f>
        <v>0</v>
      </c>
      <c r="AD650" s="912"/>
      <c r="AE650" s="769">
        <f t="shared" si="442"/>
        <v>0</v>
      </c>
    </row>
    <row r="651" spans="1:31" s="595" customFormat="1" ht="15" hidden="1" customHeight="1" x14ac:dyDescent="0.2">
      <c r="A651" s="611" t="s">
        <v>1707</v>
      </c>
      <c r="B651" s="601" t="s">
        <v>1708</v>
      </c>
      <c r="C651" s="611" t="s">
        <v>114</v>
      </c>
      <c r="D651" s="576">
        <f>+I651+K651+M651+O651+Q651+S651</f>
        <v>0</v>
      </c>
      <c r="E651" s="577">
        <f t="shared" si="480"/>
        <v>0</v>
      </c>
      <c r="F651" s="577">
        <f>ROUND(D651*E651,10)</f>
        <v>0</v>
      </c>
      <c r="G651" s="578"/>
      <c r="H651" s="552"/>
      <c r="I651" s="584"/>
      <c r="J651" s="585">
        <f>+ROUND(E651*I651,10)</f>
        <v>0</v>
      </c>
      <c r="K651" s="537"/>
      <c r="L651" s="445">
        <f>+ROUND(E651*K651,10)</f>
        <v>0</v>
      </c>
      <c r="M651" s="542"/>
      <c r="N651" s="445">
        <f>+ROUND(E651*M651,10)</f>
        <v>0</v>
      </c>
      <c r="O651" s="542"/>
      <c r="P651" s="445">
        <f>+ROUND(E651*O651,10)</f>
        <v>0</v>
      </c>
      <c r="Q651" s="542"/>
      <c r="R651" s="445">
        <f>+ROUND(E651*Q651,10)</f>
        <v>0</v>
      </c>
      <c r="S651" s="542"/>
      <c r="T651" s="445">
        <f>+ROUND(E651*S651,10)</f>
        <v>0</v>
      </c>
      <c r="U651" s="552"/>
      <c r="V651" s="581"/>
      <c r="W651" s="582">
        <f>ROUND(V651*$D651,10)</f>
        <v>0</v>
      </c>
      <c r="X651" s="581"/>
      <c r="Y651" s="582">
        <f>ROUND(X651*$D651,10)</f>
        <v>0</v>
      </c>
      <c r="Z651" s="581"/>
      <c r="AA651" s="582">
        <f>ROUND(Z651*$D651,10)</f>
        <v>0</v>
      </c>
      <c r="AB651" s="581"/>
      <c r="AC651" s="582">
        <f>ROUND(AB651*$D651,10)</f>
        <v>0</v>
      </c>
      <c r="AD651" s="912"/>
      <c r="AE651" s="769">
        <f t="shared" si="442"/>
        <v>0</v>
      </c>
    </row>
    <row r="652" spans="1:31" s="595" customFormat="1" ht="15" hidden="1" customHeight="1" x14ac:dyDescent="0.2">
      <c r="A652" s="611" t="s">
        <v>1709</v>
      </c>
      <c r="B652" s="601" t="s">
        <v>1710</v>
      </c>
      <c r="C652" s="611" t="s">
        <v>114</v>
      </c>
      <c r="D652" s="576">
        <f>+I652+K652+M652+O652+Q652+S652</f>
        <v>0</v>
      </c>
      <c r="E652" s="577">
        <f t="shared" si="480"/>
        <v>0</v>
      </c>
      <c r="F652" s="577">
        <f>ROUND(D652*E652,10)</f>
        <v>0</v>
      </c>
      <c r="G652" s="578"/>
      <c r="H652" s="552"/>
      <c r="I652" s="597"/>
      <c r="J652" s="598">
        <f>+ROUND(E652*I652,10)</f>
        <v>0</v>
      </c>
      <c r="K652" s="537"/>
      <c r="L652" s="445">
        <f>+ROUND(E652*K652,10)</f>
        <v>0</v>
      </c>
      <c r="M652" s="542"/>
      <c r="N652" s="445">
        <f>+ROUND(E652*M652,10)</f>
        <v>0</v>
      </c>
      <c r="O652" s="542"/>
      <c r="P652" s="445">
        <f>+ROUND(E652*O652,10)</f>
        <v>0</v>
      </c>
      <c r="Q652" s="542"/>
      <c r="R652" s="445">
        <f>+ROUND(E652*Q652,10)</f>
        <v>0</v>
      </c>
      <c r="S652" s="542"/>
      <c r="T652" s="445">
        <f>+ROUND(E652*S652,10)</f>
        <v>0</v>
      </c>
      <c r="U652" s="552"/>
      <c r="V652" s="581"/>
      <c r="W652" s="582">
        <f>ROUND(V652*$D652,10)</f>
        <v>0</v>
      </c>
      <c r="X652" s="581"/>
      <c r="Y652" s="582">
        <f>ROUND(X652*$D652,10)</f>
        <v>0</v>
      </c>
      <c r="Z652" s="581"/>
      <c r="AA652" s="582">
        <f>ROUND(Z652*$D652,10)</f>
        <v>0</v>
      </c>
      <c r="AB652" s="581"/>
      <c r="AC652" s="582">
        <f>ROUND(AB652*$D652,10)</f>
        <v>0</v>
      </c>
      <c r="AD652" s="912"/>
      <c r="AE652" s="769">
        <f t="shared" si="442"/>
        <v>0</v>
      </c>
    </row>
    <row r="653" spans="1:31" s="595" customFormat="1" ht="15.75" hidden="1" customHeight="1" x14ac:dyDescent="0.2">
      <c r="A653" s="572">
        <v>14.2</v>
      </c>
      <c r="B653" s="573" t="s">
        <v>1711</v>
      </c>
      <c r="C653" s="846"/>
      <c r="D653" s="576"/>
      <c r="E653" s="577"/>
      <c r="F653" s="180">
        <f>+ROUND(SUM(F654:F657),10)</f>
        <v>0</v>
      </c>
      <c r="G653" s="473"/>
      <c r="H653" s="568"/>
      <c r="I653" s="613"/>
      <c r="J653" s="440">
        <f>ROUND(SUM(J654:J657),10)</f>
        <v>0</v>
      </c>
      <c r="K653" s="537"/>
      <c r="L653" s="180">
        <f>ROUND(SUM(L654:L657),10)</f>
        <v>0</v>
      </c>
      <c r="M653" s="542"/>
      <c r="N653" s="180">
        <f>ROUND(SUM(N654:N657),10)</f>
        <v>0</v>
      </c>
      <c r="O653" s="542"/>
      <c r="P653" s="180">
        <f>ROUND(SUM(P654:P657),10)</f>
        <v>0</v>
      </c>
      <c r="Q653" s="542"/>
      <c r="R653" s="180">
        <f>ROUND(SUM(R654:R657),10)</f>
        <v>0</v>
      </c>
      <c r="S653" s="542"/>
      <c r="T653" s="180">
        <f>ROUND(SUM(T654:T657),10)</f>
        <v>0</v>
      </c>
      <c r="U653" s="568"/>
      <c r="V653" s="575"/>
      <c r="W653" s="570">
        <f>ROUND(SUM(W654:W657),10)</f>
        <v>0</v>
      </c>
      <c r="X653" s="575"/>
      <c r="Y653" s="570">
        <f>ROUND(SUM(Y654:Y657),10)</f>
        <v>0</v>
      </c>
      <c r="Z653" s="575"/>
      <c r="AA653" s="570">
        <f>ROUND(SUM(AA654:AA657),10)</f>
        <v>0</v>
      </c>
      <c r="AB653" s="575"/>
      <c r="AC653" s="570">
        <f>ROUND(SUM(AC654:AC657),10)</f>
        <v>0</v>
      </c>
      <c r="AD653" s="912"/>
      <c r="AE653" s="769">
        <f t="shared" si="442"/>
        <v>0</v>
      </c>
    </row>
    <row r="654" spans="1:31" s="595" customFormat="1" ht="15" hidden="1" customHeight="1" x14ac:dyDescent="0.2">
      <c r="A654" s="611" t="s">
        <v>1712</v>
      </c>
      <c r="B654" s="601" t="s">
        <v>1713</v>
      </c>
      <c r="C654" s="611" t="s">
        <v>114</v>
      </c>
      <c r="D654" s="576">
        <f>+I654+K654+M654+O654+Q654+S654</f>
        <v>0</v>
      </c>
      <c r="E654" s="577">
        <f t="shared" si="480"/>
        <v>0</v>
      </c>
      <c r="F654" s="577">
        <f>ROUND(D654*E654,10)</f>
        <v>0</v>
      </c>
      <c r="G654" s="578"/>
      <c r="H654" s="552"/>
      <c r="I654" s="594"/>
      <c r="J654" s="580">
        <f>+ROUND(E654*I654,10)</f>
        <v>0</v>
      </c>
      <c r="K654" s="537"/>
      <c r="L654" s="445">
        <f>+ROUND(E654*K654,10)</f>
        <v>0</v>
      </c>
      <c r="M654" s="542"/>
      <c r="N654" s="445">
        <f>+ROUND(E654*M654,10)</f>
        <v>0</v>
      </c>
      <c r="O654" s="542"/>
      <c r="P654" s="445">
        <f>+ROUND(E654*O654,10)</f>
        <v>0</v>
      </c>
      <c r="Q654" s="542"/>
      <c r="R654" s="445">
        <f>+ROUND(E654*Q654,10)</f>
        <v>0</v>
      </c>
      <c r="S654" s="542"/>
      <c r="T654" s="445">
        <f>+ROUND(E654*S654,10)</f>
        <v>0</v>
      </c>
      <c r="U654" s="552"/>
      <c r="V654" s="581"/>
      <c r="W654" s="582">
        <f>ROUND(V654*$D654,10)</f>
        <v>0</v>
      </c>
      <c r="X654" s="581"/>
      <c r="Y654" s="582">
        <f>ROUND(X654*$D654,10)</f>
        <v>0</v>
      </c>
      <c r="Z654" s="581"/>
      <c r="AA654" s="582">
        <f>ROUND(Z654*$D654,10)</f>
        <v>0</v>
      </c>
      <c r="AB654" s="581"/>
      <c r="AC654" s="582">
        <f>ROUND(AB654*$D654,10)</f>
        <v>0</v>
      </c>
      <c r="AD654" s="912"/>
      <c r="AE654" s="769">
        <f t="shared" si="442"/>
        <v>0</v>
      </c>
    </row>
    <row r="655" spans="1:31" s="595" customFormat="1" ht="15" hidden="1" customHeight="1" x14ac:dyDescent="0.2">
      <c r="A655" s="611" t="s">
        <v>1714</v>
      </c>
      <c r="B655" s="601" t="s">
        <v>1715</v>
      </c>
      <c r="C655" s="611" t="s">
        <v>114</v>
      </c>
      <c r="D655" s="576">
        <f>+I655+K655+M655+O655+Q655+S655</f>
        <v>0</v>
      </c>
      <c r="E655" s="577">
        <f t="shared" si="480"/>
        <v>0</v>
      </c>
      <c r="F655" s="577">
        <f>ROUND(D655*E655,10)</f>
        <v>0</v>
      </c>
      <c r="G655" s="578"/>
      <c r="H655" s="552"/>
      <c r="I655" s="584"/>
      <c r="J655" s="585">
        <f>+ROUND(E655*I655,10)</f>
        <v>0</v>
      </c>
      <c r="K655" s="537"/>
      <c r="L655" s="445">
        <f>+ROUND(E655*K655,10)</f>
        <v>0</v>
      </c>
      <c r="M655" s="542"/>
      <c r="N655" s="445">
        <f>+ROUND(E655*M655,10)</f>
        <v>0</v>
      </c>
      <c r="O655" s="542"/>
      <c r="P655" s="445">
        <f>+ROUND(E655*O655,10)</f>
        <v>0</v>
      </c>
      <c r="Q655" s="542"/>
      <c r="R655" s="445">
        <f>+ROUND(E655*Q655,10)</f>
        <v>0</v>
      </c>
      <c r="S655" s="542"/>
      <c r="T655" s="445">
        <f>+ROUND(E655*S655,10)</f>
        <v>0</v>
      </c>
      <c r="U655" s="552"/>
      <c r="V655" s="581"/>
      <c r="W655" s="582">
        <f>ROUND(V655*$D655,10)</f>
        <v>0</v>
      </c>
      <c r="X655" s="581"/>
      <c r="Y655" s="582">
        <f>ROUND(X655*$D655,10)</f>
        <v>0</v>
      </c>
      <c r="Z655" s="581"/>
      <c r="AA655" s="582">
        <f>ROUND(Z655*$D655,10)</f>
        <v>0</v>
      </c>
      <c r="AB655" s="581"/>
      <c r="AC655" s="582">
        <f>ROUND(AB655*$D655,10)</f>
        <v>0</v>
      </c>
      <c r="AD655" s="912"/>
      <c r="AE655" s="769">
        <f t="shared" si="442"/>
        <v>0</v>
      </c>
    </row>
    <row r="656" spans="1:31" s="595" customFormat="1" ht="15" hidden="1" customHeight="1" x14ac:dyDescent="0.2">
      <c r="A656" s="611" t="s">
        <v>1716</v>
      </c>
      <c r="B656" s="601" t="s">
        <v>1717</v>
      </c>
      <c r="C656" s="611" t="s">
        <v>114</v>
      </c>
      <c r="D656" s="576">
        <f>+I656+K656+M656+O656+Q656+S656</f>
        <v>0</v>
      </c>
      <c r="E656" s="577">
        <f t="shared" si="480"/>
        <v>0</v>
      </c>
      <c r="F656" s="577">
        <f>ROUND(D656*E656,10)</f>
        <v>0</v>
      </c>
      <c r="G656" s="578"/>
      <c r="H656" s="552"/>
      <c r="I656" s="584"/>
      <c r="J656" s="585">
        <f>+ROUND(E656*I656,10)</f>
        <v>0</v>
      </c>
      <c r="K656" s="537"/>
      <c r="L656" s="445">
        <f>+ROUND(E656*K656,10)</f>
        <v>0</v>
      </c>
      <c r="M656" s="542"/>
      <c r="N656" s="445">
        <f>+ROUND(E656*M656,10)</f>
        <v>0</v>
      </c>
      <c r="O656" s="542"/>
      <c r="P656" s="445">
        <f>+ROUND(E656*O656,10)</f>
        <v>0</v>
      </c>
      <c r="Q656" s="542"/>
      <c r="R656" s="445">
        <f>+ROUND(E656*Q656,10)</f>
        <v>0</v>
      </c>
      <c r="S656" s="542"/>
      <c r="T656" s="445">
        <f>+ROUND(E656*S656,10)</f>
        <v>0</v>
      </c>
      <c r="U656" s="552"/>
      <c r="V656" s="581"/>
      <c r="W656" s="582">
        <f>ROUND(V656*$D656,10)</f>
        <v>0</v>
      </c>
      <c r="X656" s="581"/>
      <c r="Y656" s="582">
        <f>ROUND(X656*$D656,10)</f>
        <v>0</v>
      </c>
      <c r="Z656" s="581"/>
      <c r="AA656" s="582">
        <f>ROUND(Z656*$D656,10)</f>
        <v>0</v>
      </c>
      <c r="AB656" s="581"/>
      <c r="AC656" s="582">
        <f>ROUND(AB656*$D656,10)</f>
        <v>0</v>
      </c>
      <c r="AD656" s="912"/>
      <c r="AE656" s="769">
        <f t="shared" si="442"/>
        <v>0</v>
      </c>
    </row>
    <row r="657" spans="1:31" s="595" customFormat="1" ht="15" hidden="1" customHeight="1" x14ac:dyDescent="0.2">
      <c r="A657" s="611" t="s">
        <v>1718</v>
      </c>
      <c r="B657" s="601" t="s">
        <v>1719</v>
      </c>
      <c r="C657" s="611" t="s">
        <v>114</v>
      </c>
      <c r="D657" s="576">
        <f>+I657+K657+M657+O657+Q657+S657</f>
        <v>0</v>
      </c>
      <c r="E657" s="577">
        <f t="shared" si="480"/>
        <v>0</v>
      </c>
      <c r="F657" s="577">
        <f>ROUND(D657*E657,10)</f>
        <v>0</v>
      </c>
      <c r="G657" s="578"/>
      <c r="H657" s="552"/>
      <c r="I657" s="597"/>
      <c r="J657" s="598">
        <f>+ROUND(E657*I657,10)</f>
        <v>0</v>
      </c>
      <c r="K657" s="537"/>
      <c r="L657" s="445">
        <f>+ROUND(E657*K657,10)</f>
        <v>0</v>
      </c>
      <c r="M657" s="542"/>
      <c r="N657" s="445">
        <f>+ROUND(E657*M657,10)</f>
        <v>0</v>
      </c>
      <c r="O657" s="542"/>
      <c r="P657" s="445">
        <f>+ROUND(E657*O657,10)</f>
        <v>0</v>
      </c>
      <c r="Q657" s="542"/>
      <c r="R657" s="445">
        <f>+ROUND(E657*Q657,10)</f>
        <v>0</v>
      </c>
      <c r="S657" s="542"/>
      <c r="T657" s="445">
        <f>+ROUND(E657*S657,10)</f>
        <v>0</v>
      </c>
      <c r="U657" s="552"/>
      <c r="V657" s="581"/>
      <c r="W657" s="582">
        <f>ROUND(V657*$D657,10)</f>
        <v>0</v>
      </c>
      <c r="X657" s="581"/>
      <c r="Y657" s="582">
        <f>ROUND(X657*$D657,10)</f>
        <v>0</v>
      </c>
      <c r="Z657" s="581"/>
      <c r="AA657" s="582">
        <f>ROUND(Z657*$D657,10)</f>
        <v>0</v>
      </c>
      <c r="AB657" s="581"/>
      <c r="AC657" s="582">
        <f>ROUND(AB657*$D657,10)</f>
        <v>0</v>
      </c>
      <c r="AD657" s="912"/>
      <c r="AE657" s="769">
        <f t="shared" si="442"/>
        <v>0</v>
      </c>
    </row>
    <row r="658" spans="1:31" s="595" customFormat="1" ht="15.75" hidden="1" customHeight="1" x14ac:dyDescent="0.2">
      <c r="A658" s="572" t="s">
        <v>1720</v>
      </c>
      <c r="B658" s="573" t="s">
        <v>598</v>
      </c>
      <c r="C658" s="846"/>
      <c r="D658" s="576"/>
      <c r="E658" s="577"/>
      <c r="F658" s="180">
        <f>+ROUND(SUM(F659:F661),10)</f>
        <v>0</v>
      </c>
      <c r="G658" s="473"/>
      <c r="H658" s="568"/>
      <c r="I658" s="613"/>
      <c r="J658" s="440">
        <f>ROUND(SUM(J659:J661),10)</f>
        <v>0</v>
      </c>
      <c r="K658" s="537"/>
      <c r="L658" s="180">
        <f>ROUND(SUM(L659:L661),10)</f>
        <v>0</v>
      </c>
      <c r="M658" s="542"/>
      <c r="N658" s="180">
        <f>ROUND(SUM(N659:N661),10)</f>
        <v>0</v>
      </c>
      <c r="O658" s="542"/>
      <c r="P658" s="180">
        <f>ROUND(SUM(P659:P661),10)</f>
        <v>0</v>
      </c>
      <c r="Q658" s="542"/>
      <c r="R658" s="180">
        <f>ROUND(SUM(R659:R661),10)</f>
        <v>0</v>
      </c>
      <c r="S658" s="542"/>
      <c r="T658" s="180">
        <f>ROUND(SUM(T659:T661),10)</f>
        <v>0</v>
      </c>
      <c r="U658" s="568"/>
      <c r="V658" s="575"/>
      <c r="W658" s="570">
        <f>ROUND(SUM(W659:W663),10)</f>
        <v>0</v>
      </c>
      <c r="X658" s="575"/>
      <c r="Y658" s="570">
        <f>ROUND(SUM(Y659:Y663),10)</f>
        <v>0</v>
      </c>
      <c r="Z658" s="575"/>
      <c r="AA658" s="570">
        <f>ROUND(SUM(AA659:AA663),10)</f>
        <v>0</v>
      </c>
      <c r="AB658" s="575"/>
      <c r="AC658" s="570">
        <f>ROUND(SUM(AC659:AC663),10)</f>
        <v>0</v>
      </c>
      <c r="AD658" s="912"/>
      <c r="AE658" s="769">
        <f t="shared" ref="AE658:AE721" si="481">SUM(AC658,AA658,Y658,W658)-SUM(T658,R658,P658,N658,L658)</f>
        <v>0</v>
      </c>
    </row>
    <row r="659" spans="1:31" s="595" customFormat="1" ht="15" hidden="1" customHeight="1" x14ac:dyDescent="0.2">
      <c r="A659" s="611" t="s">
        <v>1721</v>
      </c>
      <c r="B659" s="601" t="s">
        <v>1722</v>
      </c>
      <c r="C659" s="611" t="s">
        <v>111</v>
      </c>
      <c r="D659" s="576">
        <f>+I659+K659+M659+O659+Q659+S659</f>
        <v>0</v>
      </c>
      <c r="E659" s="577">
        <f t="shared" si="480"/>
        <v>0</v>
      </c>
      <c r="F659" s="577">
        <f>ROUND(D659*E659,10)</f>
        <v>0</v>
      </c>
      <c r="G659" s="578"/>
      <c r="H659" s="552"/>
      <c r="I659" s="594"/>
      <c r="J659" s="580">
        <f>+ROUND(E659*I659,10)</f>
        <v>0</v>
      </c>
      <c r="K659" s="537"/>
      <c r="L659" s="445">
        <f>+ROUND(E659*K659,10)</f>
        <v>0</v>
      </c>
      <c r="M659" s="542"/>
      <c r="N659" s="445">
        <f>+ROUND(E659*M659,10)</f>
        <v>0</v>
      </c>
      <c r="O659" s="542"/>
      <c r="P659" s="445">
        <f>+ROUND(E659*O659,10)</f>
        <v>0</v>
      </c>
      <c r="Q659" s="542"/>
      <c r="R659" s="445">
        <f>+ROUND(E659*Q659,10)</f>
        <v>0</v>
      </c>
      <c r="S659" s="542"/>
      <c r="T659" s="445">
        <f>+ROUND(E659*S659,10)</f>
        <v>0</v>
      </c>
      <c r="U659" s="552"/>
      <c r="V659" s="581"/>
      <c r="W659" s="582">
        <f>ROUND(V659*$D659,10)</f>
        <v>0</v>
      </c>
      <c r="X659" s="581"/>
      <c r="Y659" s="582">
        <f>ROUND(X659*$D659,10)</f>
        <v>0</v>
      </c>
      <c r="Z659" s="581"/>
      <c r="AA659" s="582">
        <f>ROUND(Z659*$D659,10)</f>
        <v>0</v>
      </c>
      <c r="AB659" s="581"/>
      <c r="AC659" s="582">
        <f>ROUND(AB659*$D659,10)</f>
        <v>0</v>
      </c>
      <c r="AD659" s="912"/>
      <c r="AE659" s="769">
        <f t="shared" si="481"/>
        <v>0</v>
      </c>
    </row>
    <row r="660" spans="1:31" s="595" customFormat="1" ht="15" hidden="1" customHeight="1" x14ac:dyDescent="0.2">
      <c r="A660" s="611" t="s">
        <v>1723</v>
      </c>
      <c r="B660" s="601" t="s">
        <v>1724</v>
      </c>
      <c r="C660" s="611" t="s">
        <v>114</v>
      </c>
      <c r="D660" s="576">
        <f>+I660+K660+M660+O660+Q660+S660</f>
        <v>0</v>
      </c>
      <c r="E660" s="577">
        <f t="shared" si="480"/>
        <v>0</v>
      </c>
      <c r="F660" s="577">
        <f>ROUND(D660*E660,10)</f>
        <v>0</v>
      </c>
      <c r="G660" s="578"/>
      <c r="H660" s="552"/>
      <c r="I660" s="584"/>
      <c r="J660" s="585">
        <f>+ROUND(E660*I660,10)</f>
        <v>0</v>
      </c>
      <c r="K660" s="537"/>
      <c r="L660" s="445">
        <f>+ROUND(E660*K660,10)</f>
        <v>0</v>
      </c>
      <c r="M660" s="542"/>
      <c r="N660" s="445">
        <f>+ROUND(E660*M660,10)</f>
        <v>0</v>
      </c>
      <c r="O660" s="542"/>
      <c r="P660" s="445">
        <f>+ROUND(E660*O660,10)</f>
        <v>0</v>
      </c>
      <c r="Q660" s="542"/>
      <c r="R660" s="445">
        <f>+ROUND(E660*Q660,10)</f>
        <v>0</v>
      </c>
      <c r="S660" s="542"/>
      <c r="T660" s="445">
        <f>+ROUND(E660*S660,10)</f>
        <v>0</v>
      </c>
      <c r="U660" s="552"/>
      <c r="V660" s="581"/>
      <c r="W660" s="582">
        <f>ROUND(V660*$D660,10)</f>
        <v>0</v>
      </c>
      <c r="X660" s="581"/>
      <c r="Y660" s="582">
        <f>ROUND(X660*$D660,10)</f>
        <v>0</v>
      </c>
      <c r="Z660" s="581"/>
      <c r="AA660" s="582">
        <f>ROUND(Z660*$D660,10)</f>
        <v>0</v>
      </c>
      <c r="AB660" s="581"/>
      <c r="AC660" s="582">
        <f>ROUND(AB660*$D660,10)</f>
        <v>0</v>
      </c>
      <c r="AD660" s="912"/>
      <c r="AE660" s="769">
        <f t="shared" si="481"/>
        <v>0</v>
      </c>
    </row>
    <row r="661" spans="1:31" s="595" customFormat="1" ht="15.75" hidden="1" customHeight="1" thickBot="1" x14ac:dyDescent="0.25">
      <c r="A661" s="611" t="s">
        <v>1725</v>
      </c>
      <c r="B661" s="601" t="s">
        <v>1726</v>
      </c>
      <c r="C661" s="611" t="s">
        <v>114</v>
      </c>
      <c r="D661" s="576">
        <f>+I661+K661+M661+O661+Q661+S661</f>
        <v>0</v>
      </c>
      <c r="E661" s="577">
        <f t="shared" si="480"/>
        <v>0</v>
      </c>
      <c r="F661" s="577">
        <f>ROUND(D661*E661,10)</f>
        <v>0</v>
      </c>
      <c r="G661" s="578"/>
      <c r="H661" s="552"/>
      <c r="I661" s="602"/>
      <c r="J661" s="603">
        <f>+ROUND(E661*I661,10)</f>
        <v>0</v>
      </c>
      <c r="K661" s="537"/>
      <c r="L661" s="445">
        <f>+ROUND(E661*K661,10)</f>
        <v>0</v>
      </c>
      <c r="M661" s="542"/>
      <c r="N661" s="445">
        <f>+ROUND(E661*M661,10)</f>
        <v>0</v>
      </c>
      <c r="O661" s="542"/>
      <c r="P661" s="445">
        <f>+ROUND(E661*O661,10)</f>
        <v>0</v>
      </c>
      <c r="Q661" s="542"/>
      <c r="R661" s="445">
        <f>+ROUND(E661*Q661,10)</f>
        <v>0</v>
      </c>
      <c r="S661" s="542"/>
      <c r="T661" s="445">
        <f>+ROUND(E661*S661,10)</f>
        <v>0</v>
      </c>
      <c r="U661" s="552"/>
      <c r="V661" s="581"/>
      <c r="W661" s="582">
        <f>ROUND(V661*$D661,10)</f>
        <v>0</v>
      </c>
      <c r="X661" s="581"/>
      <c r="Y661" s="582">
        <f>ROUND(X661*$D661,10)</f>
        <v>0</v>
      </c>
      <c r="Z661" s="581"/>
      <c r="AA661" s="582">
        <f>ROUND(Z661*$D661,10)</f>
        <v>0</v>
      </c>
      <c r="AB661" s="581"/>
      <c r="AC661" s="582">
        <f>ROUND(AB661*$D661,10)</f>
        <v>0</v>
      </c>
      <c r="AD661" s="912"/>
      <c r="AE661" s="769">
        <f t="shared" si="481"/>
        <v>0</v>
      </c>
    </row>
    <row r="662" spans="1:31" s="595" customFormat="1" ht="15" hidden="1" customHeight="1" x14ac:dyDescent="0.2">
      <c r="A662" s="611"/>
      <c r="B662" s="601"/>
      <c r="C662" s="611"/>
      <c r="D662" s="576"/>
      <c r="E662" s="577"/>
      <c r="F662" s="577"/>
      <c r="G662" s="578"/>
      <c r="H662" s="552"/>
      <c r="I662" s="604"/>
      <c r="J662" s="635"/>
      <c r="K662" s="537"/>
      <c r="L662" s="445"/>
      <c r="M662" s="542"/>
      <c r="N662" s="445"/>
      <c r="O662" s="542"/>
      <c r="P662" s="445"/>
      <c r="Q662" s="542"/>
      <c r="R662" s="445"/>
      <c r="S662" s="542"/>
      <c r="T662" s="445"/>
      <c r="U662" s="552"/>
      <c r="V662" s="581"/>
      <c r="W662" s="582"/>
      <c r="X662" s="581"/>
      <c r="Y662" s="582"/>
      <c r="Z662" s="581"/>
      <c r="AA662" s="582"/>
      <c r="AB662" s="581"/>
      <c r="AC662" s="582"/>
      <c r="AD662" s="912"/>
      <c r="AE662" s="769">
        <f t="shared" si="481"/>
        <v>0</v>
      </c>
    </row>
    <row r="663" spans="1:31" s="666" customFormat="1" ht="6.75" customHeight="1" thickBot="1" x14ac:dyDescent="0.25">
      <c r="A663" s="919"/>
      <c r="B663" s="920"/>
      <c r="C663" s="919"/>
      <c r="D663" s="655"/>
      <c r="E663" s="656"/>
      <c r="F663" s="656"/>
      <c r="G663" s="656"/>
      <c r="H663" s="657"/>
      <c r="I663" s="658"/>
      <c r="J663" s="658"/>
      <c r="K663" s="659"/>
      <c r="L663" s="658"/>
      <c r="M663" s="174"/>
      <c r="N663" s="658"/>
      <c r="O663" s="174"/>
      <c r="P663" s="658"/>
      <c r="Q663" s="174"/>
      <c r="R663" s="658"/>
      <c r="S663" s="174"/>
      <c r="T663" s="658"/>
      <c r="U663" s="657"/>
      <c r="V663" s="667"/>
      <c r="W663" s="667"/>
      <c r="X663" s="667"/>
      <c r="Y663" s="667"/>
      <c r="Z663" s="667"/>
      <c r="AA663" s="667"/>
      <c r="AB663" s="667"/>
      <c r="AC663" s="667"/>
      <c r="AD663" s="921"/>
      <c r="AE663" s="769"/>
    </row>
    <row r="664" spans="1:31" ht="28.5" customHeight="1" thickTop="1" thickBot="1" x14ac:dyDescent="0.25">
      <c r="A664" s="564">
        <v>15</v>
      </c>
      <c r="B664" s="1068" t="s">
        <v>1727</v>
      </c>
      <c r="C664" s="1069"/>
      <c r="D664" s="1069"/>
      <c r="E664" s="1069"/>
      <c r="F664" s="1070"/>
      <c r="G664" s="180" t="e">
        <f>+F665+F672+F679+F687</f>
        <v>#REF!</v>
      </c>
      <c r="H664" s="568"/>
      <c r="I664" s="616"/>
      <c r="J664" s="439" t="e">
        <f>+ROUND(J665+J672+J679+J687,10)</f>
        <v>#REF!</v>
      </c>
      <c r="K664" s="617"/>
      <c r="L664" s="180" t="e">
        <f>+ROUND(L665+L672+L679+L687,10)</f>
        <v>#REF!</v>
      </c>
      <c r="M664" s="180"/>
      <c r="N664" s="180" t="e">
        <f>+ROUND(N665+N672+N679+N687,10)</f>
        <v>#REF!</v>
      </c>
      <c r="O664" s="180"/>
      <c r="P664" s="180" t="e">
        <f>+ROUND(P665+P672+P679+P687,10)</f>
        <v>#REF!</v>
      </c>
      <c r="Q664" s="180"/>
      <c r="R664" s="180" t="e">
        <f>+ROUND(R665+R672+R679+R687,10)</f>
        <v>#REF!</v>
      </c>
      <c r="S664" s="180"/>
      <c r="T664" s="180" t="e">
        <f>+ROUND(T665+T672+T679+T687,10)</f>
        <v>#REF!</v>
      </c>
      <c r="U664" s="568"/>
      <c r="V664" s="569" t="e">
        <f>W664/$G$664</f>
        <v>#REF!</v>
      </c>
      <c r="W664" s="570" t="e">
        <f>ROUND(W665+W672+W679+W687,10)</f>
        <v>#REF!</v>
      </c>
      <c r="X664" s="569" t="e">
        <f>Y664/$G$664</f>
        <v>#REF!</v>
      </c>
      <c r="Y664" s="570" t="e">
        <f>ROUND(Y665+Y672+Y679+Y687,10)</f>
        <v>#REF!</v>
      </c>
      <c r="Z664" s="569" t="e">
        <f>AA664/$G$664</f>
        <v>#REF!</v>
      </c>
      <c r="AA664" s="570" t="e">
        <f>ROUND(AA665+AA672+AA679+AA687,10)</f>
        <v>#REF!</v>
      </c>
      <c r="AB664" s="569" t="e">
        <f>AC664/$G$664</f>
        <v>#REF!</v>
      </c>
      <c r="AC664" s="570">
        <f>ROUND(AC665+AC672+AC679+AC687,10)</f>
        <v>0</v>
      </c>
      <c r="AE664" s="769" t="e">
        <f t="shared" si="481"/>
        <v>#REF!</v>
      </c>
    </row>
    <row r="665" spans="1:31" ht="15" customHeight="1" thickTop="1" x14ac:dyDescent="0.2">
      <c r="A665" s="572" t="s">
        <v>1728</v>
      </c>
      <c r="B665" s="573" t="s">
        <v>1729</v>
      </c>
      <c r="C665" s="846"/>
      <c r="D665" s="576"/>
      <c r="E665" s="180"/>
      <c r="F665" s="180" t="e">
        <f>+ROUND(SUM(F666:F671),10)</f>
        <v>#REF!</v>
      </c>
      <c r="G665" s="473"/>
      <c r="H665" s="568"/>
      <c r="I665" s="618"/>
      <c r="J665" s="439" t="e">
        <f>ROUND(SUM(J666:J671),10)</f>
        <v>#REF!</v>
      </c>
      <c r="K665" s="619"/>
      <c r="L665" s="180" t="e">
        <f>ROUND(SUM(L666:L671),10)</f>
        <v>#REF!</v>
      </c>
      <c r="M665" s="473"/>
      <c r="N665" s="180" t="e">
        <f>ROUND(SUM(N666:N671),10)</f>
        <v>#REF!</v>
      </c>
      <c r="O665" s="473"/>
      <c r="P665" s="180" t="e">
        <f>ROUND(SUM(P666:P671),10)</f>
        <v>#REF!</v>
      </c>
      <c r="Q665" s="473"/>
      <c r="R665" s="180" t="e">
        <f>ROUND(SUM(R666:R671),10)</f>
        <v>#REF!</v>
      </c>
      <c r="S665" s="473"/>
      <c r="T665" s="180" t="e">
        <f>ROUND(SUM(T666:T671),10)</f>
        <v>#REF!</v>
      </c>
      <c r="U665" s="568"/>
      <c r="V665" s="575"/>
      <c r="W665" s="570" t="e">
        <f>ROUND(SUM(W666:W671),10)</f>
        <v>#REF!</v>
      </c>
      <c r="X665" s="575"/>
      <c r="Y665" s="570" t="e">
        <f>ROUND(SUM(Y666:Y671),10)</f>
        <v>#REF!</v>
      </c>
      <c r="Z665" s="575"/>
      <c r="AA665" s="570" t="e">
        <f>ROUND(SUM(AA666:AA671),10)</f>
        <v>#REF!</v>
      </c>
      <c r="AB665" s="575"/>
      <c r="AC665" s="570">
        <f>ROUND(SUM(AC666:AC671),10)</f>
        <v>0</v>
      </c>
      <c r="AE665" s="769" t="e">
        <f t="shared" si="481"/>
        <v>#REF!</v>
      </c>
    </row>
    <row r="666" spans="1:31" ht="15" hidden="1" customHeight="1" x14ac:dyDescent="0.2">
      <c r="A666" s="611" t="s">
        <v>1730</v>
      </c>
      <c r="B666" s="601" t="s">
        <v>1731</v>
      </c>
      <c r="C666" s="611" t="s">
        <v>111</v>
      </c>
      <c r="D666" s="576">
        <f t="shared" ref="D666:D671" si="482">+I666+K666+M666+O666+Q666+S666</f>
        <v>0</v>
      </c>
      <c r="E666" s="577">
        <f t="shared" ref="E666:E689" si="483">V666+X666+Z666+AB666</f>
        <v>0</v>
      </c>
      <c r="F666" s="577">
        <f t="shared" ref="F666:F671" si="484">ROUND(D666*E666,10)</f>
        <v>0</v>
      </c>
      <c r="G666" s="578"/>
      <c r="I666" s="594"/>
      <c r="J666" s="580">
        <f t="shared" ref="J666:J671" si="485">+ROUND(E666*I666,10)</f>
        <v>0</v>
      </c>
      <c r="K666" s="537"/>
      <c r="L666" s="445">
        <f t="shared" ref="L666:L671" si="486">+ROUND(E666*K666,10)</f>
        <v>0</v>
      </c>
      <c r="M666" s="542"/>
      <c r="N666" s="445">
        <f t="shared" ref="N666:N671" si="487">+ROUND(E666*M666,10)</f>
        <v>0</v>
      </c>
      <c r="O666" s="542"/>
      <c r="P666" s="445">
        <f t="shared" ref="P666:P671" si="488">+ROUND(E666*O666,10)</f>
        <v>0</v>
      </c>
      <c r="Q666" s="542"/>
      <c r="R666" s="445">
        <f t="shared" ref="R666:R671" si="489">+ROUND(E666*Q666,10)</f>
        <v>0</v>
      </c>
      <c r="S666" s="542"/>
      <c r="T666" s="445">
        <f t="shared" ref="T666:T671" si="490">+ROUND(E666*S666,10)</f>
        <v>0</v>
      </c>
      <c r="V666" s="581"/>
      <c r="W666" s="582">
        <f t="shared" ref="W666:W671" si="491">ROUND(V666*$D666,10)</f>
        <v>0</v>
      </c>
      <c r="X666" s="581"/>
      <c r="Y666" s="582">
        <f t="shared" ref="Y666:Y671" si="492">ROUND(X666*$D666,10)</f>
        <v>0</v>
      </c>
      <c r="Z666" s="581"/>
      <c r="AA666" s="582">
        <f t="shared" ref="AA666:AA671" si="493">ROUND(Z666*$D666,10)</f>
        <v>0</v>
      </c>
      <c r="AB666" s="581"/>
      <c r="AC666" s="582">
        <f t="shared" ref="AC666:AC671" si="494">ROUND(AB666*$D666,10)</f>
        <v>0</v>
      </c>
      <c r="AE666" s="769">
        <f t="shared" si="481"/>
        <v>0</v>
      </c>
    </row>
    <row r="667" spans="1:31" ht="15" hidden="1" customHeight="1" x14ac:dyDescent="0.2">
      <c r="A667" s="611" t="s">
        <v>1732</v>
      </c>
      <c r="B667" s="601" t="s">
        <v>1733</v>
      </c>
      <c r="C667" s="611" t="s">
        <v>111</v>
      </c>
      <c r="D667" s="576">
        <f t="shared" si="482"/>
        <v>0</v>
      </c>
      <c r="E667" s="577">
        <f t="shared" si="483"/>
        <v>0</v>
      </c>
      <c r="F667" s="577">
        <f t="shared" si="484"/>
        <v>0</v>
      </c>
      <c r="G667" s="578"/>
      <c r="I667" s="584"/>
      <c r="J667" s="585">
        <f t="shared" si="485"/>
        <v>0</v>
      </c>
      <c r="K667" s="537"/>
      <c r="L667" s="445">
        <f t="shared" si="486"/>
        <v>0</v>
      </c>
      <c r="M667" s="542"/>
      <c r="N667" s="445">
        <f t="shared" si="487"/>
        <v>0</v>
      </c>
      <c r="O667" s="542"/>
      <c r="P667" s="445">
        <f t="shared" si="488"/>
        <v>0</v>
      </c>
      <c r="Q667" s="542"/>
      <c r="R667" s="445">
        <f t="shared" si="489"/>
        <v>0</v>
      </c>
      <c r="S667" s="542"/>
      <c r="T667" s="445">
        <f t="shared" si="490"/>
        <v>0</v>
      </c>
      <c r="V667" s="581"/>
      <c r="W667" s="582">
        <f t="shared" si="491"/>
        <v>0</v>
      </c>
      <c r="X667" s="581"/>
      <c r="Y667" s="582">
        <f t="shared" si="492"/>
        <v>0</v>
      </c>
      <c r="Z667" s="581"/>
      <c r="AA667" s="582">
        <f t="shared" si="493"/>
        <v>0</v>
      </c>
      <c r="AB667" s="581"/>
      <c r="AC667" s="582">
        <f t="shared" si="494"/>
        <v>0</v>
      </c>
      <c r="AE667" s="769">
        <f t="shared" si="481"/>
        <v>0</v>
      </c>
    </row>
    <row r="668" spans="1:31" ht="51" x14ac:dyDescent="0.2">
      <c r="A668" s="611" t="s">
        <v>1734</v>
      </c>
      <c r="B668" s="601" t="s">
        <v>1735</v>
      </c>
      <c r="C668" s="611" t="s">
        <v>111</v>
      </c>
      <c r="D668" s="576">
        <f t="shared" si="482"/>
        <v>90</v>
      </c>
      <c r="E668" s="577" t="e">
        <f t="shared" si="483"/>
        <v>#REF!</v>
      </c>
      <c r="F668" s="577" t="e">
        <f t="shared" si="484"/>
        <v>#REF!</v>
      </c>
      <c r="G668" s="578"/>
      <c r="I668" s="584"/>
      <c r="J668" s="585" t="e">
        <f t="shared" si="485"/>
        <v>#REF!</v>
      </c>
      <c r="K668" s="537">
        <v>81</v>
      </c>
      <c r="L668" s="445" t="e">
        <f t="shared" si="486"/>
        <v>#REF!</v>
      </c>
      <c r="M668" s="542">
        <v>9</v>
      </c>
      <c r="N668" s="445" t="e">
        <f t="shared" si="487"/>
        <v>#REF!</v>
      </c>
      <c r="O668" s="542"/>
      <c r="P668" s="445" t="e">
        <f t="shared" si="488"/>
        <v>#REF!</v>
      </c>
      <c r="Q668" s="542"/>
      <c r="R668" s="445" t="e">
        <f t="shared" si="489"/>
        <v>#REF!</v>
      </c>
      <c r="S668" s="542"/>
      <c r="T668" s="445" t="e">
        <f t="shared" si="490"/>
        <v>#REF!</v>
      </c>
      <c r="V668" s="581" t="e">
        <f>+#REF!</f>
        <v>#REF!</v>
      </c>
      <c r="W668" s="582" t="e">
        <f t="shared" si="491"/>
        <v>#REF!</v>
      </c>
      <c r="X668" s="581" t="e">
        <f>+#REF!</f>
        <v>#REF!</v>
      </c>
      <c r="Y668" s="582" t="e">
        <f t="shared" si="492"/>
        <v>#REF!</v>
      </c>
      <c r="Z668" s="581" t="e">
        <f>+#REF!</f>
        <v>#REF!</v>
      </c>
      <c r="AA668" s="582" t="e">
        <f t="shared" si="493"/>
        <v>#REF!</v>
      </c>
      <c r="AB668" s="581"/>
      <c r="AC668" s="582">
        <f t="shared" si="494"/>
        <v>0</v>
      </c>
      <c r="AE668" s="769" t="e">
        <f t="shared" si="481"/>
        <v>#REF!</v>
      </c>
    </row>
    <row r="669" spans="1:31" ht="25.5" hidden="1" customHeight="1" x14ac:dyDescent="0.2">
      <c r="A669" s="611" t="s">
        <v>1736</v>
      </c>
      <c r="B669" s="601" t="s">
        <v>1737</v>
      </c>
      <c r="C669" s="611" t="s">
        <v>111</v>
      </c>
      <c r="D669" s="576">
        <f t="shared" si="482"/>
        <v>0</v>
      </c>
      <c r="E669" s="577">
        <f t="shared" si="483"/>
        <v>0</v>
      </c>
      <c r="F669" s="577">
        <f t="shared" si="484"/>
        <v>0</v>
      </c>
      <c r="G669" s="578"/>
      <c r="I669" s="584"/>
      <c r="J669" s="585">
        <f t="shared" si="485"/>
        <v>0</v>
      </c>
      <c r="K669" s="537"/>
      <c r="L669" s="445">
        <f t="shared" si="486"/>
        <v>0</v>
      </c>
      <c r="M669" s="542"/>
      <c r="N669" s="445">
        <f t="shared" si="487"/>
        <v>0</v>
      </c>
      <c r="O669" s="542"/>
      <c r="P669" s="445">
        <f t="shared" si="488"/>
        <v>0</v>
      </c>
      <c r="Q669" s="542"/>
      <c r="R669" s="445">
        <f t="shared" si="489"/>
        <v>0</v>
      </c>
      <c r="S669" s="542"/>
      <c r="T669" s="445">
        <f t="shared" si="490"/>
        <v>0</v>
      </c>
      <c r="V669" s="581"/>
      <c r="W669" s="582">
        <f t="shared" si="491"/>
        <v>0</v>
      </c>
      <c r="X669" s="581"/>
      <c r="Y669" s="582">
        <f t="shared" si="492"/>
        <v>0</v>
      </c>
      <c r="Z669" s="581"/>
      <c r="AA669" s="582">
        <f t="shared" si="493"/>
        <v>0</v>
      </c>
      <c r="AB669" s="581"/>
      <c r="AC669" s="582">
        <f t="shared" si="494"/>
        <v>0</v>
      </c>
      <c r="AE669" s="769">
        <f t="shared" si="481"/>
        <v>0</v>
      </c>
    </row>
    <row r="670" spans="1:31" ht="15" hidden="1" customHeight="1" x14ac:dyDescent="0.2">
      <c r="A670" s="611" t="s">
        <v>1738</v>
      </c>
      <c r="B670" s="601" t="s">
        <v>1739</v>
      </c>
      <c r="C670" s="611" t="s">
        <v>111</v>
      </c>
      <c r="D670" s="576">
        <f t="shared" si="482"/>
        <v>0</v>
      </c>
      <c r="E670" s="577">
        <f t="shared" si="483"/>
        <v>0</v>
      </c>
      <c r="F670" s="577">
        <f t="shared" si="484"/>
        <v>0</v>
      </c>
      <c r="G670" s="578"/>
      <c r="I670" s="584"/>
      <c r="J670" s="585">
        <f t="shared" si="485"/>
        <v>0</v>
      </c>
      <c r="K670" s="537"/>
      <c r="L670" s="445">
        <f t="shared" si="486"/>
        <v>0</v>
      </c>
      <c r="M670" s="542"/>
      <c r="N670" s="445">
        <f t="shared" si="487"/>
        <v>0</v>
      </c>
      <c r="O670" s="542"/>
      <c r="P670" s="445">
        <f t="shared" si="488"/>
        <v>0</v>
      </c>
      <c r="Q670" s="542"/>
      <c r="R670" s="445">
        <f t="shared" si="489"/>
        <v>0</v>
      </c>
      <c r="S670" s="542"/>
      <c r="T670" s="445">
        <f t="shared" si="490"/>
        <v>0</v>
      </c>
      <c r="V670" s="581"/>
      <c r="W670" s="582">
        <f t="shared" si="491"/>
        <v>0</v>
      </c>
      <c r="X670" s="581"/>
      <c r="Y670" s="582">
        <f t="shared" si="492"/>
        <v>0</v>
      </c>
      <c r="Z670" s="581"/>
      <c r="AA670" s="582">
        <f t="shared" si="493"/>
        <v>0</v>
      </c>
      <c r="AB670" s="581"/>
      <c r="AC670" s="582">
        <f t="shared" si="494"/>
        <v>0</v>
      </c>
      <c r="AE670" s="769">
        <f t="shared" si="481"/>
        <v>0</v>
      </c>
    </row>
    <row r="671" spans="1:31" ht="15" hidden="1" customHeight="1" x14ac:dyDescent="0.2">
      <c r="A671" s="611" t="s">
        <v>1740</v>
      </c>
      <c r="B671" s="601" t="s">
        <v>1741</v>
      </c>
      <c r="C671" s="611" t="s">
        <v>111</v>
      </c>
      <c r="D671" s="576">
        <f t="shared" si="482"/>
        <v>0</v>
      </c>
      <c r="E671" s="577">
        <f t="shared" si="483"/>
        <v>0</v>
      </c>
      <c r="F671" s="577">
        <f t="shared" si="484"/>
        <v>0</v>
      </c>
      <c r="G671" s="578"/>
      <c r="I671" s="597"/>
      <c r="J671" s="598">
        <f t="shared" si="485"/>
        <v>0</v>
      </c>
      <c r="K671" s="537"/>
      <c r="L671" s="445">
        <f t="shared" si="486"/>
        <v>0</v>
      </c>
      <c r="M671" s="542"/>
      <c r="N671" s="445">
        <f t="shared" si="487"/>
        <v>0</v>
      </c>
      <c r="O671" s="542"/>
      <c r="P671" s="445">
        <f t="shared" si="488"/>
        <v>0</v>
      </c>
      <c r="Q671" s="542"/>
      <c r="R671" s="445">
        <f t="shared" si="489"/>
        <v>0</v>
      </c>
      <c r="S671" s="542"/>
      <c r="T671" s="445">
        <f t="shared" si="490"/>
        <v>0</v>
      </c>
      <c r="V671" s="581"/>
      <c r="W671" s="582">
        <f t="shared" si="491"/>
        <v>0</v>
      </c>
      <c r="X671" s="581"/>
      <c r="Y671" s="582">
        <f t="shared" si="492"/>
        <v>0</v>
      </c>
      <c r="Z671" s="581"/>
      <c r="AA671" s="582">
        <f t="shared" si="493"/>
        <v>0</v>
      </c>
      <c r="AB671" s="581"/>
      <c r="AC671" s="582">
        <f t="shared" si="494"/>
        <v>0</v>
      </c>
      <c r="AE671" s="769">
        <f t="shared" si="481"/>
        <v>0</v>
      </c>
    </row>
    <row r="672" spans="1:31" ht="15" hidden="1" customHeight="1" x14ac:dyDescent="0.2">
      <c r="A672" s="572" t="s">
        <v>1742</v>
      </c>
      <c r="B672" s="573" t="s">
        <v>1743</v>
      </c>
      <c r="C672" s="846"/>
      <c r="D672" s="576"/>
      <c r="E672" s="577"/>
      <c r="F672" s="180">
        <f>+ROUND(SUM(F673:F678),10)</f>
        <v>0</v>
      </c>
      <c r="G672" s="473"/>
      <c r="H672" s="568"/>
      <c r="I672" s="613"/>
      <c r="J672" s="440">
        <f>ROUND(SUM(J673:J678),10)</f>
        <v>0</v>
      </c>
      <c r="K672" s="537"/>
      <c r="L672" s="180">
        <f>ROUND(SUM(L673:L678),10)</f>
        <v>0</v>
      </c>
      <c r="M672" s="542"/>
      <c r="N672" s="180">
        <f>ROUND(SUM(N673:N678),10)</f>
        <v>0</v>
      </c>
      <c r="O672" s="542"/>
      <c r="P672" s="180">
        <f>ROUND(SUM(P673:P678),10)</f>
        <v>0</v>
      </c>
      <c r="Q672" s="542"/>
      <c r="R672" s="180">
        <f>ROUND(SUM(R673:R678),10)</f>
        <v>0</v>
      </c>
      <c r="S672" s="542"/>
      <c r="T672" s="180">
        <f>ROUND(SUM(T673:T678),10)</f>
        <v>0</v>
      </c>
      <c r="U672" s="568"/>
      <c r="V672" s="575"/>
      <c r="W672" s="570">
        <f>ROUND(SUM(W673:W678),10)</f>
        <v>0</v>
      </c>
      <c r="X672" s="575"/>
      <c r="Y672" s="570">
        <f>ROUND(SUM(Y673:Y678),10)</f>
        <v>0</v>
      </c>
      <c r="Z672" s="575"/>
      <c r="AA672" s="570">
        <f>ROUND(SUM(AA673:AA678),10)</f>
        <v>0</v>
      </c>
      <c r="AB672" s="575"/>
      <c r="AC672" s="570">
        <f>ROUND(SUM(AC673:AC678),10)</f>
        <v>0</v>
      </c>
      <c r="AE672" s="769">
        <f t="shared" si="481"/>
        <v>0</v>
      </c>
    </row>
    <row r="673" spans="1:31" ht="15" hidden="1" customHeight="1" x14ac:dyDescent="0.2">
      <c r="A673" s="611" t="s">
        <v>1744</v>
      </c>
      <c r="B673" s="601" t="s">
        <v>1745</v>
      </c>
      <c r="C673" s="611" t="s">
        <v>111</v>
      </c>
      <c r="D673" s="576">
        <f t="shared" ref="D673:D678" si="495">+I673+K673+M673+O673+Q673+S673</f>
        <v>0</v>
      </c>
      <c r="E673" s="577">
        <f t="shared" si="483"/>
        <v>0</v>
      </c>
      <c r="F673" s="577">
        <f t="shared" ref="F673:F678" si="496">ROUND(D673*E673,10)</f>
        <v>0</v>
      </c>
      <c r="G673" s="578"/>
      <c r="I673" s="594"/>
      <c r="J673" s="580">
        <f t="shared" ref="J673:J678" si="497">+ROUND(E673*I673,10)</f>
        <v>0</v>
      </c>
      <c r="K673" s="537"/>
      <c r="L673" s="445">
        <f t="shared" ref="L673:L678" si="498">+ROUND(E673*K673,10)</f>
        <v>0</v>
      </c>
      <c r="M673" s="542"/>
      <c r="N673" s="445">
        <f t="shared" ref="N673:N678" si="499">+ROUND(E673*M673,10)</f>
        <v>0</v>
      </c>
      <c r="O673" s="542"/>
      <c r="P673" s="445">
        <f t="shared" ref="P673:P678" si="500">+ROUND(E673*O673,10)</f>
        <v>0</v>
      </c>
      <c r="Q673" s="542"/>
      <c r="R673" s="445">
        <f t="shared" ref="R673:R678" si="501">+ROUND(E673*Q673,10)</f>
        <v>0</v>
      </c>
      <c r="S673" s="542"/>
      <c r="T673" s="445">
        <f t="shared" ref="T673:T678" si="502">+ROUND(E673*S673,10)</f>
        <v>0</v>
      </c>
      <c r="V673" s="581"/>
      <c r="W673" s="582">
        <f t="shared" ref="W673:W678" si="503">ROUND(V673*$D673,10)</f>
        <v>0</v>
      </c>
      <c r="X673" s="581"/>
      <c r="Y673" s="582">
        <f t="shared" ref="Y673:Y678" si="504">ROUND(X673*$D673,10)</f>
        <v>0</v>
      </c>
      <c r="Z673" s="581"/>
      <c r="AA673" s="582">
        <f t="shared" ref="AA673:AA678" si="505">ROUND(Z673*$D673,10)</f>
        <v>0</v>
      </c>
      <c r="AB673" s="581"/>
      <c r="AC673" s="582">
        <f t="shared" ref="AC673:AC678" si="506">ROUND(AB673*$D673,10)</f>
        <v>0</v>
      </c>
      <c r="AE673" s="769">
        <f t="shared" si="481"/>
        <v>0</v>
      </c>
    </row>
    <row r="674" spans="1:31" ht="15" hidden="1" customHeight="1" x14ac:dyDescent="0.2">
      <c r="A674" s="611" t="s">
        <v>1746</v>
      </c>
      <c r="B674" s="601" t="s">
        <v>1747</v>
      </c>
      <c r="C674" s="611" t="s">
        <v>111</v>
      </c>
      <c r="D674" s="576">
        <f t="shared" si="495"/>
        <v>0</v>
      </c>
      <c r="E674" s="577">
        <f t="shared" si="483"/>
        <v>0</v>
      </c>
      <c r="F674" s="577">
        <f t="shared" si="496"/>
        <v>0</v>
      </c>
      <c r="G674" s="578"/>
      <c r="I674" s="584"/>
      <c r="J674" s="585">
        <f t="shared" si="497"/>
        <v>0</v>
      </c>
      <c r="K674" s="537"/>
      <c r="L674" s="445">
        <f t="shared" si="498"/>
        <v>0</v>
      </c>
      <c r="M674" s="542"/>
      <c r="N674" s="445">
        <f t="shared" si="499"/>
        <v>0</v>
      </c>
      <c r="O674" s="542"/>
      <c r="P674" s="445">
        <f t="shared" si="500"/>
        <v>0</v>
      </c>
      <c r="Q674" s="542"/>
      <c r="R674" s="445">
        <f t="shared" si="501"/>
        <v>0</v>
      </c>
      <c r="S674" s="542"/>
      <c r="T674" s="445">
        <f t="shared" si="502"/>
        <v>0</v>
      </c>
      <c r="V674" s="581"/>
      <c r="W674" s="582">
        <f t="shared" si="503"/>
        <v>0</v>
      </c>
      <c r="X674" s="581"/>
      <c r="Y674" s="582">
        <f t="shared" si="504"/>
        <v>0</v>
      </c>
      <c r="Z674" s="581"/>
      <c r="AA674" s="582">
        <f t="shared" si="505"/>
        <v>0</v>
      </c>
      <c r="AB674" s="581"/>
      <c r="AC674" s="582">
        <f t="shared" si="506"/>
        <v>0</v>
      </c>
      <c r="AE674" s="769">
        <f t="shared" si="481"/>
        <v>0</v>
      </c>
    </row>
    <row r="675" spans="1:31" ht="15" hidden="1" customHeight="1" x14ac:dyDescent="0.2">
      <c r="A675" s="611" t="s">
        <v>1748</v>
      </c>
      <c r="B675" s="601" t="s">
        <v>1749</v>
      </c>
      <c r="C675" s="611" t="s">
        <v>111</v>
      </c>
      <c r="D675" s="576">
        <f t="shared" si="495"/>
        <v>0</v>
      </c>
      <c r="E675" s="577">
        <f t="shared" si="483"/>
        <v>0</v>
      </c>
      <c r="F675" s="577">
        <f t="shared" si="496"/>
        <v>0</v>
      </c>
      <c r="G675" s="578"/>
      <c r="I675" s="584"/>
      <c r="J675" s="585">
        <f t="shared" si="497"/>
        <v>0</v>
      </c>
      <c r="K675" s="537"/>
      <c r="L675" s="445">
        <f t="shared" si="498"/>
        <v>0</v>
      </c>
      <c r="M675" s="542"/>
      <c r="N675" s="445">
        <f t="shared" si="499"/>
        <v>0</v>
      </c>
      <c r="O675" s="542"/>
      <c r="P675" s="445">
        <f t="shared" si="500"/>
        <v>0</v>
      </c>
      <c r="Q675" s="542"/>
      <c r="R675" s="445">
        <f t="shared" si="501"/>
        <v>0</v>
      </c>
      <c r="S675" s="542"/>
      <c r="T675" s="445">
        <f t="shared" si="502"/>
        <v>0</v>
      </c>
      <c r="V675" s="581"/>
      <c r="W675" s="582">
        <f t="shared" si="503"/>
        <v>0</v>
      </c>
      <c r="X675" s="581"/>
      <c r="Y675" s="582">
        <f t="shared" si="504"/>
        <v>0</v>
      </c>
      <c r="Z675" s="581"/>
      <c r="AA675" s="582">
        <f t="shared" si="505"/>
        <v>0</v>
      </c>
      <c r="AB675" s="581"/>
      <c r="AC675" s="582">
        <f t="shared" si="506"/>
        <v>0</v>
      </c>
      <c r="AE675" s="769">
        <f t="shared" si="481"/>
        <v>0</v>
      </c>
    </row>
    <row r="676" spans="1:31" ht="15" hidden="1" customHeight="1" x14ac:dyDescent="0.2">
      <c r="A676" s="611" t="s">
        <v>1750</v>
      </c>
      <c r="B676" s="601" t="s">
        <v>1751</v>
      </c>
      <c r="C676" s="611" t="s">
        <v>111</v>
      </c>
      <c r="D676" s="576">
        <f t="shared" si="495"/>
        <v>0</v>
      </c>
      <c r="E676" s="577">
        <f t="shared" si="483"/>
        <v>0</v>
      </c>
      <c r="F676" s="577">
        <f t="shared" si="496"/>
        <v>0</v>
      </c>
      <c r="G676" s="578"/>
      <c r="I676" s="584"/>
      <c r="J676" s="585">
        <f t="shared" si="497"/>
        <v>0</v>
      </c>
      <c r="K676" s="537"/>
      <c r="L676" s="445">
        <f t="shared" si="498"/>
        <v>0</v>
      </c>
      <c r="M676" s="542"/>
      <c r="N676" s="445">
        <f t="shared" si="499"/>
        <v>0</v>
      </c>
      <c r="O676" s="542"/>
      <c r="P676" s="445">
        <f t="shared" si="500"/>
        <v>0</v>
      </c>
      <c r="Q676" s="542"/>
      <c r="R676" s="445">
        <f t="shared" si="501"/>
        <v>0</v>
      </c>
      <c r="S676" s="542"/>
      <c r="T676" s="445">
        <f t="shared" si="502"/>
        <v>0</v>
      </c>
      <c r="V676" s="581"/>
      <c r="W676" s="582">
        <f t="shared" si="503"/>
        <v>0</v>
      </c>
      <c r="X676" s="581"/>
      <c r="Y676" s="582">
        <f t="shared" si="504"/>
        <v>0</v>
      </c>
      <c r="Z676" s="581"/>
      <c r="AA676" s="582">
        <f t="shared" si="505"/>
        <v>0</v>
      </c>
      <c r="AB676" s="581"/>
      <c r="AC676" s="582">
        <f t="shared" si="506"/>
        <v>0</v>
      </c>
      <c r="AE676" s="769">
        <f t="shared" si="481"/>
        <v>0</v>
      </c>
    </row>
    <row r="677" spans="1:31" ht="15" hidden="1" customHeight="1" x14ac:dyDescent="0.2">
      <c r="A677" s="611" t="s">
        <v>1752</v>
      </c>
      <c r="B677" s="601" t="s">
        <v>1753</v>
      </c>
      <c r="C677" s="611" t="s">
        <v>111</v>
      </c>
      <c r="D677" s="576">
        <f t="shared" si="495"/>
        <v>0</v>
      </c>
      <c r="E677" s="577">
        <f t="shared" si="483"/>
        <v>0</v>
      </c>
      <c r="F677" s="577">
        <f t="shared" si="496"/>
        <v>0</v>
      </c>
      <c r="G677" s="578"/>
      <c r="I677" s="584"/>
      <c r="J677" s="585">
        <f t="shared" si="497"/>
        <v>0</v>
      </c>
      <c r="K677" s="537"/>
      <c r="L677" s="445">
        <f t="shared" si="498"/>
        <v>0</v>
      </c>
      <c r="M677" s="542"/>
      <c r="N677" s="445">
        <f t="shared" si="499"/>
        <v>0</v>
      </c>
      <c r="O677" s="542"/>
      <c r="P677" s="445">
        <f t="shared" si="500"/>
        <v>0</v>
      </c>
      <c r="Q677" s="542"/>
      <c r="R677" s="445">
        <f t="shared" si="501"/>
        <v>0</v>
      </c>
      <c r="S677" s="542"/>
      <c r="T677" s="445">
        <f t="shared" si="502"/>
        <v>0</v>
      </c>
      <c r="V677" s="581"/>
      <c r="W677" s="582">
        <f t="shared" si="503"/>
        <v>0</v>
      </c>
      <c r="X677" s="581"/>
      <c r="Y677" s="582">
        <f t="shared" si="504"/>
        <v>0</v>
      </c>
      <c r="Z677" s="581"/>
      <c r="AA677" s="582">
        <f t="shared" si="505"/>
        <v>0</v>
      </c>
      <c r="AB677" s="581"/>
      <c r="AC677" s="582">
        <f t="shared" si="506"/>
        <v>0</v>
      </c>
      <c r="AE677" s="769">
        <f t="shared" si="481"/>
        <v>0</v>
      </c>
    </row>
    <row r="678" spans="1:31" ht="15" hidden="1" customHeight="1" x14ac:dyDescent="0.2">
      <c r="A678" s="611" t="s">
        <v>1754</v>
      </c>
      <c r="B678" s="601" t="s">
        <v>1755</v>
      </c>
      <c r="C678" s="611" t="s">
        <v>111</v>
      </c>
      <c r="D678" s="576">
        <f t="shared" si="495"/>
        <v>0</v>
      </c>
      <c r="E678" s="577">
        <f t="shared" si="483"/>
        <v>0</v>
      </c>
      <c r="F678" s="577">
        <f t="shared" si="496"/>
        <v>0</v>
      </c>
      <c r="G678" s="578"/>
      <c r="I678" s="597"/>
      <c r="J678" s="598">
        <f t="shared" si="497"/>
        <v>0</v>
      </c>
      <c r="K678" s="537"/>
      <c r="L678" s="445">
        <f t="shared" si="498"/>
        <v>0</v>
      </c>
      <c r="M678" s="542"/>
      <c r="N678" s="445">
        <f t="shared" si="499"/>
        <v>0</v>
      </c>
      <c r="O678" s="542"/>
      <c r="P678" s="445">
        <f t="shared" si="500"/>
        <v>0</v>
      </c>
      <c r="Q678" s="542"/>
      <c r="R678" s="445">
        <f t="shared" si="501"/>
        <v>0</v>
      </c>
      <c r="S678" s="542"/>
      <c r="T678" s="445">
        <f t="shared" si="502"/>
        <v>0</v>
      </c>
      <c r="V678" s="581"/>
      <c r="W678" s="582">
        <f t="shared" si="503"/>
        <v>0</v>
      </c>
      <c r="X678" s="581"/>
      <c r="Y678" s="582">
        <f t="shared" si="504"/>
        <v>0</v>
      </c>
      <c r="Z678" s="581"/>
      <c r="AA678" s="582">
        <f t="shared" si="505"/>
        <v>0</v>
      </c>
      <c r="AB678" s="581"/>
      <c r="AC678" s="582">
        <f t="shared" si="506"/>
        <v>0</v>
      </c>
      <c r="AE678" s="769">
        <f t="shared" si="481"/>
        <v>0</v>
      </c>
    </row>
    <row r="679" spans="1:31" ht="15" hidden="1" customHeight="1" x14ac:dyDescent="0.2">
      <c r="A679" s="572" t="s">
        <v>1756</v>
      </c>
      <c r="B679" s="573" t="s">
        <v>1757</v>
      </c>
      <c r="C679" s="846"/>
      <c r="D679" s="576"/>
      <c r="E679" s="577"/>
      <c r="F679" s="180">
        <f>+ROUND(SUM(F680:F686),10)</f>
        <v>0</v>
      </c>
      <c r="G679" s="473"/>
      <c r="H679" s="568"/>
      <c r="I679" s="613"/>
      <c r="J679" s="440">
        <f>ROUND(SUM(J680:J686),10)</f>
        <v>0</v>
      </c>
      <c r="K679" s="537"/>
      <c r="L679" s="180">
        <f>ROUND(SUM(L680:L686),10)</f>
        <v>0</v>
      </c>
      <c r="M679" s="542"/>
      <c r="N679" s="180">
        <f>ROUND(SUM(N680:N686),10)</f>
        <v>0</v>
      </c>
      <c r="O679" s="542"/>
      <c r="P679" s="180">
        <f>ROUND(SUM(P680:P686),10)</f>
        <v>0</v>
      </c>
      <c r="Q679" s="542"/>
      <c r="R679" s="180">
        <f>ROUND(SUM(R680:R686),10)</f>
        <v>0</v>
      </c>
      <c r="S679" s="542"/>
      <c r="T679" s="180">
        <f>ROUND(SUM(T680:T686),10)</f>
        <v>0</v>
      </c>
      <c r="U679" s="568"/>
      <c r="V679" s="575"/>
      <c r="W679" s="570">
        <f>ROUND(SUM(W680:W686),10)</f>
        <v>0</v>
      </c>
      <c r="X679" s="575"/>
      <c r="Y679" s="570">
        <f>ROUND(SUM(Y680:Y686),10)</f>
        <v>0</v>
      </c>
      <c r="Z679" s="575"/>
      <c r="AA679" s="570">
        <f>ROUND(SUM(AA680:AA686),10)</f>
        <v>0</v>
      </c>
      <c r="AB679" s="575"/>
      <c r="AC679" s="570">
        <f>ROUND(SUM(AC680:AC686),10)</f>
        <v>0</v>
      </c>
      <c r="AE679" s="769">
        <f t="shared" si="481"/>
        <v>0</v>
      </c>
    </row>
    <row r="680" spans="1:31" ht="15" hidden="1" customHeight="1" x14ac:dyDescent="0.2">
      <c r="A680" s="611" t="s">
        <v>1758</v>
      </c>
      <c r="B680" s="601" t="s">
        <v>1759</v>
      </c>
      <c r="C680" s="611" t="s">
        <v>111</v>
      </c>
      <c r="D680" s="576">
        <f t="shared" ref="D680:D686" si="507">+I680+K680+M680+O680+Q680+S680</f>
        <v>0</v>
      </c>
      <c r="E680" s="577">
        <f t="shared" si="483"/>
        <v>0</v>
      </c>
      <c r="F680" s="577">
        <f t="shared" ref="F680:F686" si="508">ROUND(D680*E680,10)</f>
        <v>0</v>
      </c>
      <c r="G680" s="578"/>
      <c r="I680" s="594"/>
      <c r="J680" s="580">
        <f t="shared" ref="J680:J686" si="509">+ROUND(E680*I680,10)</f>
        <v>0</v>
      </c>
      <c r="K680" s="537"/>
      <c r="L680" s="445">
        <f t="shared" ref="L680:L686" si="510">+ROUND(E680*K680,10)</f>
        <v>0</v>
      </c>
      <c r="M680" s="542"/>
      <c r="N680" s="445">
        <f t="shared" ref="N680:N686" si="511">+ROUND(E680*M680,10)</f>
        <v>0</v>
      </c>
      <c r="O680" s="542"/>
      <c r="P680" s="445">
        <f t="shared" ref="P680:P686" si="512">+ROUND(E680*O680,10)</f>
        <v>0</v>
      </c>
      <c r="Q680" s="542"/>
      <c r="R680" s="445">
        <f t="shared" ref="R680:R686" si="513">+ROUND(E680*Q680,10)</f>
        <v>0</v>
      </c>
      <c r="S680" s="542"/>
      <c r="T680" s="445">
        <f t="shared" ref="T680:T686" si="514">+ROUND(E680*S680,10)</f>
        <v>0</v>
      </c>
      <c r="V680" s="581"/>
      <c r="W680" s="582">
        <f t="shared" ref="W680:W686" si="515">ROUND(V680*$D680,10)</f>
        <v>0</v>
      </c>
      <c r="X680" s="581"/>
      <c r="Y680" s="582">
        <f t="shared" ref="Y680:Y686" si="516">ROUND(X680*$D680,10)</f>
        <v>0</v>
      </c>
      <c r="Z680" s="581"/>
      <c r="AA680" s="582">
        <f t="shared" ref="AA680:AA686" si="517">ROUND(Z680*$D680,10)</f>
        <v>0</v>
      </c>
      <c r="AB680" s="581"/>
      <c r="AC680" s="582">
        <f t="shared" ref="AC680:AC686" si="518">ROUND(AB680*$D680,10)</f>
        <v>0</v>
      </c>
      <c r="AE680" s="769">
        <f t="shared" si="481"/>
        <v>0</v>
      </c>
    </row>
    <row r="681" spans="1:31" ht="15" hidden="1" customHeight="1" x14ac:dyDescent="0.2">
      <c r="A681" s="611" t="s">
        <v>1760</v>
      </c>
      <c r="B681" s="601" t="s">
        <v>1761</v>
      </c>
      <c r="C681" s="611" t="s">
        <v>111</v>
      </c>
      <c r="D681" s="576">
        <f t="shared" si="507"/>
        <v>0</v>
      </c>
      <c r="E681" s="577">
        <f t="shared" si="483"/>
        <v>0</v>
      </c>
      <c r="F681" s="577">
        <f t="shared" si="508"/>
        <v>0</v>
      </c>
      <c r="G681" s="578"/>
      <c r="I681" s="584"/>
      <c r="J681" s="585">
        <f t="shared" si="509"/>
        <v>0</v>
      </c>
      <c r="K681" s="537"/>
      <c r="L681" s="445">
        <f t="shared" si="510"/>
        <v>0</v>
      </c>
      <c r="M681" s="542"/>
      <c r="N681" s="445">
        <f t="shared" si="511"/>
        <v>0</v>
      </c>
      <c r="O681" s="542"/>
      <c r="P681" s="445">
        <f t="shared" si="512"/>
        <v>0</v>
      </c>
      <c r="Q681" s="542"/>
      <c r="R681" s="445">
        <f t="shared" si="513"/>
        <v>0</v>
      </c>
      <c r="S681" s="542"/>
      <c r="T681" s="445">
        <f t="shared" si="514"/>
        <v>0</v>
      </c>
      <c r="V681" s="581"/>
      <c r="W681" s="582">
        <f t="shared" si="515"/>
        <v>0</v>
      </c>
      <c r="X681" s="581"/>
      <c r="Y681" s="582">
        <f t="shared" si="516"/>
        <v>0</v>
      </c>
      <c r="Z681" s="581"/>
      <c r="AA681" s="582">
        <f t="shared" si="517"/>
        <v>0</v>
      </c>
      <c r="AB681" s="581"/>
      <c r="AC681" s="582">
        <f t="shared" si="518"/>
        <v>0</v>
      </c>
      <c r="AE681" s="769">
        <f t="shared" si="481"/>
        <v>0</v>
      </c>
    </row>
    <row r="682" spans="1:31" ht="15" hidden="1" customHeight="1" x14ac:dyDescent="0.2">
      <c r="A682" s="611" t="s">
        <v>1762</v>
      </c>
      <c r="B682" s="601" t="s">
        <v>1763</v>
      </c>
      <c r="C682" s="611" t="s">
        <v>111</v>
      </c>
      <c r="D682" s="576">
        <f t="shared" si="507"/>
        <v>0</v>
      </c>
      <c r="E682" s="577">
        <f t="shared" si="483"/>
        <v>0</v>
      </c>
      <c r="F682" s="577">
        <f t="shared" si="508"/>
        <v>0</v>
      </c>
      <c r="G682" s="578"/>
      <c r="I682" s="584"/>
      <c r="J682" s="585">
        <f t="shared" si="509"/>
        <v>0</v>
      </c>
      <c r="K682" s="537"/>
      <c r="L682" s="445">
        <f t="shared" si="510"/>
        <v>0</v>
      </c>
      <c r="M682" s="542"/>
      <c r="N682" s="445">
        <f t="shared" si="511"/>
        <v>0</v>
      </c>
      <c r="O682" s="542"/>
      <c r="P682" s="445">
        <f t="shared" si="512"/>
        <v>0</v>
      </c>
      <c r="Q682" s="542"/>
      <c r="R682" s="445">
        <f t="shared" si="513"/>
        <v>0</v>
      </c>
      <c r="S682" s="542"/>
      <c r="T682" s="445">
        <f t="shared" si="514"/>
        <v>0</v>
      </c>
      <c r="V682" s="581"/>
      <c r="W682" s="582">
        <f t="shared" si="515"/>
        <v>0</v>
      </c>
      <c r="X682" s="581"/>
      <c r="Y682" s="582">
        <f t="shared" si="516"/>
        <v>0</v>
      </c>
      <c r="Z682" s="581"/>
      <c r="AA682" s="582">
        <f t="shared" si="517"/>
        <v>0</v>
      </c>
      <c r="AB682" s="581"/>
      <c r="AC682" s="582">
        <f t="shared" si="518"/>
        <v>0</v>
      </c>
      <c r="AE682" s="769">
        <f t="shared" si="481"/>
        <v>0</v>
      </c>
    </row>
    <row r="683" spans="1:31" ht="15" hidden="1" customHeight="1" x14ac:dyDescent="0.2">
      <c r="A683" s="611" t="s">
        <v>1764</v>
      </c>
      <c r="B683" s="601" t="s">
        <v>1765</v>
      </c>
      <c r="C683" s="611" t="s">
        <v>111</v>
      </c>
      <c r="D683" s="576">
        <f t="shared" si="507"/>
        <v>0</v>
      </c>
      <c r="E683" s="577">
        <f t="shared" si="483"/>
        <v>0</v>
      </c>
      <c r="F683" s="577">
        <f t="shared" si="508"/>
        <v>0</v>
      </c>
      <c r="G683" s="578"/>
      <c r="I683" s="584"/>
      <c r="J683" s="585">
        <f t="shared" si="509"/>
        <v>0</v>
      </c>
      <c r="K683" s="537"/>
      <c r="L683" s="445">
        <f t="shared" si="510"/>
        <v>0</v>
      </c>
      <c r="M683" s="542"/>
      <c r="N683" s="445">
        <f t="shared" si="511"/>
        <v>0</v>
      </c>
      <c r="O683" s="542"/>
      <c r="P683" s="445">
        <f t="shared" si="512"/>
        <v>0</v>
      </c>
      <c r="Q683" s="542"/>
      <c r="R683" s="445">
        <f t="shared" si="513"/>
        <v>0</v>
      </c>
      <c r="S683" s="542"/>
      <c r="T683" s="445">
        <f t="shared" si="514"/>
        <v>0</v>
      </c>
      <c r="V683" s="581"/>
      <c r="W683" s="582">
        <f t="shared" si="515"/>
        <v>0</v>
      </c>
      <c r="X683" s="581"/>
      <c r="Y683" s="582">
        <f t="shared" si="516"/>
        <v>0</v>
      </c>
      <c r="Z683" s="581"/>
      <c r="AA683" s="582">
        <f t="shared" si="517"/>
        <v>0</v>
      </c>
      <c r="AB683" s="581"/>
      <c r="AC683" s="582">
        <f t="shared" si="518"/>
        <v>0</v>
      </c>
      <c r="AE683" s="769">
        <f t="shared" si="481"/>
        <v>0</v>
      </c>
    </row>
    <row r="684" spans="1:31" ht="15" hidden="1" customHeight="1" x14ac:dyDescent="0.2">
      <c r="A684" s="611" t="s">
        <v>1766</v>
      </c>
      <c r="B684" s="601" t="s">
        <v>1767</v>
      </c>
      <c r="C684" s="611" t="s">
        <v>111</v>
      </c>
      <c r="D684" s="576">
        <f t="shared" si="507"/>
        <v>0</v>
      </c>
      <c r="E684" s="577">
        <f t="shared" si="483"/>
        <v>0</v>
      </c>
      <c r="F684" s="577">
        <f t="shared" si="508"/>
        <v>0</v>
      </c>
      <c r="G684" s="578"/>
      <c r="I684" s="584"/>
      <c r="J684" s="585">
        <f t="shared" si="509"/>
        <v>0</v>
      </c>
      <c r="K684" s="537"/>
      <c r="L684" s="445">
        <f t="shared" si="510"/>
        <v>0</v>
      </c>
      <c r="M684" s="542"/>
      <c r="N684" s="445">
        <f t="shared" si="511"/>
        <v>0</v>
      </c>
      <c r="O684" s="542"/>
      <c r="P684" s="445">
        <f t="shared" si="512"/>
        <v>0</v>
      </c>
      <c r="Q684" s="542"/>
      <c r="R684" s="445">
        <f t="shared" si="513"/>
        <v>0</v>
      </c>
      <c r="S684" s="542"/>
      <c r="T684" s="445">
        <f t="shared" si="514"/>
        <v>0</v>
      </c>
      <c r="V684" s="581"/>
      <c r="W684" s="582">
        <f t="shared" si="515"/>
        <v>0</v>
      </c>
      <c r="X684" s="581"/>
      <c r="Y684" s="582">
        <f t="shared" si="516"/>
        <v>0</v>
      </c>
      <c r="Z684" s="581"/>
      <c r="AA684" s="582">
        <f t="shared" si="517"/>
        <v>0</v>
      </c>
      <c r="AB684" s="581"/>
      <c r="AC684" s="582">
        <f t="shared" si="518"/>
        <v>0</v>
      </c>
      <c r="AE684" s="769">
        <f t="shared" si="481"/>
        <v>0</v>
      </c>
    </row>
    <row r="685" spans="1:31" ht="15" hidden="1" customHeight="1" x14ac:dyDescent="0.2">
      <c r="A685" s="611" t="s">
        <v>1768</v>
      </c>
      <c r="B685" s="601" t="s">
        <v>1769</v>
      </c>
      <c r="C685" s="611" t="s">
        <v>111</v>
      </c>
      <c r="D685" s="576">
        <f t="shared" si="507"/>
        <v>0</v>
      </c>
      <c r="E685" s="577">
        <f t="shared" si="483"/>
        <v>0</v>
      </c>
      <c r="F685" s="577">
        <f t="shared" si="508"/>
        <v>0</v>
      </c>
      <c r="G685" s="578"/>
      <c r="I685" s="584"/>
      <c r="J685" s="585">
        <f t="shared" si="509"/>
        <v>0</v>
      </c>
      <c r="K685" s="537"/>
      <c r="L685" s="445">
        <f t="shared" si="510"/>
        <v>0</v>
      </c>
      <c r="M685" s="542"/>
      <c r="N685" s="445">
        <f t="shared" si="511"/>
        <v>0</v>
      </c>
      <c r="O685" s="542"/>
      <c r="P685" s="445">
        <f t="shared" si="512"/>
        <v>0</v>
      </c>
      <c r="Q685" s="542"/>
      <c r="R685" s="445">
        <f t="shared" si="513"/>
        <v>0</v>
      </c>
      <c r="S685" s="542"/>
      <c r="T685" s="445">
        <f t="shared" si="514"/>
        <v>0</v>
      </c>
      <c r="V685" s="581"/>
      <c r="W685" s="582">
        <f t="shared" si="515"/>
        <v>0</v>
      </c>
      <c r="X685" s="581"/>
      <c r="Y685" s="582">
        <f t="shared" si="516"/>
        <v>0</v>
      </c>
      <c r="Z685" s="581"/>
      <c r="AA685" s="582">
        <f t="shared" si="517"/>
        <v>0</v>
      </c>
      <c r="AB685" s="581"/>
      <c r="AC685" s="582">
        <f t="shared" si="518"/>
        <v>0</v>
      </c>
      <c r="AE685" s="769">
        <f t="shared" si="481"/>
        <v>0</v>
      </c>
    </row>
    <row r="686" spans="1:31" ht="15" hidden="1" customHeight="1" x14ac:dyDescent="0.2">
      <c r="A686" s="611" t="s">
        <v>1770</v>
      </c>
      <c r="B686" s="601" t="s">
        <v>1771</v>
      </c>
      <c r="C686" s="611" t="s">
        <v>111</v>
      </c>
      <c r="D686" s="576">
        <f t="shared" si="507"/>
        <v>0</v>
      </c>
      <c r="E686" s="577">
        <f t="shared" si="483"/>
        <v>0</v>
      </c>
      <c r="F686" s="577">
        <f t="shared" si="508"/>
        <v>0</v>
      </c>
      <c r="G686" s="578"/>
      <c r="I686" s="597"/>
      <c r="J686" s="598">
        <f t="shared" si="509"/>
        <v>0</v>
      </c>
      <c r="K686" s="537"/>
      <c r="L686" s="445">
        <f t="shared" si="510"/>
        <v>0</v>
      </c>
      <c r="M686" s="542"/>
      <c r="N686" s="445">
        <f t="shared" si="511"/>
        <v>0</v>
      </c>
      <c r="O686" s="542"/>
      <c r="P686" s="445">
        <f t="shared" si="512"/>
        <v>0</v>
      </c>
      <c r="Q686" s="542"/>
      <c r="R686" s="445">
        <f t="shared" si="513"/>
        <v>0</v>
      </c>
      <c r="S686" s="542"/>
      <c r="T686" s="445">
        <f t="shared" si="514"/>
        <v>0</v>
      </c>
      <c r="V686" s="581"/>
      <c r="W686" s="582">
        <f t="shared" si="515"/>
        <v>0</v>
      </c>
      <c r="X686" s="581"/>
      <c r="Y686" s="582">
        <f t="shared" si="516"/>
        <v>0</v>
      </c>
      <c r="Z686" s="581"/>
      <c r="AA686" s="582">
        <f t="shared" si="517"/>
        <v>0</v>
      </c>
      <c r="AB686" s="581"/>
      <c r="AC686" s="582">
        <f t="shared" si="518"/>
        <v>0</v>
      </c>
      <c r="AE686" s="769">
        <f t="shared" si="481"/>
        <v>0</v>
      </c>
    </row>
    <row r="687" spans="1:31" ht="15" hidden="1" customHeight="1" x14ac:dyDescent="0.2">
      <c r="A687" s="572" t="s">
        <v>1772</v>
      </c>
      <c r="B687" s="573" t="s">
        <v>598</v>
      </c>
      <c r="C687" s="611"/>
      <c r="D687" s="576"/>
      <c r="E687" s="577"/>
      <c r="F687" s="626">
        <f>+ROUND(SUM(F688:F689),10)</f>
        <v>0</v>
      </c>
      <c r="G687" s="578"/>
      <c r="I687" s="613"/>
      <c r="J687" s="440">
        <f>ROUND(SUM(J688:J689),10)</f>
        <v>0</v>
      </c>
      <c r="K687" s="537"/>
      <c r="L687" s="180">
        <f>ROUND(SUM(L688:L689),10)</f>
        <v>0</v>
      </c>
      <c r="M687" s="542"/>
      <c r="N687" s="180">
        <f>ROUND(SUM(N688:N689),10)</f>
        <v>0</v>
      </c>
      <c r="O687" s="542"/>
      <c r="P687" s="180">
        <f>ROUND(SUM(P688:P689),10)</f>
        <v>0</v>
      </c>
      <c r="Q687" s="542"/>
      <c r="R687" s="180">
        <f>ROUND(SUM(R688:R689),10)</f>
        <v>0</v>
      </c>
      <c r="S687" s="542"/>
      <c r="T687" s="180">
        <f>ROUND(SUM(T688:T689),10)</f>
        <v>0</v>
      </c>
      <c r="V687" s="581"/>
      <c r="W687" s="570">
        <f>ROUND(SUM(W688:W689),10)</f>
        <v>0</v>
      </c>
      <c r="X687" s="581"/>
      <c r="Y687" s="570">
        <f>ROUND(SUM(Y688:Y689),10)</f>
        <v>0</v>
      </c>
      <c r="Z687" s="581"/>
      <c r="AA687" s="570">
        <f>ROUND(SUM(AA688:AA689),10)</f>
        <v>0</v>
      </c>
      <c r="AB687" s="581"/>
      <c r="AC687" s="570">
        <f>ROUND(SUM(AC688:AC689),10)</f>
        <v>0</v>
      </c>
      <c r="AE687" s="769">
        <f t="shared" si="481"/>
        <v>0</v>
      </c>
    </row>
    <row r="688" spans="1:31" ht="15" hidden="1" customHeight="1" x14ac:dyDescent="0.2">
      <c r="A688" s="611" t="s">
        <v>1773</v>
      </c>
      <c r="B688" s="601" t="s">
        <v>1774</v>
      </c>
      <c r="C688" s="611" t="s">
        <v>111</v>
      </c>
      <c r="D688" s="576">
        <f>+I688+K688+M688+O688+Q688+S688</f>
        <v>0</v>
      </c>
      <c r="E688" s="577">
        <f t="shared" si="483"/>
        <v>0</v>
      </c>
      <c r="F688" s="577">
        <f>ROUND(D688*E688,10)</f>
        <v>0</v>
      </c>
      <c r="G688" s="578"/>
      <c r="I688" s="594"/>
      <c r="J688" s="580">
        <f>+ROUND(E688*I688,10)</f>
        <v>0</v>
      </c>
      <c r="K688" s="537"/>
      <c r="L688" s="445">
        <f>+ROUND(E688*K688,10)</f>
        <v>0</v>
      </c>
      <c r="M688" s="542"/>
      <c r="N688" s="445">
        <f>+ROUND(E688*M688,10)</f>
        <v>0</v>
      </c>
      <c r="O688" s="542"/>
      <c r="P688" s="445">
        <f>+ROUND(E688*O688,10)</f>
        <v>0</v>
      </c>
      <c r="Q688" s="542"/>
      <c r="R688" s="445">
        <f>+ROUND(E688*Q688,10)</f>
        <v>0</v>
      </c>
      <c r="S688" s="542"/>
      <c r="T688" s="445">
        <f>+ROUND(E688*S688,10)</f>
        <v>0</v>
      </c>
      <c r="V688" s="581"/>
      <c r="W688" s="582">
        <f>ROUND(V688*$D688,10)</f>
        <v>0</v>
      </c>
      <c r="X688" s="581"/>
      <c r="Y688" s="582">
        <f>ROUND(X688*$D688,10)</f>
        <v>0</v>
      </c>
      <c r="Z688" s="581"/>
      <c r="AA688" s="582">
        <f>ROUND(Z688*$D688,10)</f>
        <v>0</v>
      </c>
      <c r="AB688" s="581"/>
      <c r="AC688" s="582">
        <f>ROUND(AB688*$D688,10)</f>
        <v>0</v>
      </c>
      <c r="AE688" s="769">
        <f t="shared" si="481"/>
        <v>0</v>
      </c>
    </row>
    <row r="689" spans="1:31" ht="15" hidden="1" customHeight="1" thickBot="1" x14ac:dyDescent="0.25">
      <c r="A689" s="611" t="s">
        <v>1775</v>
      </c>
      <c r="B689" s="601" t="s">
        <v>1776</v>
      </c>
      <c r="C689" s="611" t="s">
        <v>111</v>
      </c>
      <c r="D689" s="576">
        <f>+I689+K689+M689+O689+Q689+S689</f>
        <v>0</v>
      </c>
      <c r="E689" s="577">
        <f t="shared" si="483"/>
        <v>0</v>
      </c>
      <c r="F689" s="577">
        <f>ROUND(D689*E689,10)</f>
        <v>0</v>
      </c>
      <c r="G689" s="578"/>
      <c r="I689" s="602"/>
      <c r="J689" s="603">
        <f>+ROUND(E689*I689,10)</f>
        <v>0</v>
      </c>
      <c r="K689" s="537"/>
      <c r="L689" s="445">
        <f>+ROUND(E689*K689,10)</f>
        <v>0</v>
      </c>
      <c r="M689" s="542"/>
      <c r="N689" s="445">
        <f>+ROUND(E689*M689,10)</f>
        <v>0</v>
      </c>
      <c r="O689" s="542"/>
      <c r="P689" s="445">
        <f>+ROUND(E689*O689,10)</f>
        <v>0</v>
      </c>
      <c r="Q689" s="542"/>
      <c r="R689" s="445">
        <f>+ROUND(E689*Q689,10)</f>
        <v>0</v>
      </c>
      <c r="S689" s="542"/>
      <c r="T689" s="445">
        <f>+ROUND(E689*S689,10)</f>
        <v>0</v>
      </c>
      <c r="V689" s="581"/>
      <c r="W689" s="582">
        <f>ROUND(V689*$D689,10)</f>
        <v>0</v>
      </c>
      <c r="X689" s="581"/>
      <c r="Y689" s="582">
        <f>ROUND(X689*$D689,10)</f>
        <v>0</v>
      </c>
      <c r="Z689" s="581"/>
      <c r="AA689" s="582">
        <f>ROUND(Z689*$D689,10)</f>
        <v>0</v>
      </c>
      <c r="AB689" s="581"/>
      <c r="AC689" s="582">
        <f>ROUND(AB689*$D689,10)</f>
        <v>0</v>
      </c>
      <c r="AE689" s="769">
        <f t="shared" si="481"/>
        <v>0</v>
      </c>
    </row>
    <row r="690" spans="1:31" ht="15" hidden="1" customHeight="1" thickTop="1" x14ac:dyDescent="0.2">
      <c r="A690" s="611"/>
      <c r="B690" s="601"/>
      <c r="C690" s="611"/>
      <c r="D690" s="576"/>
      <c r="E690" s="577"/>
      <c r="F690" s="577"/>
      <c r="G690" s="578"/>
      <c r="I690" s="604"/>
      <c r="J690" s="635"/>
      <c r="K690" s="537"/>
      <c r="L690" s="445"/>
      <c r="M690" s="542"/>
      <c r="N690" s="445"/>
      <c r="O690" s="542"/>
      <c r="P690" s="445"/>
      <c r="Q690" s="542"/>
      <c r="R690" s="445"/>
      <c r="S690" s="542"/>
      <c r="T690" s="445"/>
      <c r="V690" s="581"/>
      <c r="W690" s="582"/>
      <c r="X690" s="581"/>
      <c r="Y690" s="582"/>
      <c r="Z690" s="581"/>
      <c r="AA690" s="582"/>
      <c r="AB690" s="581"/>
      <c r="AC690" s="582"/>
      <c r="AE690" s="769">
        <f t="shared" si="481"/>
        <v>0</v>
      </c>
    </row>
    <row r="691" spans="1:31" s="657" customFormat="1" ht="6.75" customHeight="1" thickBot="1" x14ac:dyDescent="0.25">
      <c r="A691" s="919"/>
      <c r="B691" s="920"/>
      <c r="C691" s="919"/>
      <c r="D691" s="655"/>
      <c r="E691" s="656"/>
      <c r="F691" s="656"/>
      <c r="G691" s="656"/>
      <c r="I691" s="658"/>
      <c r="J691" s="658"/>
      <c r="K691" s="659"/>
      <c r="L691" s="658"/>
      <c r="M691" s="174"/>
      <c r="N691" s="658"/>
      <c r="O691" s="174"/>
      <c r="P691" s="658"/>
      <c r="Q691" s="174"/>
      <c r="R691" s="658"/>
      <c r="S691" s="174"/>
      <c r="T691" s="658"/>
      <c r="V691" s="667"/>
      <c r="W691" s="667"/>
      <c r="X691" s="667"/>
      <c r="Y691" s="667"/>
      <c r="Z691" s="667"/>
      <c r="AA691" s="667"/>
      <c r="AB691" s="667"/>
      <c r="AC691" s="667"/>
      <c r="AE691" s="769">
        <f t="shared" si="481"/>
        <v>0</v>
      </c>
    </row>
    <row r="692" spans="1:31" ht="30" customHeight="1" thickTop="1" thickBot="1" x14ac:dyDescent="0.25">
      <c r="A692" s="564">
        <v>16</v>
      </c>
      <c r="B692" s="1068" t="s">
        <v>1777</v>
      </c>
      <c r="C692" s="1069"/>
      <c r="D692" s="1069"/>
      <c r="E692" s="1069"/>
      <c r="F692" s="1070"/>
      <c r="G692" s="180" t="e">
        <f>+F693+F705</f>
        <v>#REF!</v>
      </c>
      <c r="H692" s="568"/>
      <c r="I692" s="616"/>
      <c r="J692" s="439" t="e">
        <f>+ROUND(J693+J705,10)</f>
        <v>#REF!</v>
      </c>
      <c r="K692" s="617"/>
      <c r="L692" s="180" t="e">
        <f>+ROUND(L693+L705,10)</f>
        <v>#REF!</v>
      </c>
      <c r="M692" s="180"/>
      <c r="N692" s="180" t="e">
        <f>+ROUND(N693+N705,10)</f>
        <v>#REF!</v>
      </c>
      <c r="O692" s="180"/>
      <c r="P692" s="180" t="e">
        <f>+ROUND(P693+P705,10)</f>
        <v>#REF!</v>
      </c>
      <c r="Q692" s="180"/>
      <c r="R692" s="180" t="e">
        <f>+ROUND(R693+R705,10)</f>
        <v>#REF!</v>
      </c>
      <c r="S692" s="180"/>
      <c r="T692" s="180" t="e">
        <f>+ROUND(T693+T705,10)</f>
        <v>#REF!</v>
      </c>
      <c r="U692" s="568"/>
      <c r="V692" s="569" t="e">
        <f>W692/$G$692</f>
        <v>#REF!</v>
      </c>
      <c r="W692" s="570" t="e">
        <f>ROUND(W693+W705,10)</f>
        <v>#REF!</v>
      </c>
      <c r="X692" s="569" t="e">
        <f>Y692/$G$692</f>
        <v>#REF!</v>
      </c>
      <c r="Y692" s="570" t="e">
        <f>ROUND(Y693+Y705,10)</f>
        <v>#REF!</v>
      </c>
      <c r="Z692" s="569" t="e">
        <f>AA692/$G$692</f>
        <v>#REF!</v>
      </c>
      <c r="AA692" s="570" t="e">
        <f>ROUND(AA693+AA705,10)</f>
        <v>#REF!</v>
      </c>
      <c r="AB692" s="569" t="e">
        <f>AC692/$G$692</f>
        <v>#REF!</v>
      </c>
      <c r="AC692" s="570" t="e">
        <f>ROUND(AC693+AC705,10)</f>
        <v>#REF!</v>
      </c>
      <c r="AE692" s="769" t="e">
        <f t="shared" si="481"/>
        <v>#REF!</v>
      </c>
    </row>
    <row r="693" spans="1:31" ht="15" customHeight="1" thickTop="1" x14ac:dyDescent="0.2">
      <c r="A693" s="572" t="s">
        <v>1778</v>
      </c>
      <c r="B693" s="573" t="s">
        <v>1779</v>
      </c>
      <c r="C693" s="846"/>
      <c r="D693" s="576"/>
      <c r="E693" s="180"/>
      <c r="F693" s="626" t="e">
        <f>+ROUND(SUM(F694:F704),10)</f>
        <v>#REF!</v>
      </c>
      <c r="G693" s="473"/>
      <c r="H693" s="568"/>
      <c r="I693" s="618"/>
      <c r="J693" s="439" t="e">
        <f>ROUND(SUM(J694:J704),10)</f>
        <v>#REF!</v>
      </c>
      <c r="K693" s="539"/>
      <c r="L693" s="180" t="e">
        <f>ROUND(SUM(L694:L704),10)</f>
        <v>#REF!</v>
      </c>
      <c r="M693" s="541"/>
      <c r="N693" s="180" t="e">
        <f>ROUND(SUM(N694:N704),10)</f>
        <v>#REF!</v>
      </c>
      <c r="O693" s="541"/>
      <c r="P693" s="180" t="e">
        <f>ROUND(SUM(P694:P704),10)</f>
        <v>#REF!</v>
      </c>
      <c r="Q693" s="541"/>
      <c r="R693" s="180" t="e">
        <f>ROUND(SUM(R694:R704),10)</f>
        <v>#REF!</v>
      </c>
      <c r="S693" s="541"/>
      <c r="T693" s="180" t="e">
        <f>ROUND(SUM(T694:T704),10)</f>
        <v>#REF!</v>
      </c>
      <c r="U693" s="568"/>
      <c r="V693" s="575"/>
      <c r="W693" s="570" t="e">
        <f>ROUND(SUM(W694:W704),10)</f>
        <v>#REF!</v>
      </c>
      <c r="X693" s="575"/>
      <c r="Y693" s="570" t="e">
        <f>ROUND(SUM(Y694:Y704),10)</f>
        <v>#REF!</v>
      </c>
      <c r="Z693" s="575"/>
      <c r="AA693" s="570" t="e">
        <f>ROUND(SUM(AA694:AA704),10)</f>
        <v>#REF!</v>
      </c>
      <c r="AB693" s="575"/>
      <c r="AC693" s="570" t="e">
        <f>ROUND(SUM(AC694:AC704),10)</f>
        <v>#REF!</v>
      </c>
      <c r="AE693" s="769" t="e">
        <f t="shared" si="481"/>
        <v>#REF!</v>
      </c>
    </row>
    <row r="694" spans="1:31" ht="15" hidden="1" customHeight="1" x14ac:dyDescent="0.2">
      <c r="A694" s="611" t="s">
        <v>1780</v>
      </c>
      <c r="B694" s="601" t="s">
        <v>1781</v>
      </c>
      <c r="C694" s="611" t="s">
        <v>111</v>
      </c>
      <c r="D694" s="576">
        <f t="shared" ref="D694:D704" si="519">+I694+K694+M694+O694+Q694+S694</f>
        <v>0</v>
      </c>
      <c r="E694" s="577">
        <f t="shared" ref="E694:E712" si="520">V694+X694+Z694+AB694</f>
        <v>0</v>
      </c>
      <c r="F694" s="577">
        <f t="shared" ref="F694:F704" si="521">ROUND(D694*E694,10)</f>
        <v>0</v>
      </c>
      <c r="G694" s="578"/>
      <c r="I694" s="594"/>
      <c r="J694" s="580">
        <f t="shared" ref="J694:J704" si="522">+ROUND(E694*I694,10)</f>
        <v>0</v>
      </c>
      <c r="K694" s="538"/>
      <c r="L694" s="445">
        <f t="shared" ref="L694:L704" si="523">+ROUND(E694*K694,10)</f>
        <v>0</v>
      </c>
      <c r="M694" s="542"/>
      <c r="N694" s="445">
        <f t="shared" ref="N694:N704" si="524">+ROUND(E694*M694,10)</f>
        <v>0</v>
      </c>
      <c r="O694" s="542"/>
      <c r="P694" s="445">
        <f t="shared" ref="P694:P704" si="525">+ROUND(E694*O694,10)</f>
        <v>0</v>
      </c>
      <c r="Q694" s="542"/>
      <c r="R694" s="445">
        <f t="shared" ref="R694:R704" si="526">+ROUND(E694*Q694,10)</f>
        <v>0</v>
      </c>
      <c r="S694" s="542"/>
      <c r="T694" s="445">
        <f t="shared" ref="T694:T704" si="527">+ROUND(E694*S694,10)</f>
        <v>0</v>
      </c>
      <c r="V694" s="581"/>
      <c r="W694" s="582">
        <f t="shared" ref="W694:W704" si="528">ROUND(V694*$D694,10)</f>
        <v>0</v>
      </c>
      <c r="X694" s="581"/>
      <c r="Y694" s="582">
        <f t="shared" ref="Y694:Y704" si="529">ROUND(X694*$D694,10)</f>
        <v>0</v>
      </c>
      <c r="Z694" s="581"/>
      <c r="AA694" s="582">
        <f t="shared" ref="AA694:AA704" si="530">ROUND(Z694*$D694,10)</f>
        <v>0</v>
      </c>
      <c r="AB694" s="581"/>
      <c r="AC694" s="582">
        <f t="shared" ref="AC694:AC704" si="531">ROUND(AB694*$D694,10)</f>
        <v>0</v>
      </c>
      <c r="AE694" s="769">
        <f t="shared" si="481"/>
        <v>0</v>
      </c>
    </row>
    <row r="695" spans="1:31" ht="15" hidden="1" customHeight="1" x14ac:dyDescent="0.2">
      <c r="A695" s="611" t="s">
        <v>1782</v>
      </c>
      <c r="B695" s="601" t="s">
        <v>1783</v>
      </c>
      <c r="C695" s="611" t="s">
        <v>111</v>
      </c>
      <c r="D695" s="576">
        <f t="shared" si="519"/>
        <v>0</v>
      </c>
      <c r="E695" s="577">
        <f t="shared" si="520"/>
        <v>0</v>
      </c>
      <c r="F695" s="577">
        <f t="shared" si="521"/>
        <v>0</v>
      </c>
      <c r="G695" s="578"/>
      <c r="I695" s="584"/>
      <c r="J695" s="585">
        <f t="shared" si="522"/>
        <v>0</v>
      </c>
      <c r="K695" s="537"/>
      <c r="L695" s="445">
        <f t="shared" si="523"/>
        <v>0</v>
      </c>
      <c r="M695" s="542"/>
      <c r="N695" s="445">
        <f t="shared" si="524"/>
        <v>0</v>
      </c>
      <c r="O695" s="542"/>
      <c r="P695" s="445">
        <f t="shared" si="525"/>
        <v>0</v>
      </c>
      <c r="Q695" s="542"/>
      <c r="R695" s="445">
        <f t="shared" si="526"/>
        <v>0</v>
      </c>
      <c r="S695" s="542"/>
      <c r="T695" s="445">
        <f t="shared" si="527"/>
        <v>0</v>
      </c>
      <c r="V695" s="581"/>
      <c r="W695" s="582">
        <f t="shared" si="528"/>
        <v>0</v>
      </c>
      <c r="X695" s="581"/>
      <c r="Y695" s="582">
        <f t="shared" si="529"/>
        <v>0</v>
      </c>
      <c r="Z695" s="581"/>
      <c r="AA695" s="582">
        <f t="shared" si="530"/>
        <v>0</v>
      </c>
      <c r="AB695" s="581"/>
      <c r="AC695" s="582">
        <f t="shared" si="531"/>
        <v>0</v>
      </c>
      <c r="AE695" s="769">
        <f t="shared" si="481"/>
        <v>0</v>
      </c>
    </row>
    <row r="696" spans="1:31" ht="32.25" customHeight="1" x14ac:dyDescent="0.2">
      <c r="A696" s="611" t="s">
        <v>1784</v>
      </c>
      <c r="B696" s="601" t="s">
        <v>1785</v>
      </c>
      <c r="C696" s="611" t="s">
        <v>111</v>
      </c>
      <c r="D696" s="576">
        <f t="shared" si="519"/>
        <v>17</v>
      </c>
      <c r="E696" s="577" t="e">
        <f t="shared" si="520"/>
        <v>#REF!</v>
      </c>
      <c r="F696" s="577" t="e">
        <f t="shared" si="521"/>
        <v>#REF!</v>
      </c>
      <c r="G696" s="578"/>
      <c r="I696" s="584"/>
      <c r="J696" s="585" t="e">
        <f t="shared" si="522"/>
        <v>#REF!</v>
      </c>
      <c r="K696" s="537"/>
      <c r="L696" s="445" t="e">
        <f t="shared" si="523"/>
        <v>#REF!</v>
      </c>
      <c r="M696" s="542"/>
      <c r="N696" s="445" t="e">
        <f t="shared" si="524"/>
        <v>#REF!</v>
      </c>
      <c r="O696" s="542">
        <v>17</v>
      </c>
      <c r="P696" s="445" t="e">
        <f t="shared" si="525"/>
        <v>#REF!</v>
      </c>
      <c r="Q696" s="542"/>
      <c r="R696" s="445" t="e">
        <f t="shared" si="526"/>
        <v>#REF!</v>
      </c>
      <c r="S696" s="542"/>
      <c r="T696" s="445" t="e">
        <f t="shared" si="527"/>
        <v>#REF!</v>
      </c>
      <c r="V696" s="581" t="e">
        <f>+#REF!</f>
        <v>#REF!</v>
      </c>
      <c r="W696" s="582" t="e">
        <f t="shared" si="528"/>
        <v>#REF!</v>
      </c>
      <c r="X696" s="581" t="e">
        <f>+#REF!</f>
        <v>#REF!</v>
      </c>
      <c r="Y696" s="582" t="e">
        <f t="shared" si="529"/>
        <v>#REF!</v>
      </c>
      <c r="Z696" s="581" t="e">
        <f>+#REF!</f>
        <v>#REF!</v>
      </c>
      <c r="AA696" s="582" t="e">
        <f t="shared" si="530"/>
        <v>#REF!</v>
      </c>
      <c r="AB696" s="581"/>
      <c r="AC696" s="582">
        <f t="shared" si="531"/>
        <v>0</v>
      </c>
      <c r="AE696" s="769" t="e">
        <f t="shared" si="481"/>
        <v>#REF!</v>
      </c>
    </row>
    <row r="697" spans="1:31" ht="15" customHeight="1" x14ac:dyDescent="0.2">
      <c r="A697" s="611" t="s">
        <v>1786</v>
      </c>
      <c r="B697" s="601" t="s">
        <v>1787</v>
      </c>
      <c r="C697" s="611" t="s">
        <v>111</v>
      </c>
      <c r="D697" s="576">
        <f t="shared" si="519"/>
        <v>6</v>
      </c>
      <c r="E697" s="577" t="e">
        <f t="shared" si="520"/>
        <v>#REF!</v>
      </c>
      <c r="F697" s="577" t="e">
        <f t="shared" si="521"/>
        <v>#REF!</v>
      </c>
      <c r="G697" s="578"/>
      <c r="I697" s="584"/>
      <c r="J697" s="585" t="e">
        <f t="shared" si="522"/>
        <v>#REF!</v>
      </c>
      <c r="K697" s="537"/>
      <c r="L697" s="445" t="e">
        <f t="shared" si="523"/>
        <v>#REF!</v>
      </c>
      <c r="M697" s="542"/>
      <c r="N697" s="445" t="e">
        <f t="shared" si="524"/>
        <v>#REF!</v>
      </c>
      <c r="O697" s="542">
        <v>6</v>
      </c>
      <c r="P697" s="445" t="e">
        <f t="shared" si="525"/>
        <v>#REF!</v>
      </c>
      <c r="Q697" s="542"/>
      <c r="R697" s="445" t="e">
        <f t="shared" si="526"/>
        <v>#REF!</v>
      </c>
      <c r="S697" s="542"/>
      <c r="T697" s="445" t="e">
        <f t="shared" si="527"/>
        <v>#REF!</v>
      </c>
      <c r="V697" s="581" t="e">
        <f>+#REF!</f>
        <v>#REF!</v>
      </c>
      <c r="W697" s="582" t="e">
        <f t="shared" si="528"/>
        <v>#REF!</v>
      </c>
      <c r="X697" s="581" t="e">
        <f>+#REF!</f>
        <v>#REF!</v>
      </c>
      <c r="Y697" s="582" t="e">
        <f t="shared" si="529"/>
        <v>#REF!</v>
      </c>
      <c r="Z697" s="581" t="e">
        <f>+#REF!</f>
        <v>#REF!</v>
      </c>
      <c r="AA697" s="582" t="e">
        <f t="shared" si="530"/>
        <v>#REF!</v>
      </c>
      <c r="AB697" s="581"/>
      <c r="AC697" s="582">
        <f t="shared" si="531"/>
        <v>0</v>
      </c>
      <c r="AE697" s="769" t="e">
        <f t="shared" si="481"/>
        <v>#REF!</v>
      </c>
    </row>
    <row r="698" spans="1:31" ht="15" customHeight="1" x14ac:dyDescent="0.2">
      <c r="A698" s="611" t="s">
        <v>1788</v>
      </c>
      <c r="B698" s="610" t="s">
        <v>1789</v>
      </c>
      <c r="C698" s="611" t="s">
        <v>111</v>
      </c>
      <c r="D698" s="576">
        <f t="shared" si="519"/>
        <v>22</v>
      </c>
      <c r="E698" s="577" t="e">
        <f t="shared" si="520"/>
        <v>#REF!</v>
      </c>
      <c r="F698" s="577" t="e">
        <f t="shared" si="521"/>
        <v>#REF!</v>
      </c>
      <c r="G698" s="578"/>
      <c r="I698" s="584"/>
      <c r="J698" s="585" t="e">
        <f t="shared" si="522"/>
        <v>#REF!</v>
      </c>
      <c r="K698" s="537"/>
      <c r="L698" s="445" t="e">
        <f t="shared" si="523"/>
        <v>#REF!</v>
      </c>
      <c r="M698" s="542"/>
      <c r="N698" s="445" t="e">
        <f t="shared" si="524"/>
        <v>#REF!</v>
      </c>
      <c r="O698" s="542">
        <v>22</v>
      </c>
      <c r="P698" s="445" t="e">
        <f t="shared" si="525"/>
        <v>#REF!</v>
      </c>
      <c r="Q698" s="542"/>
      <c r="R698" s="445" t="e">
        <f t="shared" si="526"/>
        <v>#REF!</v>
      </c>
      <c r="S698" s="542"/>
      <c r="T698" s="445" t="e">
        <f t="shared" si="527"/>
        <v>#REF!</v>
      </c>
      <c r="V698" s="581" t="e">
        <f>+#REF!</f>
        <v>#REF!</v>
      </c>
      <c r="W698" s="582" t="e">
        <f t="shared" si="528"/>
        <v>#REF!</v>
      </c>
      <c r="X698" s="581" t="e">
        <f>+#REF!</f>
        <v>#REF!</v>
      </c>
      <c r="Y698" s="582" t="e">
        <f t="shared" si="529"/>
        <v>#REF!</v>
      </c>
      <c r="Z698" s="581" t="e">
        <f>+#REF!</f>
        <v>#REF!</v>
      </c>
      <c r="AA698" s="582" t="e">
        <f t="shared" si="530"/>
        <v>#REF!</v>
      </c>
      <c r="AB698" s="581" t="e">
        <f>+#REF!</f>
        <v>#REF!</v>
      </c>
      <c r="AC698" s="582" t="e">
        <f t="shared" si="531"/>
        <v>#REF!</v>
      </c>
      <c r="AE698" s="769" t="e">
        <f t="shared" si="481"/>
        <v>#REF!</v>
      </c>
    </row>
    <row r="699" spans="1:31" ht="15" hidden="1" customHeight="1" x14ac:dyDescent="0.2">
      <c r="A699" s="611" t="s">
        <v>1790</v>
      </c>
      <c r="B699" s="601" t="s">
        <v>1791</v>
      </c>
      <c r="C699" s="611" t="s">
        <v>111</v>
      </c>
      <c r="D699" s="576">
        <f t="shared" si="519"/>
        <v>0</v>
      </c>
      <c r="E699" s="577">
        <f t="shared" si="520"/>
        <v>0</v>
      </c>
      <c r="F699" s="577">
        <f t="shared" si="521"/>
        <v>0</v>
      </c>
      <c r="G699" s="578"/>
      <c r="I699" s="584"/>
      <c r="J699" s="585">
        <f t="shared" si="522"/>
        <v>0</v>
      </c>
      <c r="K699" s="537"/>
      <c r="L699" s="445">
        <f t="shared" si="523"/>
        <v>0</v>
      </c>
      <c r="M699" s="542"/>
      <c r="N699" s="445">
        <f t="shared" si="524"/>
        <v>0</v>
      </c>
      <c r="O699" s="542"/>
      <c r="P699" s="445">
        <f t="shared" si="525"/>
        <v>0</v>
      </c>
      <c r="Q699" s="542"/>
      <c r="R699" s="445">
        <f t="shared" si="526"/>
        <v>0</v>
      </c>
      <c r="S699" s="542"/>
      <c r="T699" s="445">
        <f t="shared" si="527"/>
        <v>0</v>
      </c>
      <c r="V699" s="581"/>
      <c r="W699" s="582">
        <f t="shared" si="528"/>
        <v>0</v>
      </c>
      <c r="X699" s="581"/>
      <c r="Y699" s="582">
        <f t="shared" si="529"/>
        <v>0</v>
      </c>
      <c r="Z699" s="581"/>
      <c r="AA699" s="582">
        <f t="shared" si="530"/>
        <v>0</v>
      </c>
      <c r="AB699" s="581"/>
      <c r="AC699" s="582">
        <f t="shared" si="531"/>
        <v>0</v>
      </c>
      <c r="AE699" s="769">
        <f t="shared" si="481"/>
        <v>0</v>
      </c>
    </row>
    <row r="700" spans="1:31" ht="15" customHeight="1" x14ac:dyDescent="0.2">
      <c r="A700" s="611" t="s">
        <v>1792</v>
      </c>
      <c r="B700" s="601" t="s">
        <v>1793</v>
      </c>
      <c r="C700" s="611" t="s">
        <v>111</v>
      </c>
      <c r="D700" s="576">
        <f t="shared" si="519"/>
        <v>1</v>
      </c>
      <c r="E700" s="577" t="e">
        <f t="shared" si="520"/>
        <v>#REF!</v>
      </c>
      <c r="F700" s="577" t="e">
        <f t="shared" si="521"/>
        <v>#REF!</v>
      </c>
      <c r="G700" s="578"/>
      <c r="I700" s="584"/>
      <c r="J700" s="585" t="e">
        <f t="shared" si="522"/>
        <v>#REF!</v>
      </c>
      <c r="K700" s="537"/>
      <c r="L700" s="445" t="e">
        <f t="shared" si="523"/>
        <v>#REF!</v>
      </c>
      <c r="M700" s="542"/>
      <c r="N700" s="445" t="e">
        <f t="shared" si="524"/>
        <v>#REF!</v>
      </c>
      <c r="O700" s="542">
        <v>1</v>
      </c>
      <c r="P700" s="445" t="e">
        <f t="shared" si="525"/>
        <v>#REF!</v>
      </c>
      <c r="Q700" s="542"/>
      <c r="R700" s="445" t="e">
        <f t="shared" si="526"/>
        <v>#REF!</v>
      </c>
      <c r="S700" s="542"/>
      <c r="T700" s="445" t="e">
        <f t="shared" si="527"/>
        <v>#REF!</v>
      </c>
      <c r="V700" s="581" t="e">
        <f>+#REF!</f>
        <v>#REF!</v>
      </c>
      <c r="W700" s="582" t="e">
        <f t="shared" si="528"/>
        <v>#REF!</v>
      </c>
      <c r="X700" s="581" t="e">
        <f>+#REF!</f>
        <v>#REF!</v>
      </c>
      <c r="Y700" s="582" t="e">
        <f t="shared" si="529"/>
        <v>#REF!</v>
      </c>
      <c r="Z700" s="581" t="e">
        <f>+#REF!</f>
        <v>#REF!</v>
      </c>
      <c r="AA700" s="582" t="e">
        <f t="shared" si="530"/>
        <v>#REF!</v>
      </c>
      <c r="AB700" s="581"/>
      <c r="AC700" s="582">
        <f t="shared" si="531"/>
        <v>0</v>
      </c>
      <c r="AE700" s="769" t="e">
        <f t="shared" si="481"/>
        <v>#REF!</v>
      </c>
    </row>
    <row r="701" spans="1:31" ht="15" customHeight="1" x14ac:dyDescent="0.2">
      <c r="A701" s="611" t="s">
        <v>1794</v>
      </c>
      <c r="B701" s="601" t="s">
        <v>1795</v>
      </c>
      <c r="C701" s="611" t="s">
        <v>111</v>
      </c>
      <c r="D701" s="576">
        <f t="shared" si="519"/>
        <v>1</v>
      </c>
      <c r="E701" s="577" t="e">
        <f t="shared" si="520"/>
        <v>#REF!</v>
      </c>
      <c r="F701" s="577" t="e">
        <f t="shared" si="521"/>
        <v>#REF!</v>
      </c>
      <c r="G701" s="578"/>
      <c r="I701" s="584"/>
      <c r="J701" s="585" t="e">
        <f t="shared" si="522"/>
        <v>#REF!</v>
      </c>
      <c r="K701" s="537"/>
      <c r="L701" s="445" t="e">
        <f t="shared" si="523"/>
        <v>#REF!</v>
      </c>
      <c r="M701" s="542"/>
      <c r="N701" s="445" t="e">
        <f t="shared" si="524"/>
        <v>#REF!</v>
      </c>
      <c r="O701" s="542">
        <v>1</v>
      </c>
      <c r="P701" s="445" t="e">
        <f t="shared" si="525"/>
        <v>#REF!</v>
      </c>
      <c r="Q701" s="542"/>
      <c r="R701" s="445" t="e">
        <f t="shared" si="526"/>
        <v>#REF!</v>
      </c>
      <c r="S701" s="542"/>
      <c r="T701" s="445" t="e">
        <f t="shared" si="527"/>
        <v>#REF!</v>
      </c>
      <c r="V701" s="581" t="e">
        <f>+#REF!</f>
        <v>#REF!</v>
      </c>
      <c r="W701" s="582" t="e">
        <f t="shared" si="528"/>
        <v>#REF!</v>
      </c>
      <c r="X701" s="581" t="e">
        <f>+#REF!</f>
        <v>#REF!</v>
      </c>
      <c r="Y701" s="582" t="e">
        <f t="shared" si="529"/>
        <v>#REF!</v>
      </c>
      <c r="Z701" s="581" t="e">
        <f>+#REF!</f>
        <v>#REF!</v>
      </c>
      <c r="AA701" s="582" t="e">
        <f t="shared" si="530"/>
        <v>#REF!</v>
      </c>
      <c r="AB701" s="581" t="e">
        <f>+#REF!</f>
        <v>#REF!</v>
      </c>
      <c r="AC701" s="582" t="e">
        <f t="shared" si="531"/>
        <v>#REF!</v>
      </c>
      <c r="AE701" s="769" t="e">
        <f t="shared" si="481"/>
        <v>#REF!</v>
      </c>
    </row>
    <row r="702" spans="1:31" ht="15" customHeight="1" x14ac:dyDescent="0.2">
      <c r="A702" s="611" t="s">
        <v>1796</v>
      </c>
      <c r="B702" s="601" t="s">
        <v>1797</v>
      </c>
      <c r="C702" s="611" t="s">
        <v>111</v>
      </c>
      <c r="D702" s="576">
        <f t="shared" si="519"/>
        <v>1</v>
      </c>
      <c r="E702" s="577" t="e">
        <f t="shared" si="520"/>
        <v>#REF!</v>
      </c>
      <c r="F702" s="577" t="e">
        <f t="shared" si="521"/>
        <v>#REF!</v>
      </c>
      <c r="G702" s="578"/>
      <c r="I702" s="584"/>
      <c r="J702" s="585" t="e">
        <f t="shared" si="522"/>
        <v>#REF!</v>
      </c>
      <c r="K702" s="537"/>
      <c r="L702" s="445" t="e">
        <f t="shared" si="523"/>
        <v>#REF!</v>
      </c>
      <c r="M702" s="542">
        <v>1</v>
      </c>
      <c r="N702" s="445" t="e">
        <f t="shared" si="524"/>
        <v>#REF!</v>
      </c>
      <c r="O702" s="542"/>
      <c r="P702" s="445" t="e">
        <f t="shared" si="525"/>
        <v>#REF!</v>
      </c>
      <c r="Q702" s="542"/>
      <c r="R702" s="445" t="e">
        <f t="shared" si="526"/>
        <v>#REF!</v>
      </c>
      <c r="S702" s="542"/>
      <c r="T702" s="445" t="e">
        <f t="shared" si="527"/>
        <v>#REF!</v>
      </c>
      <c r="V702" s="581" t="e">
        <f>+'16,1,9 Duchas'!I19</f>
        <v>#REF!</v>
      </c>
      <c r="W702" s="582" t="e">
        <f t="shared" si="528"/>
        <v>#REF!</v>
      </c>
      <c r="X702" s="581">
        <f>+'16,1,9 Duchas'!I50</f>
        <v>32210.74</v>
      </c>
      <c r="Y702" s="582">
        <f t="shared" si="529"/>
        <v>32210.74</v>
      </c>
      <c r="Z702" s="581">
        <f>+'16,1,9 Duchas'!I30</f>
        <v>742</v>
      </c>
      <c r="AA702" s="582">
        <f t="shared" si="530"/>
        <v>742</v>
      </c>
      <c r="AB702" s="581">
        <f>+'16,1,9 Duchas'!I41</f>
        <v>0</v>
      </c>
      <c r="AC702" s="582">
        <f t="shared" si="531"/>
        <v>0</v>
      </c>
      <c r="AE702" s="769" t="e">
        <f t="shared" si="481"/>
        <v>#REF!</v>
      </c>
    </row>
    <row r="703" spans="1:31" ht="15" hidden="1" customHeight="1" x14ac:dyDescent="0.2">
      <c r="A703" s="611" t="s">
        <v>1798</v>
      </c>
      <c r="B703" s="601" t="s">
        <v>1799</v>
      </c>
      <c r="C703" s="611" t="s">
        <v>111</v>
      </c>
      <c r="D703" s="576">
        <f t="shared" si="519"/>
        <v>0</v>
      </c>
      <c r="E703" s="577">
        <f t="shared" si="520"/>
        <v>0</v>
      </c>
      <c r="F703" s="577">
        <f t="shared" si="521"/>
        <v>0</v>
      </c>
      <c r="G703" s="578"/>
      <c r="I703" s="584"/>
      <c r="J703" s="585">
        <f t="shared" si="522"/>
        <v>0</v>
      </c>
      <c r="K703" s="537"/>
      <c r="L703" s="445">
        <f t="shared" si="523"/>
        <v>0</v>
      </c>
      <c r="M703" s="542"/>
      <c r="N703" s="445">
        <f t="shared" si="524"/>
        <v>0</v>
      </c>
      <c r="O703" s="542"/>
      <c r="P703" s="445">
        <f t="shared" si="525"/>
        <v>0</v>
      </c>
      <c r="Q703" s="542"/>
      <c r="R703" s="445">
        <f t="shared" si="526"/>
        <v>0</v>
      </c>
      <c r="S703" s="542"/>
      <c r="T703" s="445">
        <f t="shared" si="527"/>
        <v>0</v>
      </c>
      <c r="V703" s="581"/>
      <c r="W703" s="582">
        <f t="shared" si="528"/>
        <v>0</v>
      </c>
      <c r="X703" s="581"/>
      <c r="Y703" s="582">
        <f t="shared" si="529"/>
        <v>0</v>
      </c>
      <c r="Z703" s="581"/>
      <c r="AA703" s="582">
        <f t="shared" si="530"/>
        <v>0</v>
      </c>
      <c r="AB703" s="581"/>
      <c r="AC703" s="582">
        <f t="shared" si="531"/>
        <v>0</v>
      </c>
      <c r="AE703" s="769">
        <f t="shared" si="481"/>
        <v>0</v>
      </c>
    </row>
    <row r="704" spans="1:31" ht="15" customHeight="1" x14ac:dyDescent="0.2">
      <c r="A704" s="611" t="s">
        <v>1800</v>
      </c>
      <c r="B704" s="601" t="s">
        <v>1801</v>
      </c>
      <c r="C704" s="611" t="s">
        <v>111</v>
      </c>
      <c r="D704" s="576">
        <f t="shared" si="519"/>
        <v>8</v>
      </c>
      <c r="E704" s="577" t="e">
        <f t="shared" si="520"/>
        <v>#REF!</v>
      </c>
      <c r="F704" s="577" t="e">
        <f t="shared" si="521"/>
        <v>#REF!</v>
      </c>
      <c r="G704" s="578"/>
      <c r="I704" s="597"/>
      <c r="J704" s="598" t="e">
        <f t="shared" si="522"/>
        <v>#REF!</v>
      </c>
      <c r="K704" s="537"/>
      <c r="L704" s="445" t="e">
        <f t="shared" si="523"/>
        <v>#REF!</v>
      </c>
      <c r="M704" s="542">
        <v>8</v>
      </c>
      <c r="N704" s="445" t="e">
        <f t="shared" si="524"/>
        <v>#REF!</v>
      </c>
      <c r="O704" s="542"/>
      <c r="P704" s="445" t="e">
        <f t="shared" si="525"/>
        <v>#REF!</v>
      </c>
      <c r="Q704" s="542"/>
      <c r="R704" s="445" t="e">
        <f t="shared" si="526"/>
        <v>#REF!</v>
      </c>
      <c r="S704" s="542"/>
      <c r="T704" s="445" t="e">
        <f t="shared" si="527"/>
        <v>#REF!</v>
      </c>
      <c r="V704" s="581" t="e">
        <f>+'16,1,11 POCETA'!I19</f>
        <v>#REF!</v>
      </c>
      <c r="W704" s="582" t="e">
        <f t="shared" si="528"/>
        <v>#REF!</v>
      </c>
      <c r="X704" s="581">
        <f>+'16,1,11 POCETA'!I50</f>
        <v>29909.98</v>
      </c>
      <c r="Y704" s="582">
        <f t="shared" si="529"/>
        <v>239279.84</v>
      </c>
      <c r="Z704" s="581">
        <f>+'16,1,11 POCETA'!I30</f>
        <v>185.5</v>
      </c>
      <c r="AA704" s="582">
        <f t="shared" si="530"/>
        <v>1484</v>
      </c>
      <c r="AB704" s="581">
        <f>+'16,1,11 POCETA'!I41</f>
        <v>0</v>
      </c>
      <c r="AC704" s="582">
        <f t="shared" si="531"/>
        <v>0</v>
      </c>
      <c r="AE704" s="769" t="e">
        <f t="shared" si="481"/>
        <v>#REF!</v>
      </c>
    </row>
    <row r="705" spans="1:32" ht="15" customHeight="1" x14ac:dyDescent="0.2">
      <c r="A705" s="572" t="s">
        <v>1802</v>
      </c>
      <c r="B705" s="573" t="s">
        <v>1803</v>
      </c>
      <c r="C705" s="846"/>
      <c r="D705" s="576"/>
      <c r="E705" s="577"/>
      <c r="F705" s="626" t="e">
        <f>+ROUND(SUM(F706:F712),10)</f>
        <v>#REF!</v>
      </c>
      <c r="G705" s="473"/>
      <c r="H705" s="568"/>
      <c r="I705" s="613"/>
      <c r="J705" s="440" t="e">
        <f>ROUND(SUM(J706:J712),10)</f>
        <v>#REF!</v>
      </c>
      <c r="K705" s="537"/>
      <c r="L705" s="180" t="e">
        <f>ROUND(SUM(L706:L712),10)</f>
        <v>#REF!</v>
      </c>
      <c r="M705" s="542"/>
      <c r="N705" s="180" t="e">
        <f>ROUND(SUM(N706:N712),10)</f>
        <v>#REF!</v>
      </c>
      <c r="O705" s="542"/>
      <c r="P705" s="180" t="e">
        <f>ROUND(SUM(P706:P712),10)</f>
        <v>#REF!</v>
      </c>
      <c r="Q705" s="542"/>
      <c r="R705" s="180" t="e">
        <f>ROUND(SUM(R706:R712),10)</f>
        <v>#REF!</v>
      </c>
      <c r="S705" s="542"/>
      <c r="T705" s="180" t="e">
        <f>ROUND(SUM(T706:T712),10)</f>
        <v>#REF!</v>
      </c>
      <c r="U705" s="568"/>
      <c r="V705" s="575"/>
      <c r="W705" s="570" t="e">
        <f>ROUND(SUM(W706:W712),10)</f>
        <v>#REF!</v>
      </c>
      <c r="X705" s="575"/>
      <c r="Y705" s="570" t="e">
        <f>ROUND(SUM(Y706:Y712),10)</f>
        <v>#REF!</v>
      </c>
      <c r="Z705" s="575"/>
      <c r="AA705" s="570" t="e">
        <f>ROUND(SUM(AA706:AA712),10)</f>
        <v>#REF!</v>
      </c>
      <c r="AB705" s="575"/>
      <c r="AC705" s="570" t="e">
        <f>ROUND(SUM(AC706:AC712),10)</f>
        <v>#REF!</v>
      </c>
      <c r="AE705" s="769" t="e">
        <f t="shared" si="481"/>
        <v>#REF!</v>
      </c>
    </row>
    <row r="706" spans="1:32" ht="25.5" hidden="1" customHeight="1" x14ac:dyDescent="0.2">
      <c r="A706" s="611" t="s">
        <v>1804</v>
      </c>
      <c r="B706" s="610" t="s">
        <v>1805</v>
      </c>
      <c r="C706" s="611" t="s">
        <v>111</v>
      </c>
      <c r="D706" s="576">
        <f t="shared" ref="D706:D712" si="532">+I706+K706+M706+O706+Q706+S706</f>
        <v>0</v>
      </c>
      <c r="E706" s="577" t="e">
        <f t="shared" si="520"/>
        <v>#REF!</v>
      </c>
      <c r="F706" s="577" t="e">
        <f t="shared" ref="F706:F712" si="533">ROUND(D706*E706,10)</f>
        <v>#REF!</v>
      </c>
      <c r="G706" s="578"/>
      <c r="I706" s="594"/>
      <c r="J706" s="580" t="e">
        <f t="shared" ref="J706:J712" si="534">+ROUND(E706*I706,10)</f>
        <v>#REF!</v>
      </c>
      <c r="K706" s="537"/>
      <c r="L706" s="445" t="e">
        <f t="shared" ref="L706:L712" si="535">+ROUND(E706*K706,10)</f>
        <v>#REF!</v>
      </c>
      <c r="M706" s="542"/>
      <c r="N706" s="445" t="e">
        <f t="shared" ref="N706:N712" si="536">+ROUND(E706*M706,10)</f>
        <v>#REF!</v>
      </c>
      <c r="O706" s="542"/>
      <c r="P706" s="445" t="e">
        <f t="shared" ref="P706:P712" si="537">+ROUND(E706*O706,10)</f>
        <v>#REF!</v>
      </c>
      <c r="Q706" s="542"/>
      <c r="R706" s="445" t="e">
        <f t="shared" ref="R706:R712" si="538">+ROUND(E706*Q706,10)</f>
        <v>#REF!</v>
      </c>
      <c r="S706" s="542"/>
      <c r="T706" s="445" t="e">
        <f t="shared" ref="T706:T712" si="539">+ROUND(E706*S706,10)</f>
        <v>#REF!</v>
      </c>
      <c r="V706" s="581" t="e">
        <f>+'16,2,1 Pocetas Aseo'!I19</f>
        <v>#REF!</v>
      </c>
      <c r="W706" s="582" t="e">
        <f t="shared" ref="W706:W712" si="540">ROUND(V706*$D706,10)</f>
        <v>#REF!</v>
      </c>
      <c r="X706" s="581">
        <f>+'16,2,1 Pocetas Aseo'!I50</f>
        <v>114201.73</v>
      </c>
      <c r="Y706" s="582">
        <f t="shared" ref="Y706:Y712" si="541">ROUND(X706*$D706,10)</f>
        <v>0</v>
      </c>
      <c r="Z706" s="581">
        <f>+'16,2,1 Pocetas Aseo'!I30</f>
        <v>2040.5</v>
      </c>
      <c r="AA706" s="582">
        <f t="shared" ref="AA706:AA712" si="542">ROUND(Z706*$D706,10)</f>
        <v>0</v>
      </c>
      <c r="AB706" s="581">
        <f>+'16,2,1 Pocetas Aseo'!I41</f>
        <v>0</v>
      </c>
      <c r="AC706" s="582">
        <f t="shared" ref="AC706:AC712" si="543">ROUND(AB706*$D706,10)</f>
        <v>0</v>
      </c>
      <c r="AE706" s="769" t="e">
        <f t="shared" si="481"/>
        <v>#REF!</v>
      </c>
    </row>
    <row r="707" spans="1:32" ht="15" hidden="1" customHeight="1" x14ac:dyDescent="0.2">
      <c r="A707" s="611" t="s">
        <v>1806</v>
      </c>
      <c r="B707" s="601"/>
      <c r="C707" s="611" t="s">
        <v>111</v>
      </c>
      <c r="D707" s="576">
        <f t="shared" si="532"/>
        <v>0</v>
      </c>
      <c r="E707" s="577">
        <f t="shared" si="520"/>
        <v>0</v>
      </c>
      <c r="F707" s="577">
        <f t="shared" si="533"/>
        <v>0</v>
      </c>
      <c r="G707" s="578"/>
      <c r="I707" s="584"/>
      <c r="J707" s="585">
        <f t="shared" si="534"/>
        <v>0</v>
      </c>
      <c r="K707" s="537"/>
      <c r="L707" s="445">
        <f t="shared" si="535"/>
        <v>0</v>
      </c>
      <c r="M707" s="542"/>
      <c r="N707" s="445">
        <f t="shared" si="536"/>
        <v>0</v>
      </c>
      <c r="O707" s="542"/>
      <c r="P707" s="445">
        <f t="shared" si="537"/>
        <v>0</v>
      </c>
      <c r="Q707" s="542"/>
      <c r="R707" s="445">
        <f t="shared" si="538"/>
        <v>0</v>
      </c>
      <c r="S707" s="542"/>
      <c r="T707" s="445">
        <f t="shared" si="539"/>
        <v>0</v>
      </c>
      <c r="V707" s="581"/>
      <c r="W707" s="582">
        <f t="shared" si="540"/>
        <v>0</v>
      </c>
      <c r="X707" s="581"/>
      <c r="Y707" s="582">
        <f t="shared" si="541"/>
        <v>0</v>
      </c>
      <c r="Z707" s="581"/>
      <c r="AA707" s="582">
        <f t="shared" si="542"/>
        <v>0</v>
      </c>
      <c r="AB707" s="581"/>
      <c r="AC707" s="582">
        <f t="shared" si="543"/>
        <v>0</v>
      </c>
      <c r="AE707" s="769">
        <f t="shared" si="481"/>
        <v>0</v>
      </c>
    </row>
    <row r="708" spans="1:32" ht="15" hidden="1" customHeight="1" x14ac:dyDescent="0.2">
      <c r="A708" s="611" t="s">
        <v>1807</v>
      </c>
      <c r="B708" s="601" t="s">
        <v>1808</v>
      </c>
      <c r="C708" s="611" t="s">
        <v>111</v>
      </c>
      <c r="D708" s="576">
        <f t="shared" si="532"/>
        <v>0</v>
      </c>
      <c r="E708" s="577">
        <f t="shared" si="520"/>
        <v>0</v>
      </c>
      <c r="F708" s="577">
        <f t="shared" si="533"/>
        <v>0</v>
      </c>
      <c r="G708" s="578"/>
      <c r="I708" s="584"/>
      <c r="J708" s="585">
        <f t="shared" si="534"/>
        <v>0</v>
      </c>
      <c r="K708" s="537"/>
      <c r="L708" s="445">
        <f t="shared" si="535"/>
        <v>0</v>
      </c>
      <c r="M708" s="542"/>
      <c r="N708" s="445">
        <f t="shared" si="536"/>
        <v>0</v>
      </c>
      <c r="O708" s="542"/>
      <c r="P708" s="445">
        <f t="shared" si="537"/>
        <v>0</v>
      </c>
      <c r="Q708" s="542"/>
      <c r="R708" s="445">
        <f t="shared" si="538"/>
        <v>0</v>
      </c>
      <c r="S708" s="542"/>
      <c r="T708" s="445">
        <f t="shared" si="539"/>
        <v>0</v>
      </c>
      <c r="V708" s="581"/>
      <c r="W708" s="582">
        <f t="shared" si="540"/>
        <v>0</v>
      </c>
      <c r="X708" s="581"/>
      <c r="Y708" s="582">
        <f t="shared" si="541"/>
        <v>0</v>
      </c>
      <c r="Z708" s="581"/>
      <c r="AA708" s="582">
        <f t="shared" si="542"/>
        <v>0</v>
      </c>
      <c r="AB708" s="581"/>
      <c r="AC708" s="582">
        <f t="shared" si="543"/>
        <v>0</v>
      </c>
      <c r="AE708" s="769">
        <f t="shared" si="481"/>
        <v>0</v>
      </c>
    </row>
    <row r="709" spans="1:32" ht="15" hidden="1" customHeight="1" x14ac:dyDescent="0.2">
      <c r="A709" s="611" t="s">
        <v>1809</v>
      </c>
      <c r="B709" s="601" t="s">
        <v>1810</v>
      </c>
      <c r="C709" s="611" t="s">
        <v>111</v>
      </c>
      <c r="D709" s="576">
        <f t="shared" si="532"/>
        <v>0</v>
      </c>
      <c r="E709" s="577">
        <f t="shared" si="520"/>
        <v>0</v>
      </c>
      <c r="F709" s="577">
        <f t="shared" si="533"/>
        <v>0</v>
      </c>
      <c r="G709" s="578"/>
      <c r="I709" s="584"/>
      <c r="J709" s="585">
        <f t="shared" si="534"/>
        <v>0</v>
      </c>
      <c r="K709" s="537"/>
      <c r="L709" s="445">
        <f t="shared" si="535"/>
        <v>0</v>
      </c>
      <c r="M709" s="542"/>
      <c r="N709" s="445">
        <f t="shared" si="536"/>
        <v>0</v>
      </c>
      <c r="O709" s="542"/>
      <c r="P709" s="445">
        <f t="shared" si="537"/>
        <v>0</v>
      </c>
      <c r="Q709" s="542"/>
      <c r="R709" s="445">
        <f t="shared" si="538"/>
        <v>0</v>
      </c>
      <c r="S709" s="542"/>
      <c r="T709" s="445">
        <f t="shared" si="539"/>
        <v>0</v>
      </c>
      <c r="V709" s="581"/>
      <c r="W709" s="582">
        <f t="shared" si="540"/>
        <v>0</v>
      </c>
      <c r="X709" s="581"/>
      <c r="Y709" s="582">
        <f t="shared" si="541"/>
        <v>0</v>
      </c>
      <c r="Z709" s="581"/>
      <c r="AA709" s="582">
        <f t="shared" si="542"/>
        <v>0</v>
      </c>
      <c r="AB709" s="581"/>
      <c r="AC709" s="582">
        <f t="shared" si="543"/>
        <v>0</v>
      </c>
      <c r="AE709" s="769">
        <f t="shared" si="481"/>
        <v>0</v>
      </c>
    </row>
    <row r="710" spans="1:32" ht="15" hidden="1" customHeight="1" x14ac:dyDescent="0.2">
      <c r="A710" s="611" t="s">
        <v>1811</v>
      </c>
      <c r="B710" s="601" t="s">
        <v>1812</v>
      </c>
      <c r="C710" s="611" t="s">
        <v>111</v>
      </c>
      <c r="D710" s="576">
        <f t="shared" si="532"/>
        <v>0</v>
      </c>
      <c r="E710" s="577" t="e">
        <f t="shared" si="520"/>
        <v>#REF!</v>
      </c>
      <c r="F710" s="577" t="e">
        <f t="shared" si="533"/>
        <v>#REF!</v>
      </c>
      <c r="G710" s="578"/>
      <c r="I710" s="584"/>
      <c r="J710" s="585" t="e">
        <f t="shared" si="534"/>
        <v>#REF!</v>
      </c>
      <c r="K710" s="537"/>
      <c r="L710" s="445" t="e">
        <f t="shared" si="535"/>
        <v>#REF!</v>
      </c>
      <c r="M710" s="542"/>
      <c r="N710" s="445" t="e">
        <f t="shared" si="536"/>
        <v>#REF!</v>
      </c>
      <c r="O710" s="542"/>
      <c r="P710" s="445" t="e">
        <f t="shared" si="537"/>
        <v>#REF!</v>
      </c>
      <c r="Q710" s="542"/>
      <c r="R710" s="445" t="e">
        <f t="shared" si="538"/>
        <v>#REF!</v>
      </c>
      <c r="S710" s="542"/>
      <c r="T710" s="445" t="e">
        <f t="shared" si="539"/>
        <v>#REF!</v>
      </c>
      <c r="V710" s="581" t="e">
        <f>+'16,2,5 Llave Terminal'!I19</f>
        <v>#REF!</v>
      </c>
      <c r="W710" s="582" t="e">
        <f t="shared" si="540"/>
        <v>#REF!</v>
      </c>
      <c r="X710" s="581">
        <f>+'16,2,5 Llave Terminal'!I50</f>
        <v>4187.3999999999996</v>
      </c>
      <c r="Y710" s="582">
        <f t="shared" si="541"/>
        <v>0</v>
      </c>
      <c r="Z710" s="581">
        <f>+'16,2,5 Llave Terminal'!I30</f>
        <v>371</v>
      </c>
      <c r="AA710" s="582">
        <f t="shared" si="542"/>
        <v>0</v>
      </c>
      <c r="AB710" s="581"/>
      <c r="AC710" s="582">
        <f t="shared" si="543"/>
        <v>0</v>
      </c>
      <c r="AE710" s="769" t="e">
        <f t="shared" si="481"/>
        <v>#REF!</v>
      </c>
    </row>
    <row r="711" spans="1:32" ht="15" customHeight="1" x14ac:dyDescent="0.2">
      <c r="A711" s="611" t="s">
        <v>1813</v>
      </c>
      <c r="B711" s="610" t="s">
        <v>1814</v>
      </c>
      <c r="C711" s="611" t="s">
        <v>111</v>
      </c>
      <c r="D711" s="576">
        <f>SUM(K711,O711,Q711,S711)</f>
        <v>23</v>
      </c>
      <c r="E711" s="577" t="e">
        <f t="shared" si="520"/>
        <v>#REF!</v>
      </c>
      <c r="F711" s="577" t="e">
        <f t="shared" si="533"/>
        <v>#REF!</v>
      </c>
      <c r="G711" s="578"/>
      <c r="I711" s="584"/>
      <c r="J711" s="585" t="e">
        <f t="shared" si="534"/>
        <v>#REF!</v>
      </c>
      <c r="K711" s="537"/>
      <c r="L711" s="445" t="e">
        <f t="shared" si="535"/>
        <v>#REF!</v>
      </c>
      <c r="M711" s="542"/>
      <c r="N711" s="445" t="e">
        <f t="shared" si="536"/>
        <v>#REF!</v>
      </c>
      <c r="O711" s="542">
        <v>23</v>
      </c>
      <c r="P711" s="445" t="e">
        <f t="shared" si="537"/>
        <v>#REF!</v>
      </c>
      <c r="Q711" s="542"/>
      <c r="R711" s="445" t="e">
        <f t="shared" si="538"/>
        <v>#REF!</v>
      </c>
      <c r="S711" s="542"/>
      <c r="T711" s="445" t="e">
        <f t="shared" si="539"/>
        <v>#REF!</v>
      </c>
      <c r="V711" s="581" t="e">
        <f>+#REF!</f>
        <v>#REF!</v>
      </c>
      <c r="W711" s="582" t="e">
        <f t="shared" si="540"/>
        <v>#REF!</v>
      </c>
      <c r="X711" s="581" t="e">
        <f>+#REF!</f>
        <v>#REF!</v>
      </c>
      <c r="Y711" s="582" t="e">
        <f t="shared" si="541"/>
        <v>#REF!</v>
      </c>
      <c r="Z711" s="581" t="e">
        <f>+#REF!</f>
        <v>#REF!</v>
      </c>
      <c r="AA711" s="582" t="e">
        <f>ROUND(Z711*$D711,10)</f>
        <v>#REF!</v>
      </c>
      <c r="AB711" s="581" t="e">
        <f>#REF!</f>
        <v>#REF!</v>
      </c>
      <c r="AC711" s="582" t="e">
        <f t="shared" si="543"/>
        <v>#REF!</v>
      </c>
      <c r="AE711" s="769" t="e">
        <f>SUM(AC711,AA711,Y711,W711)-SUM(T711,R711,P711,N711,L711)</f>
        <v>#REF!</v>
      </c>
      <c r="AF711" s="555"/>
    </row>
    <row r="712" spans="1:32" ht="15" customHeight="1" thickBot="1" x14ac:dyDescent="0.25">
      <c r="A712" s="611" t="s">
        <v>1815</v>
      </c>
      <c r="B712" s="601" t="s">
        <v>1816</v>
      </c>
      <c r="C712" s="611" t="s">
        <v>111</v>
      </c>
      <c r="D712" s="576">
        <f t="shared" si="532"/>
        <v>1</v>
      </c>
      <c r="E712" s="577" t="e">
        <f t="shared" si="520"/>
        <v>#REF!</v>
      </c>
      <c r="F712" s="577" t="e">
        <f t="shared" si="533"/>
        <v>#REF!</v>
      </c>
      <c r="G712" s="578"/>
      <c r="I712" s="602"/>
      <c r="J712" s="603" t="e">
        <f t="shared" si="534"/>
        <v>#REF!</v>
      </c>
      <c r="K712" s="537"/>
      <c r="L712" s="445" t="e">
        <f t="shared" si="535"/>
        <v>#REF!</v>
      </c>
      <c r="M712" s="542"/>
      <c r="N712" s="445" t="e">
        <f t="shared" si="536"/>
        <v>#REF!</v>
      </c>
      <c r="O712" s="542">
        <v>1</v>
      </c>
      <c r="P712" s="445" t="e">
        <f t="shared" si="537"/>
        <v>#REF!</v>
      </c>
      <c r="Q712" s="542"/>
      <c r="R712" s="445" t="e">
        <f t="shared" si="538"/>
        <v>#REF!</v>
      </c>
      <c r="S712" s="542"/>
      <c r="T712" s="445" t="e">
        <f t="shared" si="539"/>
        <v>#REF!</v>
      </c>
      <c r="V712" s="581" t="e">
        <f>+#REF!</f>
        <v>#REF!</v>
      </c>
      <c r="W712" s="582" t="e">
        <f t="shared" si="540"/>
        <v>#REF!</v>
      </c>
      <c r="X712" s="581" t="e">
        <f>+#REF!</f>
        <v>#REF!</v>
      </c>
      <c r="Y712" s="582" t="e">
        <f t="shared" si="541"/>
        <v>#REF!</v>
      </c>
      <c r="Z712" s="581" t="e">
        <f>+#REF!</f>
        <v>#REF!</v>
      </c>
      <c r="AA712" s="582" t="e">
        <f t="shared" si="542"/>
        <v>#REF!</v>
      </c>
      <c r="AB712" s="581" t="e">
        <f>#REF!</f>
        <v>#REF!</v>
      </c>
      <c r="AC712" s="582" t="e">
        <f t="shared" si="543"/>
        <v>#REF!</v>
      </c>
      <c r="AE712" s="769" t="e">
        <f t="shared" si="481"/>
        <v>#REF!</v>
      </c>
      <c r="AF712" s="555"/>
    </row>
    <row r="713" spans="1:32" ht="15" hidden="1" customHeight="1" thickTop="1" x14ac:dyDescent="0.2">
      <c r="A713" s="611"/>
      <c r="B713" s="601"/>
      <c r="C713" s="611"/>
      <c r="D713" s="576"/>
      <c r="E713" s="577"/>
      <c r="F713" s="577"/>
      <c r="G713" s="578"/>
      <c r="I713" s="604"/>
      <c r="J713" s="635"/>
      <c r="K713" s="537"/>
      <c r="L713" s="445"/>
      <c r="M713" s="542"/>
      <c r="N713" s="445"/>
      <c r="O713" s="542"/>
      <c r="P713" s="445"/>
      <c r="Q713" s="542"/>
      <c r="R713" s="445"/>
      <c r="S713" s="542"/>
      <c r="T713" s="445"/>
      <c r="V713" s="581"/>
      <c r="W713" s="582"/>
      <c r="X713" s="581"/>
      <c r="Y713" s="582"/>
      <c r="Z713" s="581"/>
      <c r="AA713" s="582"/>
      <c r="AB713" s="581"/>
      <c r="AC713" s="582"/>
      <c r="AE713" s="769">
        <f t="shared" si="481"/>
        <v>0</v>
      </c>
    </row>
    <row r="714" spans="1:32" s="657" customFormat="1" ht="6.75" customHeight="1" thickTop="1" x14ac:dyDescent="0.2">
      <c r="A714" s="919"/>
      <c r="B714" s="920"/>
      <c r="C714" s="919"/>
      <c r="D714" s="655"/>
      <c r="E714" s="656"/>
      <c r="F714" s="656"/>
      <c r="G714" s="656"/>
      <c r="I714" s="658"/>
      <c r="J714" s="658"/>
      <c r="K714" s="659"/>
      <c r="L714" s="658"/>
      <c r="M714" s="174"/>
      <c r="N714" s="658"/>
      <c r="O714" s="174"/>
      <c r="P714" s="658"/>
      <c r="Q714" s="174"/>
      <c r="R714" s="658"/>
      <c r="S714" s="174"/>
      <c r="T714" s="658"/>
      <c r="V714" s="667"/>
      <c r="W714" s="667"/>
      <c r="X714" s="667"/>
      <c r="Y714" s="667"/>
      <c r="Z714" s="667"/>
      <c r="AA714" s="667"/>
      <c r="AB714" s="667"/>
      <c r="AC714" s="667"/>
      <c r="AE714" s="769">
        <f t="shared" si="481"/>
        <v>0</v>
      </c>
    </row>
    <row r="715" spans="1:32" ht="30" hidden="1" customHeight="1" thickTop="1" thickBot="1" x14ac:dyDescent="0.25">
      <c r="A715" s="564">
        <v>17</v>
      </c>
      <c r="B715" s="1068" t="s">
        <v>1817</v>
      </c>
      <c r="C715" s="1069"/>
      <c r="D715" s="1069"/>
      <c r="E715" s="1069"/>
      <c r="F715" s="1070"/>
      <c r="G715" s="180" t="e">
        <f>+F716+F721</f>
        <v>#REF!</v>
      </c>
      <c r="H715" s="568"/>
      <c r="I715" s="616"/>
      <c r="J715" s="439" t="e">
        <f>+ROUND(J716+J721,10)</f>
        <v>#REF!</v>
      </c>
      <c r="K715" s="617"/>
      <c r="L715" s="180" t="e">
        <f>+ROUND(L716+L721,10)</f>
        <v>#REF!</v>
      </c>
      <c r="M715" s="180"/>
      <c r="N715" s="180" t="e">
        <f>+ROUND(N716+N721,10)</f>
        <v>#REF!</v>
      </c>
      <c r="O715" s="180"/>
      <c r="P715" s="180" t="e">
        <f>+ROUND(P716+P721,10)</f>
        <v>#REF!</v>
      </c>
      <c r="Q715" s="180"/>
      <c r="R715" s="180" t="e">
        <f>+ROUND(R716+R721,10)</f>
        <v>#REF!</v>
      </c>
      <c r="S715" s="180"/>
      <c r="T715" s="180" t="e">
        <f>+ROUND(T716+T721,10)</f>
        <v>#REF!</v>
      </c>
      <c r="U715" s="568"/>
      <c r="V715" s="569" t="e">
        <f>W715/$G$715</f>
        <v>#REF!</v>
      </c>
      <c r="W715" s="570" t="e">
        <f>ROUND(W716+W721,10)</f>
        <v>#REF!</v>
      </c>
      <c r="X715" s="569" t="e">
        <f>Y715/$G$715</f>
        <v>#REF!</v>
      </c>
      <c r="Y715" s="570">
        <f>ROUND(Y716+Y721,10)</f>
        <v>0</v>
      </c>
      <c r="Z715" s="569" t="e">
        <f>AA715/$G$715</f>
        <v>#REF!</v>
      </c>
      <c r="AA715" s="570">
        <f>ROUND(AA716+AA721,10)</f>
        <v>0</v>
      </c>
      <c r="AB715" s="569" t="e">
        <f>AC715/$G$715</f>
        <v>#REF!</v>
      </c>
      <c r="AC715" s="570">
        <f>ROUND(AC716+AC721,10)</f>
        <v>0</v>
      </c>
      <c r="AE715" s="769" t="e">
        <f t="shared" si="481"/>
        <v>#REF!</v>
      </c>
    </row>
    <row r="716" spans="1:32" s="595" customFormat="1" ht="16.5" hidden="1" customHeight="1" thickTop="1" x14ac:dyDescent="0.2">
      <c r="A716" s="572" t="s">
        <v>1818</v>
      </c>
      <c r="B716" s="573" t="s">
        <v>1819</v>
      </c>
      <c r="C716" s="846"/>
      <c r="D716" s="576"/>
      <c r="E716" s="180"/>
      <c r="F716" s="180">
        <f>+ROUND(SUM(F717:F720),10)</f>
        <v>0</v>
      </c>
      <c r="G716" s="473"/>
      <c r="H716" s="568"/>
      <c r="I716" s="618"/>
      <c r="J716" s="439">
        <f>ROUND(SUM(J717:J720),10)</f>
        <v>0</v>
      </c>
      <c r="K716" s="539"/>
      <c r="L716" s="180">
        <f>ROUND(SUM(L717:L720),10)</f>
        <v>0</v>
      </c>
      <c r="M716" s="541"/>
      <c r="N716" s="180">
        <f>ROUND(SUM(N717:N720),10)</f>
        <v>0</v>
      </c>
      <c r="O716" s="541"/>
      <c r="P716" s="180">
        <f>ROUND(SUM(P717:P720),10)</f>
        <v>0</v>
      </c>
      <c r="Q716" s="541"/>
      <c r="R716" s="180">
        <f>ROUND(SUM(R717:R720),10)</f>
        <v>0</v>
      </c>
      <c r="S716" s="541"/>
      <c r="T716" s="180">
        <f>ROUND(SUM(T717:T720),10)</f>
        <v>0</v>
      </c>
      <c r="U716" s="568"/>
      <c r="V716" s="575"/>
      <c r="W716" s="570">
        <f>ROUND(SUM(W717:W720),10)</f>
        <v>0</v>
      </c>
      <c r="X716" s="575"/>
      <c r="Y716" s="570">
        <f>ROUND(SUM(Y717:Y720),10)</f>
        <v>0</v>
      </c>
      <c r="Z716" s="575"/>
      <c r="AA716" s="570">
        <f>ROUND(SUM(AA717:AA720),10)</f>
        <v>0</v>
      </c>
      <c r="AB716" s="575"/>
      <c r="AC716" s="570">
        <f>ROUND(SUM(AC717:AC720),10)</f>
        <v>0</v>
      </c>
      <c r="AD716" s="912"/>
      <c r="AE716" s="769">
        <f t="shared" si="481"/>
        <v>0</v>
      </c>
      <c r="AF716" s="912"/>
    </row>
    <row r="717" spans="1:32" s="595" customFormat="1" ht="15" hidden="1" customHeight="1" x14ac:dyDescent="0.2">
      <c r="A717" s="611" t="s">
        <v>1820</v>
      </c>
      <c r="B717" s="601" t="s">
        <v>1821</v>
      </c>
      <c r="C717" s="611" t="s">
        <v>130</v>
      </c>
      <c r="D717" s="576">
        <f>+I717+K717+M717+O717+Q717+S717</f>
        <v>0</v>
      </c>
      <c r="E717" s="577">
        <f t="shared" ref="E717:E724" si="544">V717+X717+Z717+AB717</f>
        <v>0</v>
      </c>
      <c r="F717" s="577">
        <f>ROUND(D717*E717,10)</f>
        <v>0</v>
      </c>
      <c r="G717" s="578"/>
      <c r="H717" s="552"/>
      <c r="I717" s="594"/>
      <c r="J717" s="580">
        <f>+ROUND(E717*I717,10)</f>
        <v>0</v>
      </c>
      <c r="K717" s="538"/>
      <c r="L717" s="445">
        <f>+ROUND(E717*K717,10)</f>
        <v>0</v>
      </c>
      <c r="M717" s="542"/>
      <c r="N717" s="445">
        <f>+ROUND(E717*M717,10)</f>
        <v>0</v>
      </c>
      <c r="O717" s="542"/>
      <c r="P717" s="445">
        <f>+ROUND(E717*O717,10)</f>
        <v>0</v>
      </c>
      <c r="Q717" s="542"/>
      <c r="R717" s="445">
        <f>+ROUND(E717*Q717,10)</f>
        <v>0</v>
      </c>
      <c r="S717" s="542"/>
      <c r="T717" s="445">
        <f>+ROUND(E717*S717,10)</f>
        <v>0</v>
      </c>
      <c r="U717" s="552"/>
      <c r="V717" s="581"/>
      <c r="W717" s="582">
        <f>ROUND(V717*$D717,10)</f>
        <v>0</v>
      </c>
      <c r="X717" s="581"/>
      <c r="Y717" s="582">
        <f>ROUND(X717*$D717,10)</f>
        <v>0</v>
      </c>
      <c r="Z717" s="581"/>
      <c r="AA717" s="582">
        <f>ROUND(Z717*$D717,10)</f>
        <v>0</v>
      </c>
      <c r="AB717" s="581"/>
      <c r="AC717" s="582">
        <f>ROUND(AB717*$D717,10)</f>
        <v>0</v>
      </c>
      <c r="AD717" s="912"/>
      <c r="AE717" s="769">
        <f t="shared" si="481"/>
        <v>0</v>
      </c>
      <c r="AF717" s="912"/>
    </row>
    <row r="718" spans="1:32" s="595" customFormat="1" ht="15" hidden="1" customHeight="1" x14ac:dyDescent="0.2">
      <c r="A718" s="611" t="s">
        <v>1822</v>
      </c>
      <c r="B718" s="601" t="s">
        <v>1823</v>
      </c>
      <c r="C718" s="611" t="s">
        <v>130</v>
      </c>
      <c r="D718" s="576">
        <f>+I718+K718+M718+O718+Q718+S718</f>
        <v>0</v>
      </c>
      <c r="E718" s="577">
        <f t="shared" si="544"/>
        <v>0</v>
      </c>
      <c r="F718" s="577">
        <f>ROUND(D718*E718,10)</f>
        <v>0</v>
      </c>
      <c r="G718" s="578"/>
      <c r="H718" s="552"/>
      <c r="I718" s="584"/>
      <c r="J718" s="585">
        <f>+ROUND(E718*I718,10)</f>
        <v>0</v>
      </c>
      <c r="K718" s="537"/>
      <c r="L718" s="445">
        <f>+ROUND(E718*K718,10)</f>
        <v>0</v>
      </c>
      <c r="M718" s="542"/>
      <c r="N718" s="445">
        <f>+ROUND(E718*M718,10)</f>
        <v>0</v>
      </c>
      <c r="O718" s="542"/>
      <c r="P718" s="445">
        <f>+ROUND(E718*O718,10)</f>
        <v>0</v>
      </c>
      <c r="Q718" s="542"/>
      <c r="R718" s="445">
        <f>+ROUND(E718*Q718,10)</f>
        <v>0</v>
      </c>
      <c r="S718" s="542"/>
      <c r="T718" s="445">
        <f>+ROUND(E718*S718,10)</f>
        <v>0</v>
      </c>
      <c r="U718" s="552"/>
      <c r="V718" s="581"/>
      <c r="W718" s="582">
        <f>ROUND(V718*$D718,10)</f>
        <v>0</v>
      </c>
      <c r="X718" s="581"/>
      <c r="Y718" s="582">
        <f>ROUND(X718*$D718,10)</f>
        <v>0</v>
      </c>
      <c r="Z718" s="581"/>
      <c r="AA718" s="582">
        <f>ROUND(Z718*$D718,10)</f>
        <v>0</v>
      </c>
      <c r="AB718" s="581"/>
      <c r="AC718" s="582">
        <f>ROUND(AB718*$D718,10)</f>
        <v>0</v>
      </c>
      <c r="AD718" s="912"/>
      <c r="AE718" s="769">
        <f t="shared" si="481"/>
        <v>0</v>
      </c>
      <c r="AF718" s="912"/>
    </row>
    <row r="719" spans="1:32" s="595" customFormat="1" ht="15" hidden="1" customHeight="1" x14ac:dyDescent="0.2">
      <c r="A719" s="611" t="s">
        <v>1824</v>
      </c>
      <c r="B719" s="601" t="s">
        <v>1825</v>
      </c>
      <c r="C719" s="611" t="s">
        <v>130</v>
      </c>
      <c r="D719" s="576">
        <f>+I719+K719+M719+O719+Q719+S719</f>
        <v>0</v>
      </c>
      <c r="E719" s="577">
        <f t="shared" si="544"/>
        <v>0</v>
      </c>
      <c r="F719" s="577">
        <f>ROUND(D719*E719,10)</f>
        <v>0</v>
      </c>
      <c r="G719" s="578"/>
      <c r="H719" s="552"/>
      <c r="I719" s="584"/>
      <c r="J719" s="585">
        <f>+ROUND(E719*I719,10)</f>
        <v>0</v>
      </c>
      <c r="K719" s="537"/>
      <c r="L719" s="445">
        <f>+ROUND(E719*K719,10)</f>
        <v>0</v>
      </c>
      <c r="M719" s="542"/>
      <c r="N719" s="445">
        <f>+ROUND(E719*M719,10)</f>
        <v>0</v>
      </c>
      <c r="O719" s="542"/>
      <c r="P719" s="445">
        <f>+ROUND(E719*O719,10)</f>
        <v>0</v>
      </c>
      <c r="Q719" s="542"/>
      <c r="R719" s="445">
        <f>+ROUND(E719*Q719,10)</f>
        <v>0</v>
      </c>
      <c r="S719" s="542"/>
      <c r="T719" s="445">
        <f>+ROUND(E719*S719,10)</f>
        <v>0</v>
      </c>
      <c r="U719" s="552"/>
      <c r="V719" s="581"/>
      <c r="W719" s="582">
        <f>ROUND(V719*$D719,10)</f>
        <v>0</v>
      </c>
      <c r="X719" s="581"/>
      <c r="Y719" s="582">
        <f>ROUND(X719*$D719,10)</f>
        <v>0</v>
      </c>
      <c r="Z719" s="581"/>
      <c r="AA719" s="582">
        <f>ROUND(Z719*$D719,10)</f>
        <v>0</v>
      </c>
      <c r="AB719" s="581"/>
      <c r="AC719" s="582">
        <f>ROUND(AB719*$D719,10)</f>
        <v>0</v>
      </c>
      <c r="AD719" s="912"/>
      <c r="AE719" s="769">
        <f t="shared" si="481"/>
        <v>0</v>
      </c>
      <c r="AF719" s="912"/>
    </row>
    <row r="720" spans="1:32" s="595" customFormat="1" ht="15" hidden="1" customHeight="1" x14ac:dyDescent="0.2">
      <c r="A720" s="611" t="s">
        <v>1826</v>
      </c>
      <c r="B720" s="601" t="s">
        <v>1827</v>
      </c>
      <c r="C720" s="611" t="s">
        <v>130</v>
      </c>
      <c r="D720" s="576">
        <f>+I720+K720+M720+O720+Q720+S720</f>
        <v>0</v>
      </c>
      <c r="E720" s="577">
        <f t="shared" si="544"/>
        <v>0</v>
      </c>
      <c r="F720" s="577">
        <f>ROUND(D720*E720,10)</f>
        <v>0</v>
      </c>
      <c r="G720" s="578"/>
      <c r="H720" s="552"/>
      <c r="I720" s="597"/>
      <c r="J720" s="598">
        <f>+ROUND(E720*I720,10)</f>
        <v>0</v>
      </c>
      <c r="K720" s="537"/>
      <c r="L720" s="445">
        <f>+ROUND(E720*K720,10)</f>
        <v>0</v>
      </c>
      <c r="M720" s="542"/>
      <c r="N720" s="445">
        <f>+ROUND(E720*M720,10)</f>
        <v>0</v>
      </c>
      <c r="O720" s="542"/>
      <c r="P720" s="445">
        <f>+ROUND(E720*O720,10)</f>
        <v>0</v>
      </c>
      <c r="Q720" s="542"/>
      <c r="R720" s="445">
        <f>+ROUND(E720*Q720,10)</f>
        <v>0</v>
      </c>
      <c r="S720" s="542"/>
      <c r="T720" s="445">
        <f>+ROUND(E720*S720,10)</f>
        <v>0</v>
      </c>
      <c r="U720" s="552"/>
      <c r="V720" s="581"/>
      <c r="W720" s="582">
        <f>ROUND(V720*$D720,10)</f>
        <v>0</v>
      </c>
      <c r="X720" s="581"/>
      <c r="Y720" s="582">
        <f>ROUND(X720*$D720,10)</f>
        <v>0</v>
      </c>
      <c r="Z720" s="581"/>
      <c r="AA720" s="582">
        <f>ROUND(Z720*$D720,10)</f>
        <v>0</v>
      </c>
      <c r="AB720" s="581"/>
      <c r="AC720" s="582">
        <f>ROUND(AB720*$D720,10)</f>
        <v>0</v>
      </c>
      <c r="AD720" s="912"/>
      <c r="AE720" s="769">
        <f t="shared" si="481"/>
        <v>0</v>
      </c>
      <c r="AF720" s="912"/>
    </row>
    <row r="721" spans="1:31" s="595" customFormat="1" ht="15.75" hidden="1" customHeight="1" x14ac:dyDescent="0.2">
      <c r="A721" s="572" t="s">
        <v>1828</v>
      </c>
      <c r="B721" s="573" t="s">
        <v>1829</v>
      </c>
      <c r="C721" s="846"/>
      <c r="D721" s="576"/>
      <c r="E721" s="577"/>
      <c r="F721" s="180" t="e">
        <f>+ROUND(SUM(F722:F724),10)</f>
        <v>#REF!</v>
      </c>
      <c r="G721" s="473"/>
      <c r="H721" s="568"/>
      <c r="I721" s="613"/>
      <c r="J721" s="440" t="e">
        <f>ROUND(SUM(J722:J724),10)</f>
        <v>#REF!</v>
      </c>
      <c r="K721" s="537"/>
      <c r="L721" s="180" t="e">
        <f>ROUND(SUM(L722:L724),10)</f>
        <v>#REF!</v>
      </c>
      <c r="M721" s="542"/>
      <c r="N721" s="180" t="e">
        <f>ROUND(SUM(N722:N724),10)</f>
        <v>#REF!</v>
      </c>
      <c r="O721" s="542"/>
      <c r="P721" s="180" t="e">
        <f>ROUND(SUM(P722:P724),10)</f>
        <v>#REF!</v>
      </c>
      <c r="Q721" s="542"/>
      <c r="R721" s="180" t="e">
        <f>ROUND(SUM(R722:R724),10)</f>
        <v>#REF!</v>
      </c>
      <c r="S721" s="542"/>
      <c r="T721" s="180" t="e">
        <f>ROUND(SUM(T722:T724),10)</f>
        <v>#REF!</v>
      </c>
      <c r="U721" s="568"/>
      <c r="V721" s="575"/>
      <c r="W721" s="570" t="e">
        <f>ROUND(SUM(W722:W724),10)</f>
        <v>#REF!</v>
      </c>
      <c r="X721" s="575"/>
      <c r="Y721" s="570">
        <f>ROUND(SUM(Y722:Y724),10)</f>
        <v>0</v>
      </c>
      <c r="Z721" s="575"/>
      <c r="AA721" s="570">
        <f>ROUND(SUM(AA722:AA724),10)</f>
        <v>0</v>
      </c>
      <c r="AB721" s="575"/>
      <c r="AC721" s="570">
        <f>ROUND(SUM(AC722:AC724),10)</f>
        <v>0</v>
      </c>
      <c r="AD721" s="912"/>
      <c r="AE721" s="769" t="e">
        <f t="shared" si="481"/>
        <v>#REF!</v>
      </c>
    </row>
    <row r="722" spans="1:31" ht="33" hidden="1" customHeight="1" x14ac:dyDescent="0.2">
      <c r="A722" s="611" t="s">
        <v>1830</v>
      </c>
      <c r="B722" s="610" t="s">
        <v>1831</v>
      </c>
      <c r="C722" s="611" t="s">
        <v>111</v>
      </c>
      <c r="D722" s="576">
        <f>+I722+K722+M722+O722+Q722+S722</f>
        <v>0</v>
      </c>
      <c r="E722" s="577" t="e">
        <f t="shared" si="544"/>
        <v>#REF!</v>
      </c>
      <c r="F722" s="577" t="e">
        <f>ROUND(D722*E722,10)</f>
        <v>#REF!</v>
      </c>
      <c r="G722" s="578"/>
      <c r="I722" s="594"/>
      <c r="J722" s="580" t="e">
        <f>+ROUND(E722*I722,10)</f>
        <v>#REF!</v>
      </c>
      <c r="K722" s="537"/>
      <c r="L722" s="445" t="e">
        <f>+ROUND(E722*K722,10)</f>
        <v>#REF!</v>
      </c>
      <c r="M722" s="542"/>
      <c r="N722" s="445" t="e">
        <f>+ROUND(E722*M722,10)</f>
        <v>#REF!</v>
      </c>
      <c r="O722" s="542"/>
      <c r="P722" s="445" t="e">
        <f>+ROUND(E722*O722,10)</f>
        <v>#REF!</v>
      </c>
      <c r="Q722" s="542"/>
      <c r="R722" s="445" t="e">
        <f>+ROUND(E722*Q722,10)</f>
        <v>#REF!</v>
      </c>
      <c r="S722" s="542"/>
      <c r="T722" s="445" t="e">
        <f>+ROUND(E722*S722,10)</f>
        <v>#REF!</v>
      </c>
      <c r="V722" s="581" t="e">
        <f>+'17,2,1 Puerta Vidrio'!I19</f>
        <v>#REF!</v>
      </c>
      <c r="W722" s="582" t="e">
        <f>ROUND(V722*$D722,10)</f>
        <v>#REF!</v>
      </c>
      <c r="X722" s="581">
        <f>+'17,2,1 Puerta Vidrio'!I50</f>
        <v>32924.9</v>
      </c>
      <c r="Y722" s="582">
        <f>ROUND(X722*$D722,10)</f>
        <v>0</v>
      </c>
      <c r="Z722" s="581">
        <f>+'17,2,1 Puerta Vidrio'!I30</f>
        <v>742</v>
      </c>
      <c r="AA722" s="582">
        <f>ROUND(Z722*$D722,10)</f>
        <v>0</v>
      </c>
      <c r="AB722" s="581"/>
      <c r="AC722" s="582">
        <f>ROUND(AB722*$D722,10)</f>
        <v>0</v>
      </c>
      <c r="AE722" s="769" t="e">
        <f t="shared" ref="AE722:AE785" si="545">SUM(AC722,AA722,Y722,W722)-SUM(T722,R722,P722,N722,L722)</f>
        <v>#REF!</v>
      </c>
    </row>
    <row r="723" spans="1:31" ht="25.5" hidden="1" customHeight="1" x14ac:dyDescent="0.2">
      <c r="A723" s="611" t="s">
        <v>1832</v>
      </c>
      <c r="B723" s="601" t="s">
        <v>1833</v>
      </c>
      <c r="C723" s="611" t="s">
        <v>111</v>
      </c>
      <c r="D723" s="576">
        <f>+I723+K723+M723+O723+Q723+S723</f>
        <v>0</v>
      </c>
      <c r="E723" s="577" t="e">
        <f t="shared" si="544"/>
        <v>#REF!</v>
      </c>
      <c r="F723" s="577" t="e">
        <f>ROUND(D723*E723,10)</f>
        <v>#REF!</v>
      </c>
      <c r="G723" s="578"/>
      <c r="I723" s="584"/>
      <c r="J723" s="585" t="e">
        <f>+ROUND(E723*I723,10)</f>
        <v>#REF!</v>
      </c>
      <c r="K723" s="537"/>
      <c r="L723" s="445" t="e">
        <f>+ROUND(E723*K723,10)</f>
        <v>#REF!</v>
      </c>
      <c r="M723" s="542"/>
      <c r="N723" s="445" t="e">
        <f>+ROUND(E723*M723,10)</f>
        <v>#REF!</v>
      </c>
      <c r="O723" s="542"/>
      <c r="P723" s="445" t="e">
        <f>+ROUND(E723*O723,10)</f>
        <v>#REF!</v>
      </c>
      <c r="Q723" s="542"/>
      <c r="R723" s="445" t="e">
        <f>+ROUND(E723*Q723,10)</f>
        <v>#REF!</v>
      </c>
      <c r="S723" s="542"/>
      <c r="T723" s="445" t="e">
        <f>+ROUND(E723*S723,10)</f>
        <v>#REF!</v>
      </c>
      <c r="V723" s="581" t="e">
        <f>+'17,2,2 Puerta PVC Baterias'!I19</f>
        <v>#REF!</v>
      </c>
      <c r="W723" s="582" t="e">
        <f>ROUND(V723*$D723,10)</f>
        <v>#REF!</v>
      </c>
      <c r="X723" s="581">
        <f>+'17,2,2 Puerta PVC Baterias'!I50</f>
        <v>32924.9</v>
      </c>
      <c r="Y723" s="582">
        <f>ROUND(X723*$D723,10)</f>
        <v>0</v>
      </c>
      <c r="Z723" s="581">
        <f>+'17,2,2 Puerta PVC Baterias'!I30</f>
        <v>742</v>
      </c>
      <c r="AA723" s="582">
        <f>ROUND(Z723*$D723,10)</f>
        <v>0</v>
      </c>
      <c r="AB723" s="581"/>
      <c r="AC723" s="582">
        <f>ROUND(AB723*$D723,10)</f>
        <v>0</v>
      </c>
      <c r="AE723" s="769" t="e">
        <f t="shared" si="545"/>
        <v>#REF!</v>
      </c>
    </row>
    <row r="724" spans="1:31" s="595" customFormat="1" ht="26.25" hidden="1" customHeight="1" thickBot="1" x14ac:dyDescent="0.25">
      <c r="A724" s="611" t="s">
        <v>1834</v>
      </c>
      <c r="B724" s="610" t="s">
        <v>1835</v>
      </c>
      <c r="C724" s="611" t="s">
        <v>130</v>
      </c>
      <c r="D724" s="576">
        <f>+I724+K724+M724+O724+Q724+S724</f>
        <v>0</v>
      </c>
      <c r="E724" s="577" t="e">
        <f t="shared" si="544"/>
        <v>#REF!</v>
      </c>
      <c r="F724" s="577" t="e">
        <f>ROUND(D724*E724,10)</f>
        <v>#REF!</v>
      </c>
      <c r="G724" s="578"/>
      <c r="H724" s="552"/>
      <c r="I724" s="602"/>
      <c r="J724" s="603" t="e">
        <f>+ROUND(E724*I724,10)</f>
        <v>#REF!</v>
      </c>
      <c r="K724" s="537"/>
      <c r="L724" s="445" t="e">
        <f>+ROUND(E724*K724,10)</f>
        <v>#REF!</v>
      </c>
      <c r="M724" s="542"/>
      <c r="N724" s="445" t="e">
        <f>+ROUND(E724*M724,10)</f>
        <v>#REF!</v>
      </c>
      <c r="O724" s="542"/>
      <c r="P724" s="445" t="e">
        <f>+ROUND(E724*O724,10)</f>
        <v>#REF!</v>
      </c>
      <c r="Q724" s="542"/>
      <c r="R724" s="445" t="e">
        <f>+ROUND(E724*Q724,10)</f>
        <v>#REF!</v>
      </c>
      <c r="S724" s="542"/>
      <c r="T724" s="445" t="e">
        <f>+ROUND(E724*S724,10)</f>
        <v>#REF!</v>
      </c>
      <c r="U724" s="552"/>
      <c r="V724" s="581" t="e">
        <f>+'17,2,4 Divisiones baños '!I19</f>
        <v>#REF!</v>
      </c>
      <c r="W724" s="582" t="e">
        <f>ROUND(V724*$D724,10)</f>
        <v>#REF!</v>
      </c>
      <c r="X724" s="581">
        <f>+'17,2,4 Divisiones baños '!I50</f>
        <v>8898.6200000000008</v>
      </c>
      <c r="Y724" s="582">
        <f>ROUND(X724*$D724,10)</f>
        <v>0</v>
      </c>
      <c r="Z724" s="581">
        <f>+'17,2,4 Divisiones baños '!I30</f>
        <v>359.34000000000003</v>
      </c>
      <c r="AA724" s="582">
        <f>ROUND(Z724*$D724,10)</f>
        <v>0</v>
      </c>
      <c r="AB724" s="581"/>
      <c r="AC724" s="582">
        <f>ROUND(AB724*$D724,10)</f>
        <v>0</v>
      </c>
      <c r="AD724" s="912"/>
      <c r="AE724" s="769" t="e">
        <f t="shared" si="545"/>
        <v>#REF!</v>
      </c>
    </row>
    <row r="725" spans="1:31" s="595" customFormat="1" ht="15" hidden="1" customHeight="1" x14ac:dyDescent="0.2">
      <c r="A725" s="611"/>
      <c r="B725" s="610"/>
      <c r="C725" s="611"/>
      <c r="D725" s="576"/>
      <c r="E725" s="577"/>
      <c r="F725" s="577"/>
      <c r="G725" s="578"/>
      <c r="H725" s="552"/>
      <c r="I725" s="604"/>
      <c r="J725" s="635"/>
      <c r="K725" s="537"/>
      <c r="L725" s="445"/>
      <c r="M725" s="542"/>
      <c r="N725" s="445"/>
      <c r="O725" s="542"/>
      <c r="P725" s="445"/>
      <c r="Q725" s="542"/>
      <c r="R725" s="445"/>
      <c r="S725" s="542"/>
      <c r="T725" s="445"/>
      <c r="U725" s="552"/>
      <c r="V725" s="581"/>
      <c r="W725" s="582"/>
      <c r="X725" s="581"/>
      <c r="Y725" s="582"/>
      <c r="Z725" s="581"/>
      <c r="AA725" s="582"/>
      <c r="AB725" s="581"/>
      <c r="AC725" s="582"/>
      <c r="AD725" s="912"/>
      <c r="AE725" s="769">
        <f t="shared" si="545"/>
        <v>0</v>
      </c>
    </row>
    <row r="726" spans="1:31" s="595" customFormat="1" ht="6.75" customHeight="1" thickBot="1" x14ac:dyDescent="0.25">
      <c r="A726" s="919"/>
      <c r="B726" s="920"/>
      <c r="C726" s="919"/>
      <c r="D726" s="655"/>
      <c r="E726" s="656"/>
      <c r="F726" s="656"/>
      <c r="G726" s="656"/>
      <c r="H726" s="657"/>
      <c r="I726" s="658"/>
      <c r="J726" s="658"/>
      <c r="K726" s="659"/>
      <c r="L726" s="658"/>
      <c r="M726" s="174"/>
      <c r="N726" s="658"/>
      <c r="O726" s="174"/>
      <c r="P726" s="658"/>
      <c r="Q726" s="174"/>
      <c r="R726" s="658"/>
      <c r="S726" s="174"/>
      <c r="T726" s="658"/>
      <c r="U726" s="657"/>
      <c r="V726" s="667"/>
      <c r="W726" s="667"/>
      <c r="X726" s="667"/>
      <c r="Y726" s="667"/>
      <c r="Z726" s="667"/>
      <c r="AA726" s="667"/>
      <c r="AB726" s="667"/>
      <c r="AC726" s="667"/>
      <c r="AD726" s="912"/>
      <c r="AE726" s="769">
        <f t="shared" si="545"/>
        <v>0</v>
      </c>
    </row>
    <row r="727" spans="1:31" s="571" customFormat="1" ht="30" customHeight="1" thickTop="1" thickBot="1" x14ac:dyDescent="0.25">
      <c r="A727" s="564">
        <v>18</v>
      </c>
      <c r="B727" s="1068" t="s">
        <v>1836</v>
      </c>
      <c r="C727" s="1069"/>
      <c r="D727" s="1069"/>
      <c r="E727" s="1069"/>
      <c r="F727" s="1070"/>
      <c r="G727" s="180" t="e">
        <f>+ROUND(F728+F734+F744+F752,10)</f>
        <v>#REF!</v>
      </c>
      <c r="H727" s="568"/>
      <c r="I727" s="616"/>
      <c r="J727" s="439" t="e">
        <f>+ROUND(J728+J734+J744+J752,10)</f>
        <v>#REF!</v>
      </c>
      <c r="K727" s="617"/>
      <c r="L727" s="180" t="e">
        <f>+ROUND(L728+L734+L744+L752,10)</f>
        <v>#REF!</v>
      </c>
      <c r="M727" s="180"/>
      <c r="N727" s="180" t="e">
        <f>+ROUND(N728+N734+N744+N752,10)</f>
        <v>#REF!</v>
      </c>
      <c r="O727" s="180"/>
      <c r="P727" s="180" t="e">
        <f>+ROUND(P728+P734+P744+P752,10)</f>
        <v>#REF!</v>
      </c>
      <c r="Q727" s="180"/>
      <c r="R727" s="180" t="e">
        <f>+ROUND(R728+R734+R744+R752,10)</f>
        <v>#REF!</v>
      </c>
      <c r="S727" s="180"/>
      <c r="T727" s="180" t="e">
        <f>+ROUND(T728+T734+T744+T752,10)</f>
        <v>#REF!</v>
      </c>
      <c r="U727" s="568"/>
      <c r="V727" s="569" t="e">
        <f>W727/$G$727</f>
        <v>#REF!</v>
      </c>
      <c r="W727" s="570" t="e">
        <f>ROUND(W728+W734+W744+W752,10)</f>
        <v>#REF!</v>
      </c>
      <c r="X727" s="569" t="e">
        <f>Y727/$G$727</f>
        <v>#REF!</v>
      </c>
      <c r="Y727" s="570" t="e">
        <f>ROUND(Y728+Y734+Y744+Y752,10)</f>
        <v>#REF!</v>
      </c>
      <c r="Z727" s="569" t="e">
        <f>AA727/$G$727</f>
        <v>#REF!</v>
      </c>
      <c r="AA727" s="570" t="e">
        <f>ROUND(AA728+AA734+AA744+AA752,10)</f>
        <v>#REF!</v>
      </c>
      <c r="AB727" s="569" t="e">
        <f>AC727/$G$727</f>
        <v>#REF!</v>
      </c>
      <c r="AC727" s="570">
        <f>ROUND(AC728+AC734+AC744+AC752,10)</f>
        <v>0</v>
      </c>
      <c r="AE727" s="769" t="e">
        <f t="shared" si="545"/>
        <v>#REF!</v>
      </c>
    </row>
    <row r="728" spans="1:31" s="571" customFormat="1" ht="18" customHeight="1" thickTop="1" x14ac:dyDescent="0.2">
      <c r="A728" s="572" t="s">
        <v>1837</v>
      </c>
      <c r="B728" s="573" t="s">
        <v>1838</v>
      </c>
      <c r="C728" s="846"/>
      <c r="D728" s="576"/>
      <c r="E728" s="180"/>
      <c r="F728" s="180" t="e">
        <f>+ROUND(SUM(F729:F733),10)</f>
        <v>#REF!</v>
      </c>
      <c r="G728" s="473"/>
      <c r="H728" s="568"/>
      <c r="I728" s="618"/>
      <c r="J728" s="439" t="e">
        <f>ROUND(SUM(J729:J733),10)</f>
        <v>#REF!</v>
      </c>
      <c r="K728" s="619"/>
      <c r="L728" s="180" t="e">
        <f>ROUND(SUM(L729:L733),10)</f>
        <v>#REF!</v>
      </c>
      <c r="M728" s="473"/>
      <c r="N728" s="180" t="e">
        <f>ROUND(SUM(N729:N733),10)</f>
        <v>#REF!</v>
      </c>
      <c r="O728" s="473"/>
      <c r="P728" s="180" t="e">
        <f>ROUND(SUM(P729:P733),10)</f>
        <v>#REF!</v>
      </c>
      <c r="Q728" s="473"/>
      <c r="R728" s="180" t="e">
        <f>ROUND(SUM(R729:R733),10)</f>
        <v>#REF!</v>
      </c>
      <c r="S728" s="473"/>
      <c r="T728" s="180" t="e">
        <f>ROUND(SUM(T729:T733),10)</f>
        <v>#REF!</v>
      </c>
      <c r="U728" s="568"/>
      <c r="V728" s="575"/>
      <c r="W728" s="570" t="e">
        <f>ROUND(SUM(W729:W733),10)</f>
        <v>#REF!</v>
      </c>
      <c r="X728" s="575"/>
      <c r="Y728" s="570" t="e">
        <f>ROUND(SUM(Y729:Y733),10)</f>
        <v>#REF!</v>
      </c>
      <c r="Z728" s="575"/>
      <c r="AA728" s="570" t="e">
        <f>ROUND(SUM(AA729:AA733),10)</f>
        <v>#REF!</v>
      </c>
      <c r="AB728" s="575"/>
      <c r="AC728" s="570">
        <f>ROUND(SUM(AC729:AC733),10)</f>
        <v>0</v>
      </c>
      <c r="AE728" s="769" t="e">
        <f t="shared" si="545"/>
        <v>#REF!</v>
      </c>
    </row>
    <row r="729" spans="1:31" ht="29.25" customHeight="1" x14ac:dyDescent="0.2">
      <c r="A729" s="611" t="s">
        <v>1839</v>
      </c>
      <c r="B729" s="601" t="s">
        <v>1840</v>
      </c>
      <c r="C729" s="611" t="s">
        <v>130</v>
      </c>
      <c r="D729" s="576">
        <f>+I729+K729+M729+O729+Q729+S729</f>
        <v>671.5</v>
      </c>
      <c r="E729" s="577" t="e">
        <f t="shared" ref="E729:E754" si="546">V729+X729+Z729+AB729</f>
        <v>#REF!</v>
      </c>
      <c r="F729" s="577" t="e">
        <f>ROUND(D729*E729,10)</f>
        <v>#REF!</v>
      </c>
      <c r="G729" s="578"/>
      <c r="I729" s="594"/>
      <c r="J729" s="580" t="e">
        <f>+ROUND(E729*I729,10)</f>
        <v>#REF!</v>
      </c>
      <c r="K729" s="537">
        <f>116.51+28.08+57.8+73.35+22.46+38.24+42.04+9.44</f>
        <v>387.92</v>
      </c>
      <c r="L729" s="445" t="e">
        <f>+ROUND(E729*K729,10)</f>
        <v>#REF!</v>
      </c>
      <c r="M729" s="542">
        <f>10.51+28.17+1.3</f>
        <v>39.979999999999997</v>
      </c>
      <c r="N729" s="445" t="e">
        <f>+ROUND(E729*M729,10)</f>
        <v>#REF!</v>
      </c>
      <c r="O729" s="537">
        <f>4.72+10.51</f>
        <v>15.23</v>
      </c>
      <c r="P729" s="445" t="e">
        <f>+ROUND(E729*O729,10)</f>
        <v>#REF!</v>
      </c>
      <c r="Q729" s="537">
        <v>121.98</v>
      </c>
      <c r="R729" s="445" t="e">
        <f>+ROUND(E729*Q729,10)</f>
        <v>#REF!</v>
      </c>
      <c r="S729" s="537">
        <f>61.72+44.67</f>
        <v>106.39</v>
      </c>
      <c r="T729" s="445" t="e">
        <f>+ROUND(E729*S729,10)</f>
        <v>#REF!</v>
      </c>
      <c r="V729" s="581" t="e">
        <f>+#REF!</f>
        <v>#REF!</v>
      </c>
      <c r="W729" s="582" t="e">
        <f>ROUND(V729*$D729,10)</f>
        <v>#REF!</v>
      </c>
      <c r="X729" s="581" t="e">
        <f>+#REF!</f>
        <v>#REF!</v>
      </c>
      <c r="Y729" s="582" t="e">
        <f>ROUND(X729*$D729,10)</f>
        <v>#REF!</v>
      </c>
      <c r="Z729" s="581" t="e">
        <f>+#REF!</f>
        <v>#REF!</v>
      </c>
      <c r="AA729" s="582" t="e">
        <f>ROUND(Z729*$D729,10)</f>
        <v>#REF!</v>
      </c>
      <c r="AB729" s="581"/>
      <c r="AC729" s="582">
        <f>ROUND(AB729*$D729,10)</f>
        <v>0</v>
      </c>
      <c r="AE729" s="769" t="e">
        <f t="shared" si="545"/>
        <v>#REF!</v>
      </c>
    </row>
    <row r="730" spans="1:31" ht="15" hidden="1" customHeight="1" x14ac:dyDescent="0.2">
      <c r="A730" s="611" t="s">
        <v>1841</v>
      </c>
      <c r="B730" s="601" t="s">
        <v>1842</v>
      </c>
      <c r="C730" s="611" t="s">
        <v>130</v>
      </c>
      <c r="D730" s="576">
        <f>+I730+K730+M730+O730+Q730+S730</f>
        <v>0</v>
      </c>
      <c r="E730" s="577" t="e">
        <f t="shared" si="546"/>
        <v>#REF!</v>
      </c>
      <c r="F730" s="577" t="e">
        <f>ROUND(D730*E730,10)</f>
        <v>#REF!</v>
      </c>
      <c r="G730" s="578"/>
      <c r="I730" s="584"/>
      <c r="J730" s="585" t="e">
        <f>+ROUND(E730*I730,10)</f>
        <v>#REF!</v>
      </c>
      <c r="K730" s="537"/>
      <c r="L730" s="445" t="e">
        <f>+ROUND(E730*K730,10)</f>
        <v>#REF!</v>
      </c>
      <c r="M730" s="542"/>
      <c r="N730" s="445" t="e">
        <f>+ROUND(E730*M730,10)</f>
        <v>#REF!</v>
      </c>
      <c r="O730" s="542"/>
      <c r="P730" s="445" t="e">
        <f>+ROUND(E730*O730,10)</f>
        <v>#REF!</v>
      </c>
      <c r="Q730" s="542"/>
      <c r="R730" s="445" t="e">
        <f>+ROUND(E730*Q730,10)</f>
        <v>#REF!</v>
      </c>
      <c r="S730" s="542"/>
      <c r="T730" s="445" t="e">
        <f>+ROUND(E730*S730,10)</f>
        <v>#REF!</v>
      </c>
      <c r="V730" s="581" t="e">
        <f>+'18,1,2 pintura plastica'!I19</f>
        <v>#REF!</v>
      </c>
      <c r="W730" s="582" t="e">
        <f>ROUND(V730*$D730,10)</f>
        <v>#REF!</v>
      </c>
      <c r="X730" s="581">
        <f>+'18,1,2 pintura plastica'!I50</f>
        <v>5048.49</v>
      </c>
      <c r="Y730" s="582">
        <f>ROUND(X730*$D730,10)</f>
        <v>0</v>
      </c>
      <c r="Z730" s="581">
        <f>+'18,1,2 pintura plastica'!I30</f>
        <v>501.88</v>
      </c>
      <c r="AA730" s="582">
        <f>ROUND(Z730*$D730,10)</f>
        <v>0</v>
      </c>
      <c r="AB730" s="581"/>
      <c r="AC730" s="582">
        <f>ROUND(AB730*$D730,10)</f>
        <v>0</v>
      </c>
      <c r="AE730" s="769" t="e">
        <f t="shared" si="545"/>
        <v>#REF!</v>
      </c>
    </row>
    <row r="731" spans="1:31" ht="25.5" x14ac:dyDescent="0.2">
      <c r="A731" s="611" t="s">
        <v>1843</v>
      </c>
      <c r="B731" s="649" t="s">
        <v>1844</v>
      </c>
      <c r="C731" s="611" t="s">
        <v>130</v>
      </c>
      <c r="D731" s="576">
        <f>+I731+K731+M731+O731+Q731+S731</f>
        <v>1268.42</v>
      </c>
      <c r="E731" s="577" t="e">
        <f t="shared" si="546"/>
        <v>#REF!</v>
      </c>
      <c r="F731" s="577" t="e">
        <f>ROUND(D731*E731,10)</f>
        <v>#REF!</v>
      </c>
      <c r="G731" s="578"/>
      <c r="I731" s="584"/>
      <c r="J731" s="585" t="e">
        <f>+ROUND(E731*I731,10)</f>
        <v>#REF!</v>
      </c>
      <c r="K731" s="537">
        <f>309.27+24.34+57.8+214.97+19.47+38.24+18.88+42.04+283.61</f>
        <v>1008.62</v>
      </c>
      <c r="L731" s="445" t="e">
        <f>+ROUND(E731*K731,10)</f>
        <v>#REF!</v>
      </c>
      <c r="M731" s="542">
        <f>9.44+10.51+73.96</f>
        <v>93.91</v>
      </c>
      <c r="N731" s="445" t="e">
        <f>+ROUND(E731*M731,10)</f>
        <v>#REF!</v>
      </c>
      <c r="O731" s="537">
        <f>9.44+7.11+30.96</f>
        <v>47.510000000000005</v>
      </c>
      <c r="P731" s="445" t="e">
        <f>+ROUND(E731*O731,10)</f>
        <v>#REF!</v>
      </c>
      <c r="Q731" s="537">
        <v>118.38</v>
      </c>
      <c r="R731" s="445" t="e">
        <f>+ROUND(E731*Q731,10)</f>
        <v>#REF!</v>
      </c>
      <c r="S731" s="537"/>
      <c r="T731" s="445" t="e">
        <f>+ROUND(E731*S731,10)</f>
        <v>#REF!</v>
      </c>
      <c r="V731" s="581" t="e">
        <f>+#REF!</f>
        <v>#REF!</v>
      </c>
      <c r="W731" s="582" t="e">
        <f>ROUND(V731*$D731,10)</f>
        <v>#REF!</v>
      </c>
      <c r="X731" s="581" t="e">
        <f>+#REF!</f>
        <v>#REF!</v>
      </c>
      <c r="Y731" s="582" t="e">
        <f>ROUND(X731*$D731,10)</f>
        <v>#REF!</v>
      </c>
      <c r="Z731" s="581" t="e">
        <f>+#REF!</f>
        <v>#REF!</v>
      </c>
      <c r="AA731" s="582" t="e">
        <f>ROUND(Z731*$D731,10)</f>
        <v>#REF!</v>
      </c>
      <c r="AB731" s="581"/>
      <c r="AC731" s="582">
        <f>ROUND(AB731*$D731,10)</f>
        <v>0</v>
      </c>
      <c r="AE731" s="769" t="e">
        <f t="shared" si="545"/>
        <v>#REF!</v>
      </c>
    </row>
    <row r="732" spans="1:31" ht="25.5" hidden="1" customHeight="1" x14ac:dyDescent="0.2">
      <c r="A732" s="611" t="s">
        <v>1845</v>
      </c>
      <c r="B732" s="601" t="s">
        <v>1846</v>
      </c>
      <c r="C732" s="611" t="s">
        <v>130</v>
      </c>
      <c r="D732" s="576">
        <f>+I732+K732+M732+O732+Q732+S732</f>
        <v>0</v>
      </c>
      <c r="E732" s="577" t="e">
        <f t="shared" si="546"/>
        <v>#REF!</v>
      </c>
      <c r="F732" s="577" t="e">
        <f>ROUND(D732*E732,10)</f>
        <v>#REF!</v>
      </c>
      <c r="G732" s="578"/>
      <c r="I732" s="584"/>
      <c r="J732" s="585" t="e">
        <f>+ROUND(E732*I732,10)</f>
        <v>#REF!</v>
      </c>
      <c r="K732" s="537"/>
      <c r="L732" s="445" t="e">
        <f>+ROUND(E732*K732,10)</f>
        <v>#REF!</v>
      </c>
      <c r="M732" s="542"/>
      <c r="N732" s="445" t="e">
        <f>+ROUND(E732*M732,10)</f>
        <v>#REF!</v>
      </c>
      <c r="O732" s="542"/>
      <c r="P732" s="445" t="e">
        <f>+ROUND(E732*O732,10)</f>
        <v>#REF!</v>
      </c>
      <c r="Q732" s="542"/>
      <c r="R732" s="445" t="e">
        <f>+ROUND(E732*Q732,10)</f>
        <v>#REF!</v>
      </c>
      <c r="S732" s="542"/>
      <c r="T732" s="445" t="e">
        <f>+ROUND(E732*S732,10)</f>
        <v>#REF!</v>
      </c>
      <c r="V732" s="581" t="e">
        <f>+'18,1,4 Vinilo sin estuco '!I19</f>
        <v>#REF!</v>
      </c>
      <c r="W732" s="582" t="e">
        <f>ROUND(V732*$D732,10)</f>
        <v>#REF!</v>
      </c>
      <c r="X732" s="581">
        <f>+'18,1,4 Vinilo sin estuco '!I50</f>
        <v>5048.49</v>
      </c>
      <c r="Y732" s="582">
        <f>ROUND(X732*$D732,10)</f>
        <v>0</v>
      </c>
      <c r="Z732" s="581">
        <f>+'18,1,4 Vinilo sin estuco '!I30</f>
        <v>485.52</v>
      </c>
      <c r="AA732" s="582">
        <f>ROUND(Z732*$D732,10)</f>
        <v>0</v>
      </c>
      <c r="AB732" s="581"/>
      <c r="AC732" s="582">
        <f>ROUND(AB732*$D732,10)</f>
        <v>0</v>
      </c>
      <c r="AE732" s="769" t="e">
        <f t="shared" si="545"/>
        <v>#REF!</v>
      </c>
    </row>
    <row r="733" spans="1:31" ht="15.75" hidden="1" customHeight="1" x14ac:dyDescent="0.2">
      <c r="A733" s="611" t="s">
        <v>1847</v>
      </c>
      <c r="B733" s="601" t="s">
        <v>1848</v>
      </c>
      <c r="C733" s="611" t="s">
        <v>130</v>
      </c>
      <c r="D733" s="576">
        <f>+I733+K733+M733+O733+Q733+S733</f>
        <v>0</v>
      </c>
      <c r="E733" s="577" t="e">
        <f t="shared" si="546"/>
        <v>#REF!</v>
      </c>
      <c r="F733" s="577" t="e">
        <f>ROUND(D733*E733,10)</f>
        <v>#REF!</v>
      </c>
      <c r="G733" s="578"/>
      <c r="I733" s="597"/>
      <c r="J733" s="598" t="e">
        <f>+ROUND(E733*I733,10)</f>
        <v>#REF!</v>
      </c>
      <c r="K733" s="537"/>
      <c r="L733" s="445" t="e">
        <f>+ROUND(E733*K733,10)</f>
        <v>#REF!</v>
      </c>
      <c r="M733" s="542"/>
      <c r="N733" s="445" t="e">
        <f>+ROUND(E733*M733,10)</f>
        <v>#REF!</v>
      </c>
      <c r="O733" s="542"/>
      <c r="P733" s="445" t="e">
        <f>+ROUND(E733*O733,10)</f>
        <v>#REF!</v>
      </c>
      <c r="Q733" s="542"/>
      <c r="R733" s="445" t="e">
        <f>+ROUND(E733*Q733,10)</f>
        <v>#REF!</v>
      </c>
      <c r="S733" s="542"/>
      <c r="T733" s="445" t="e">
        <f>+ROUND(E733*S733,10)</f>
        <v>#REF!</v>
      </c>
      <c r="V733" s="581" t="e">
        <f>+'18,1,5 Vinilo Cielos '!I19</f>
        <v>#REF!</v>
      </c>
      <c r="W733" s="582" t="e">
        <f>ROUND(V733*$D733,10)</f>
        <v>#REF!</v>
      </c>
      <c r="X733" s="581">
        <f>+'18,1,5 Vinilo Cielos '!I50</f>
        <v>5048.49</v>
      </c>
      <c r="Y733" s="582">
        <f>ROUND(X733*$D733,10)</f>
        <v>0</v>
      </c>
      <c r="Z733" s="581">
        <f>+'18,1,5 Vinilo Cielos '!I30</f>
        <v>816.82</v>
      </c>
      <c r="AA733" s="582">
        <f>ROUND(Z733*$D733,10)</f>
        <v>0</v>
      </c>
      <c r="AB733" s="581"/>
      <c r="AC733" s="582">
        <f>ROUND(AB733*$D733,10)</f>
        <v>0</v>
      </c>
      <c r="AE733" s="769" t="e">
        <f t="shared" si="545"/>
        <v>#REF!</v>
      </c>
    </row>
    <row r="734" spans="1:31" ht="15" hidden="1" customHeight="1" x14ac:dyDescent="0.2">
      <c r="A734" s="572" t="s">
        <v>1849</v>
      </c>
      <c r="B734" s="573" t="s">
        <v>1850</v>
      </c>
      <c r="C734" s="846"/>
      <c r="D734" s="576"/>
      <c r="E734" s="577"/>
      <c r="F734" s="626">
        <f>+ROUND(SUM(F735:F743),10)</f>
        <v>0</v>
      </c>
      <c r="G734" s="473"/>
      <c r="H734" s="568"/>
      <c r="I734" s="613"/>
      <c r="J734" s="440">
        <f>ROUND(SUM(J735:J743),10)</f>
        <v>0</v>
      </c>
      <c r="K734" s="537"/>
      <c r="L734" s="180">
        <f>ROUND(SUM(L735:L743),10)</f>
        <v>0</v>
      </c>
      <c r="M734" s="542"/>
      <c r="N734" s="180">
        <f>ROUND(SUM(N735:N743),10)</f>
        <v>0</v>
      </c>
      <c r="O734" s="542"/>
      <c r="P734" s="180">
        <f>ROUND(SUM(P735:P743),10)</f>
        <v>0</v>
      </c>
      <c r="Q734" s="542"/>
      <c r="R734" s="180">
        <f>ROUND(SUM(R735:R743),10)</f>
        <v>0</v>
      </c>
      <c r="S734" s="542"/>
      <c r="T734" s="180">
        <f>ROUND(SUM(T735:T743),10)</f>
        <v>0</v>
      </c>
      <c r="U734" s="568"/>
      <c r="V734" s="575"/>
      <c r="W734" s="570">
        <f>ROUND(SUM(W735:W743),10)</f>
        <v>0</v>
      </c>
      <c r="X734" s="575"/>
      <c r="Y734" s="570">
        <f>ROUND(SUM(Y735:Y743),10)</f>
        <v>0</v>
      </c>
      <c r="Z734" s="575"/>
      <c r="AA734" s="570">
        <f>ROUND(SUM(AA735:AA743),10)</f>
        <v>0</v>
      </c>
      <c r="AB734" s="575"/>
      <c r="AC734" s="570">
        <f>ROUND(SUM(AC735:AC743),10)</f>
        <v>0</v>
      </c>
      <c r="AE734" s="769">
        <f t="shared" si="545"/>
        <v>0</v>
      </c>
    </row>
    <row r="735" spans="1:31" ht="15" hidden="1" customHeight="1" x14ac:dyDescent="0.2">
      <c r="A735" s="611" t="s">
        <v>1851</v>
      </c>
      <c r="B735" s="601" t="s">
        <v>1852</v>
      </c>
      <c r="C735" s="611" t="s">
        <v>114</v>
      </c>
      <c r="D735" s="576">
        <f t="shared" ref="D735:D743" si="547">+I735+K735+M735+O735+Q735+S735</f>
        <v>0</v>
      </c>
      <c r="E735" s="577">
        <f t="shared" si="546"/>
        <v>0</v>
      </c>
      <c r="F735" s="577">
        <f t="shared" ref="F735:F743" si="548">ROUND(D735*E735,10)</f>
        <v>0</v>
      </c>
      <c r="G735" s="578"/>
      <c r="I735" s="594"/>
      <c r="J735" s="580">
        <f t="shared" ref="J735:J743" si="549">+ROUND(E735*I735,10)</f>
        <v>0</v>
      </c>
      <c r="K735" s="537"/>
      <c r="L735" s="445">
        <f t="shared" ref="L735:L743" si="550">+ROUND(E735*K735,10)</f>
        <v>0</v>
      </c>
      <c r="M735" s="542"/>
      <c r="N735" s="445">
        <f t="shared" ref="N735:N743" si="551">+ROUND(E735*M735,10)</f>
        <v>0</v>
      </c>
      <c r="O735" s="542"/>
      <c r="P735" s="445">
        <f t="shared" ref="P735:P743" si="552">+ROUND(E735*O735,10)</f>
        <v>0</v>
      </c>
      <c r="Q735" s="542"/>
      <c r="R735" s="445">
        <f t="shared" ref="R735:R743" si="553">+ROUND(E735*Q735,10)</f>
        <v>0</v>
      </c>
      <c r="S735" s="542"/>
      <c r="T735" s="445">
        <f t="shared" ref="T735:T743" si="554">+ROUND(E735*S735,10)</f>
        <v>0</v>
      </c>
      <c r="V735" s="581"/>
      <c r="W735" s="582">
        <f t="shared" ref="W735:W743" si="555">ROUND(V735*$D735,10)</f>
        <v>0</v>
      </c>
      <c r="X735" s="581"/>
      <c r="Y735" s="582">
        <f t="shared" ref="Y735:Y743" si="556">ROUND(X735*$D735,10)</f>
        <v>0</v>
      </c>
      <c r="Z735" s="581"/>
      <c r="AA735" s="582">
        <f t="shared" ref="AA735:AA743" si="557">ROUND(Z735*$D735,10)</f>
        <v>0</v>
      </c>
      <c r="AB735" s="581"/>
      <c r="AC735" s="582">
        <f t="shared" ref="AC735:AC743" si="558">ROUND(AB735*$D735,10)</f>
        <v>0</v>
      </c>
      <c r="AE735" s="769">
        <f t="shared" si="545"/>
        <v>0</v>
      </c>
    </row>
    <row r="736" spans="1:31" ht="15" hidden="1" customHeight="1" x14ac:dyDescent="0.2">
      <c r="A736" s="611" t="s">
        <v>1853</v>
      </c>
      <c r="B736" s="601" t="s">
        <v>1854</v>
      </c>
      <c r="C736" s="611" t="s">
        <v>130</v>
      </c>
      <c r="D736" s="576">
        <f t="shared" si="547"/>
        <v>0</v>
      </c>
      <c r="E736" s="577">
        <f t="shared" si="546"/>
        <v>0</v>
      </c>
      <c r="F736" s="577">
        <f t="shared" si="548"/>
        <v>0</v>
      </c>
      <c r="G736" s="578"/>
      <c r="I736" s="584"/>
      <c r="J736" s="585">
        <f t="shared" si="549"/>
        <v>0</v>
      </c>
      <c r="K736" s="537"/>
      <c r="L736" s="445">
        <f t="shared" si="550"/>
        <v>0</v>
      </c>
      <c r="M736" s="542"/>
      <c r="N736" s="445">
        <f t="shared" si="551"/>
        <v>0</v>
      </c>
      <c r="O736" s="542"/>
      <c r="P736" s="445">
        <f t="shared" si="552"/>
        <v>0</v>
      </c>
      <c r="Q736" s="542"/>
      <c r="R736" s="445">
        <f t="shared" si="553"/>
        <v>0</v>
      </c>
      <c r="S736" s="542"/>
      <c r="T736" s="445">
        <f t="shared" si="554"/>
        <v>0</v>
      </c>
      <c r="V736" s="581"/>
      <c r="W736" s="582">
        <f t="shared" si="555"/>
        <v>0</v>
      </c>
      <c r="X736" s="581"/>
      <c r="Y736" s="582">
        <f t="shared" si="556"/>
        <v>0</v>
      </c>
      <c r="Z736" s="581"/>
      <c r="AA736" s="582">
        <f t="shared" si="557"/>
        <v>0</v>
      </c>
      <c r="AB736" s="581"/>
      <c r="AC736" s="582">
        <f t="shared" si="558"/>
        <v>0</v>
      </c>
      <c r="AE736" s="769">
        <f t="shared" si="545"/>
        <v>0</v>
      </c>
    </row>
    <row r="737" spans="1:31" ht="15" hidden="1" customHeight="1" x14ac:dyDescent="0.2">
      <c r="A737" s="611" t="s">
        <v>1855</v>
      </c>
      <c r="B737" s="601" t="s">
        <v>1856</v>
      </c>
      <c r="C737" s="611" t="s">
        <v>130</v>
      </c>
      <c r="D737" s="576">
        <f t="shared" si="547"/>
        <v>0</v>
      </c>
      <c r="E737" s="577">
        <f t="shared" si="546"/>
        <v>0</v>
      </c>
      <c r="F737" s="577">
        <f t="shared" si="548"/>
        <v>0</v>
      </c>
      <c r="G737" s="578"/>
      <c r="I737" s="584"/>
      <c r="J737" s="585">
        <f t="shared" si="549"/>
        <v>0</v>
      </c>
      <c r="K737" s="537"/>
      <c r="L737" s="445">
        <f t="shared" si="550"/>
        <v>0</v>
      </c>
      <c r="M737" s="542"/>
      <c r="N737" s="445">
        <f t="shared" si="551"/>
        <v>0</v>
      </c>
      <c r="O737" s="542"/>
      <c r="P737" s="445">
        <f t="shared" si="552"/>
        <v>0</v>
      </c>
      <c r="Q737" s="542"/>
      <c r="R737" s="445">
        <f t="shared" si="553"/>
        <v>0</v>
      </c>
      <c r="S737" s="542"/>
      <c r="T737" s="445">
        <f t="shared" si="554"/>
        <v>0</v>
      </c>
      <c r="V737" s="581"/>
      <c r="W737" s="582">
        <f t="shared" si="555"/>
        <v>0</v>
      </c>
      <c r="X737" s="581"/>
      <c r="Y737" s="582">
        <f t="shared" si="556"/>
        <v>0</v>
      </c>
      <c r="Z737" s="581"/>
      <c r="AA737" s="582">
        <f t="shared" si="557"/>
        <v>0</v>
      </c>
      <c r="AB737" s="581"/>
      <c r="AC737" s="582">
        <f t="shared" si="558"/>
        <v>0</v>
      </c>
      <c r="AE737" s="769">
        <f t="shared" si="545"/>
        <v>0</v>
      </c>
    </row>
    <row r="738" spans="1:31" ht="15" hidden="1" customHeight="1" x14ac:dyDescent="0.2">
      <c r="A738" s="611" t="s">
        <v>1857</v>
      </c>
      <c r="B738" s="601" t="s">
        <v>1858</v>
      </c>
      <c r="C738" s="611" t="s">
        <v>130</v>
      </c>
      <c r="D738" s="576">
        <f t="shared" si="547"/>
        <v>0</v>
      </c>
      <c r="E738" s="577">
        <f t="shared" si="546"/>
        <v>0</v>
      </c>
      <c r="F738" s="577">
        <f t="shared" si="548"/>
        <v>0</v>
      </c>
      <c r="G738" s="578"/>
      <c r="I738" s="584"/>
      <c r="J738" s="585">
        <f t="shared" si="549"/>
        <v>0</v>
      </c>
      <c r="K738" s="537"/>
      <c r="L738" s="445">
        <f t="shared" si="550"/>
        <v>0</v>
      </c>
      <c r="M738" s="542"/>
      <c r="N738" s="445">
        <f t="shared" si="551"/>
        <v>0</v>
      </c>
      <c r="O738" s="542"/>
      <c r="P738" s="445">
        <f t="shared" si="552"/>
        <v>0</v>
      </c>
      <c r="Q738" s="542"/>
      <c r="R738" s="445">
        <f t="shared" si="553"/>
        <v>0</v>
      </c>
      <c r="S738" s="542"/>
      <c r="T738" s="445">
        <f t="shared" si="554"/>
        <v>0</v>
      </c>
      <c r="V738" s="581"/>
      <c r="W738" s="582">
        <f t="shared" si="555"/>
        <v>0</v>
      </c>
      <c r="X738" s="581"/>
      <c r="Y738" s="582">
        <f t="shared" si="556"/>
        <v>0</v>
      </c>
      <c r="Z738" s="581"/>
      <c r="AA738" s="582">
        <f t="shared" si="557"/>
        <v>0</v>
      </c>
      <c r="AB738" s="581"/>
      <c r="AC738" s="582">
        <f t="shared" si="558"/>
        <v>0</v>
      </c>
      <c r="AE738" s="769">
        <f t="shared" si="545"/>
        <v>0</v>
      </c>
    </row>
    <row r="739" spans="1:31" ht="15" hidden="1" customHeight="1" x14ac:dyDescent="0.2">
      <c r="A739" s="611" t="s">
        <v>1859</v>
      </c>
      <c r="B739" s="601" t="s">
        <v>1860</v>
      </c>
      <c r="C739" s="611" t="s">
        <v>114</v>
      </c>
      <c r="D739" s="576">
        <f t="shared" si="547"/>
        <v>0</v>
      </c>
      <c r="E739" s="577">
        <f t="shared" si="546"/>
        <v>0</v>
      </c>
      <c r="F739" s="577">
        <f t="shared" si="548"/>
        <v>0</v>
      </c>
      <c r="G739" s="578"/>
      <c r="I739" s="584"/>
      <c r="J739" s="585">
        <f t="shared" si="549"/>
        <v>0</v>
      </c>
      <c r="K739" s="537"/>
      <c r="L739" s="445">
        <f t="shared" si="550"/>
        <v>0</v>
      </c>
      <c r="M739" s="542"/>
      <c r="N739" s="445">
        <f t="shared" si="551"/>
        <v>0</v>
      </c>
      <c r="O739" s="542"/>
      <c r="P739" s="445">
        <f t="shared" si="552"/>
        <v>0</v>
      </c>
      <c r="Q739" s="542"/>
      <c r="R739" s="445">
        <f t="shared" si="553"/>
        <v>0</v>
      </c>
      <c r="S739" s="542"/>
      <c r="T739" s="445">
        <f t="shared" si="554"/>
        <v>0</v>
      </c>
      <c r="V739" s="581"/>
      <c r="W739" s="582">
        <f t="shared" si="555"/>
        <v>0</v>
      </c>
      <c r="X739" s="581"/>
      <c r="Y739" s="582">
        <f t="shared" si="556"/>
        <v>0</v>
      </c>
      <c r="Z739" s="581"/>
      <c r="AA739" s="582">
        <f t="shared" si="557"/>
        <v>0</v>
      </c>
      <c r="AB739" s="581"/>
      <c r="AC739" s="582">
        <f t="shared" si="558"/>
        <v>0</v>
      </c>
      <c r="AE739" s="769">
        <f t="shared" si="545"/>
        <v>0</v>
      </c>
    </row>
    <row r="740" spans="1:31" ht="15" hidden="1" customHeight="1" x14ac:dyDescent="0.2">
      <c r="A740" s="611" t="s">
        <v>1861</v>
      </c>
      <c r="B740" s="601" t="s">
        <v>1862</v>
      </c>
      <c r="C740" s="611" t="s">
        <v>114</v>
      </c>
      <c r="D740" s="576">
        <f t="shared" si="547"/>
        <v>0</v>
      </c>
      <c r="E740" s="577">
        <f t="shared" si="546"/>
        <v>0</v>
      </c>
      <c r="F740" s="577">
        <f t="shared" si="548"/>
        <v>0</v>
      </c>
      <c r="G740" s="578"/>
      <c r="I740" s="584"/>
      <c r="J740" s="585">
        <f t="shared" si="549"/>
        <v>0</v>
      </c>
      <c r="K740" s="537"/>
      <c r="L740" s="445">
        <f t="shared" si="550"/>
        <v>0</v>
      </c>
      <c r="M740" s="542"/>
      <c r="N740" s="445">
        <f t="shared" si="551"/>
        <v>0</v>
      </c>
      <c r="O740" s="542"/>
      <c r="P740" s="445">
        <f t="shared" si="552"/>
        <v>0</v>
      </c>
      <c r="Q740" s="542"/>
      <c r="R740" s="445">
        <f t="shared" si="553"/>
        <v>0</v>
      </c>
      <c r="S740" s="542"/>
      <c r="T740" s="445">
        <f t="shared" si="554"/>
        <v>0</v>
      </c>
      <c r="V740" s="581"/>
      <c r="W740" s="582">
        <f t="shared" si="555"/>
        <v>0</v>
      </c>
      <c r="X740" s="581"/>
      <c r="Y740" s="582">
        <f t="shared" si="556"/>
        <v>0</v>
      </c>
      <c r="Z740" s="581"/>
      <c r="AA740" s="582">
        <f t="shared" si="557"/>
        <v>0</v>
      </c>
      <c r="AB740" s="581"/>
      <c r="AC740" s="582">
        <f t="shared" si="558"/>
        <v>0</v>
      </c>
      <c r="AE740" s="769">
        <f t="shared" si="545"/>
        <v>0</v>
      </c>
    </row>
    <row r="741" spans="1:31" ht="15" hidden="1" customHeight="1" x14ac:dyDescent="0.2">
      <c r="A741" s="611" t="s">
        <v>1863</v>
      </c>
      <c r="B741" s="601" t="s">
        <v>1864</v>
      </c>
      <c r="C741" s="611" t="s">
        <v>111</v>
      </c>
      <c r="D741" s="576">
        <f t="shared" si="547"/>
        <v>0</v>
      </c>
      <c r="E741" s="577">
        <f t="shared" si="546"/>
        <v>0</v>
      </c>
      <c r="F741" s="577">
        <f t="shared" si="548"/>
        <v>0</v>
      </c>
      <c r="G741" s="578"/>
      <c r="I741" s="584"/>
      <c r="J741" s="585">
        <f t="shared" si="549"/>
        <v>0</v>
      </c>
      <c r="K741" s="537"/>
      <c r="L741" s="445">
        <f t="shared" si="550"/>
        <v>0</v>
      </c>
      <c r="M741" s="542"/>
      <c r="N741" s="445">
        <f t="shared" si="551"/>
        <v>0</v>
      </c>
      <c r="O741" s="542"/>
      <c r="P741" s="445">
        <f t="shared" si="552"/>
        <v>0</v>
      </c>
      <c r="Q741" s="542"/>
      <c r="R741" s="445">
        <f t="shared" si="553"/>
        <v>0</v>
      </c>
      <c r="S741" s="542"/>
      <c r="T741" s="445">
        <f t="shared" si="554"/>
        <v>0</v>
      </c>
      <c r="V741" s="581"/>
      <c r="W741" s="582">
        <f t="shared" si="555"/>
        <v>0</v>
      </c>
      <c r="X741" s="581"/>
      <c r="Y741" s="582">
        <f t="shared" si="556"/>
        <v>0</v>
      </c>
      <c r="Z741" s="581"/>
      <c r="AA741" s="582">
        <f t="shared" si="557"/>
        <v>0</v>
      </c>
      <c r="AB741" s="581"/>
      <c r="AC741" s="582">
        <f t="shared" si="558"/>
        <v>0</v>
      </c>
      <c r="AE741" s="769">
        <f t="shared" si="545"/>
        <v>0</v>
      </c>
    </row>
    <row r="742" spans="1:31" ht="15" hidden="1" customHeight="1" x14ac:dyDescent="0.2">
      <c r="A742" s="611" t="s">
        <v>1865</v>
      </c>
      <c r="B742" s="601" t="s">
        <v>1866</v>
      </c>
      <c r="C742" s="611" t="s">
        <v>114</v>
      </c>
      <c r="D742" s="576">
        <f t="shared" si="547"/>
        <v>0</v>
      </c>
      <c r="E742" s="577">
        <f t="shared" si="546"/>
        <v>0</v>
      </c>
      <c r="F742" s="577">
        <f t="shared" si="548"/>
        <v>0</v>
      </c>
      <c r="G742" s="578"/>
      <c r="I742" s="584"/>
      <c r="J742" s="585">
        <f t="shared" si="549"/>
        <v>0</v>
      </c>
      <c r="K742" s="537"/>
      <c r="L742" s="445">
        <f t="shared" si="550"/>
        <v>0</v>
      </c>
      <c r="M742" s="542"/>
      <c r="N742" s="445">
        <f t="shared" si="551"/>
        <v>0</v>
      </c>
      <c r="O742" s="542"/>
      <c r="P742" s="445">
        <f t="shared" si="552"/>
        <v>0</v>
      </c>
      <c r="Q742" s="542"/>
      <c r="R742" s="445">
        <f t="shared" si="553"/>
        <v>0</v>
      </c>
      <c r="S742" s="542"/>
      <c r="T742" s="445">
        <f t="shared" si="554"/>
        <v>0</v>
      </c>
      <c r="V742" s="581"/>
      <c r="W742" s="582">
        <f t="shared" si="555"/>
        <v>0</v>
      </c>
      <c r="X742" s="581"/>
      <c r="Y742" s="582">
        <f t="shared" si="556"/>
        <v>0</v>
      </c>
      <c r="Z742" s="581"/>
      <c r="AA742" s="582">
        <f t="shared" si="557"/>
        <v>0</v>
      </c>
      <c r="AB742" s="581"/>
      <c r="AC742" s="582">
        <f t="shared" si="558"/>
        <v>0</v>
      </c>
      <c r="AE742" s="769">
        <f t="shared" si="545"/>
        <v>0</v>
      </c>
    </row>
    <row r="743" spans="1:31" ht="15" hidden="1" customHeight="1" x14ac:dyDescent="0.2">
      <c r="A743" s="611" t="s">
        <v>1867</v>
      </c>
      <c r="B743" s="601" t="s">
        <v>1395</v>
      </c>
      <c r="C743" s="611"/>
      <c r="D743" s="576">
        <f t="shared" si="547"/>
        <v>0</v>
      </c>
      <c r="E743" s="577">
        <f t="shared" si="546"/>
        <v>0</v>
      </c>
      <c r="F743" s="577">
        <f t="shared" si="548"/>
        <v>0</v>
      </c>
      <c r="G743" s="578"/>
      <c r="I743" s="597"/>
      <c r="J743" s="598">
        <f t="shared" si="549"/>
        <v>0</v>
      </c>
      <c r="K743" s="537"/>
      <c r="L743" s="445">
        <f t="shared" si="550"/>
        <v>0</v>
      </c>
      <c r="M743" s="542"/>
      <c r="N743" s="445">
        <f t="shared" si="551"/>
        <v>0</v>
      </c>
      <c r="O743" s="542"/>
      <c r="P743" s="445">
        <f t="shared" si="552"/>
        <v>0</v>
      </c>
      <c r="Q743" s="542"/>
      <c r="R743" s="445">
        <f t="shared" si="553"/>
        <v>0</v>
      </c>
      <c r="S743" s="542"/>
      <c r="T743" s="445">
        <f t="shared" si="554"/>
        <v>0</v>
      </c>
      <c r="V743" s="581"/>
      <c r="W743" s="582">
        <f t="shared" si="555"/>
        <v>0</v>
      </c>
      <c r="X743" s="581"/>
      <c r="Y743" s="582">
        <f t="shared" si="556"/>
        <v>0</v>
      </c>
      <c r="Z743" s="581"/>
      <c r="AA743" s="582">
        <f t="shared" si="557"/>
        <v>0</v>
      </c>
      <c r="AB743" s="581"/>
      <c r="AC743" s="582">
        <f t="shared" si="558"/>
        <v>0</v>
      </c>
      <c r="AE743" s="769">
        <f t="shared" si="545"/>
        <v>0</v>
      </c>
    </row>
    <row r="744" spans="1:31" ht="15" hidden="1" customHeight="1" x14ac:dyDescent="0.2">
      <c r="A744" s="572" t="s">
        <v>1868</v>
      </c>
      <c r="B744" s="573" t="s">
        <v>1869</v>
      </c>
      <c r="C744" s="846"/>
      <c r="D744" s="576"/>
      <c r="E744" s="577"/>
      <c r="F744" s="180">
        <f>+ROUND(SUM(F745:F751),10)</f>
        <v>0</v>
      </c>
      <c r="G744" s="473"/>
      <c r="H744" s="568"/>
      <c r="I744" s="613"/>
      <c r="J744" s="440">
        <f>ROUND(SUM(J745:J751),10)</f>
        <v>0</v>
      </c>
      <c r="K744" s="537"/>
      <c r="L744" s="180">
        <f>ROUND(SUM(L745:L751),10)</f>
        <v>0</v>
      </c>
      <c r="M744" s="542"/>
      <c r="N744" s="180">
        <f>ROUND(SUM(N745:N751),10)</f>
        <v>0</v>
      </c>
      <c r="O744" s="542"/>
      <c r="P744" s="180">
        <f>ROUND(SUM(P745:P751),10)</f>
        <v>0</v>
      </c>
      <c r="Q744" s="542"/>
      <c r="R744" s="180">
        <f>ROUND(SUM(R745:R751),10)</f>
        <v>0</v>
      </c>
      <c r="S744" s="542"/>
      <c r="T744" s="180">
        <f>ROUND(SUM(T745:T751),10)</f>
        <v>0</v>
      </c>
      <c r="U744" s="568"/>
      <c r="V744" s="575"/>
      <c r="W744" s="570">
        <f>ROUND(SUM(W745:W751),10)</f>
        <v>0</v>
      </c>
      <c r="X744" s="575"/>
      <c r="Y744" s="570">
        <f>ROUND(SUM(Y745:Y751),10)</f>
        <v>0</v>
      </c>
      <c r="Z744" s="575"/>
      <c r="AA744" s="570">
        <f>ROUND(SUM(AA745:AA751),10)</f>
        <v>0</v>
      </c>
      <c r="AB744" s="575"/>
      <c r="AC744" s="570">
        <f>ROUND(SUM(AC745:AC751),10)</f>
        <v>0</v>
      </c>
      <c r="AE744" s="769">
        <f t="shared" si="545"/>
        <v>0</v>
      </c>
    </row>
    <row r="745" spans="1:31" ht="15" hidden="1" customHeight="1" x14ac:dyDescent="0.2">
      <c r="A745" s="611" t="s">
        <v>1870</v>
      </c>
      <c r="B745" s="601" t="s">
        <v>1854</v>
      </c>
      <c r="C745" s="611" t="s">
        <v>130</v>
      </c>
      <c r="D745" s="576">
        <f t="shared" ref="D745:D751" si="559">+I745+K745+M745+O745+Q745+S745</f>
        <v>0</v>
      </c>
      <c r="E745" s="577">
        <f t="shared" si="546"/>
        <v>0</v>
      </c>
      <c r="F745" s="577">
        <f t="shared" ref="F745:F751" si="560">ROUND(D745*E745,10)</f>
        <v>0</v>
      </c>
      <c r="G745" s="578"/>
      <c r="I745" s="594"/>
      <c r="J745" s="580">
        <f t="shared" ref="J745:J751" si="561">+ROUND(E745*I745,10)</f>
        <v>0</v>
      </c>
      <c r="K745" s="537"/>
      <c r="L745" s="445">
        <f t="shared" ref="L745:L751" si="562">+ROUND(E745*K745,10)</f>
        <v>0</v>
      </c>
      <c r="M745" s="542"/>
      <c r="N745" s="445">
        <f t="shared" ref="N745:N751" si="563">+ROUND(E745*M745,10)</f>
        <v>0</v>
      </c>
      <c r="O745" s="542"/>
      <c r="P745" s="445">
        <f t="shared" ref="P745:P751" si="564">+ROUND(E745*O745,10)</f>
        <v>0</v>
      </c>
      <c r="Q745" s="542"/>
      <c r="R745" s="445">
        <f t="shared" ref="R745:R751" si="565">+ROUND(E745*Q745,10)</f>
        <v>0</v>
      </c>
      <c r="S745" s="542"/>
      <c r="T745" s="445">
        <f t="shared" ref="T745:T751" si="566">+ROUND(E745*S745,10)</f>
        <v>0</v>
      </c>
      <c r="V745" s="581"/>
      <c r="W745" s="582">
        <f t="shared" ref="W745:W751" si="567">ROUND(V745*$D745,10)</f>
        <v>0</v>
      </c>
      <c r="X745" s="581"/>
      <c r="Y745" s="582">
        <f t="shared" ref="Y745:Y751" si="568">ROUND(X745*$D745,10)</f>
        <v>0</v>
      </c>
      <c r="Z745" s="581"/>
      <c r="AA745" s="582">
        <f t="shared" ref="AA745:AA751" si="569">ROUND(Z745*$D745,10)</f>
        <v>0</v>
      </c>
      <c r="AB745" s="581"/>
      <c r="AC745" s="582">
        <f t="shared" ref="AC745:AC751" si="570">ROUND(AB745*$D745,10)</f>
        <v>0</v>
      </c>
      <c r="AE745" s="769">
        <f t="shared" si="545"/>
        <v>0</v>
      </c>
    </row>
    <row r="746" spans="1:31" ht="15" hidden="1" customHeight="1" x14ac:dyDescent="0.2">
      <c r="A746" s="611" t="s">
        <v>1871</v>
      </c>
      <c r="B746" s="601" t="s">
        <v>1872</v>
      </c>
      <c r="C746" s="611" t="s">
        <v>111</v>
      </c>
      <c r="D746" s="576">
        <f t="shared" si="559"/>
        <v>0</v>
      </c>
      <c r="E746" s="577">
        <f t="shared" si="546"/>
        <v>0</v>
      </c>
      <c r="F746" s="577">
        <f t="shared" si="560"/>
        <v>0</v>
      </c>
      <c r="G746" s="578"/>
      <c r="I746" s="584"/>
      <c r="J746" s="585">
        <f t="shared" si="561"/>
        <v>0</v>
      </c>
      <c r="K746" s="537"/>
      <c r="L746" s="445">
        <f t="shared" si="562"/>
        <v>0</v>
      </c>
      <c r="M746" s="542"/>
      <c r="N746" s="445">
        <f t="shared" si="563"/>
        <v>0</v>
      </c>
      <c r="O746" s="542"/>
      <c r="P746" s="445">
        <f t="shared" si="564"/>
        <v>0</v>
      </c>
      <c r="Q746" s="542"/>
      <c r="R746" s="445">
        <f t="shared" si="565"/>
        <v>0</v>
      </c>
      <c r="S746" s="542"/>
      <c r="T746" s="445">
        <f t="shared" si="566"/>
        <v>0</v>
      </c>
      <c r="V746" s="581"/>
      <c r="W746" s="582">
        <f t="shared" si="567"/>
        <v>0</v>
      </c>
      <c r="X746" s="581"/>
      <c r="Y746" s="582">
        <f t="shared" si="568"/>
        <v>0</v>
      </c>
      <c r="Z746" s="581"/>
      <c r="AA746" s="582">
        <f t="shared" si="569"/>
        <v>0</v>
      </c>
      <c r="AB746" s="581"/>
      <c r="AC746" s="582">
        <f t="shared" si="570"/>
        <v>0</v>
      </c>
      <c r="AE746" s="769">
        <f t="shared" si="545"/>
        <v>0</v>
      </c>
    </row>
    <row r="747" spans="1:31" ht="15" hidden="1" customHeight="1" x14ac:dyDescent="0.2">
      <c r="A747" s="611" t="s">
        <v>1873</v>
      </c>
      <c r="B747" s="601" t="s">
        <v>1874</v>
      </c>
      <c r="C747" s="611" t="s">
        <v>111</v>
      </c>
      <c r="D747" s="576">
        <f t="shared" si="559"/>
        <v>0</v>
      </c>
      <c r="E747" s="577">
        <f t="shared" si="546"/>
        <v>0</v>
      </c>
      <c r="F747" s="577">
        <f t="shared" si="560"/>
        <v>0</v>
      </c>
      <c r="G747" s="578"/>
      <c r="I747" s="584"/>
      <c r="J747" s="585">
        <f t="shared" si="561"/>
        <v>0</v>
      </c>
      <c r="K747" s="537"/>
      <c r="L747" s="445">
        <f t="shared" si="562"/>
        <v>0</v>
      </c>
      <c r="M747" s="542"/>
      <c r="N747" s="445">
        <f t="shared" si="563"/>
        <v>0</v>
      </c>
      <c r="O747" s="542"/>
      <c r="P747" s="445">
        <f t="shared" si="564"/>
        <v>0</v>
      </c>
      <c r="Q747" s="542"/>
      <c r="R747" s="445">
        <f t="shared" si="565"/>
        <v>0</v>
      </c>
      <c r="S747" s="542"/>
      <c r="T747" s="445">
        <f t="shared" si="566"/>
        <v>0</v>
      </c>
      <c r="V747" s="581"/>
      <c r="W747" s="582">
        <f t="shared" si="567"/>
        <v>0</v>
      </c>
      <c r="X747" s="581"/>
      <c r="Y747" s="582">
        <f t="shared" si="568"/>
        <v>0</v>
      </c>
      <c r="Z747" s="581"/>
      <c r="AA747" s="582">
        <f t="shared" si="569"/>
        <v>0</v>
      </c>
      <c r="AB747" s="581"/>
      <c r="AC747" s="582">
        <f t="shared" si="570"/>
        <v>0</v>
      </c>
      <c r="AE747" s="769">
        <f t="shared" si="545"/>
        <v>0</v>
      </c>
    </row>
    <row r="748" spans="1:31" ht="15" hidden="1" customHeight="1" x14ac:dyDescent="0.2">
      <c r="A748" s="611" t="s">
        <v>1875</v>
      </c>
      <c r="B748" s="601" t="s">
        <v>1876</v>
      </c>
      <c r="C748" s="611" t="s">
        <v>130</v>
      </c>
      <c r="D748" s="576">
        <f t="shared" si="559"/>
        <v>0</v>
      </c>
      <c r="E748" s="577">
        <f t="shared" si="546"/>
        <v>0</v>
      </c>
      <c r="F748" s="577">
        <f t="shared" si="560"/>
        <v>0</v>
      </c>
      <c r="G748" s="578"/>
      <c r="I748" s="584"/>
      <c r="J748" s="585">
        <f t="shared" si="561"/>
        <v>0</v>
      </c>
      <c r="K748" s="537"/>
      <c r="L748" s="445">
        <f t="shared" si="562"/>
        <v>0</v>
      </c>
      <c r="M748" s="542"/>
      <c r="N748" s="445">
        <f t="shared" si="563"/>
        <v>0</v>
      </c>
      <c r="O748" s="542"/>
      <c r="P748" s="445">
        <f t="shared" si="564"/>
        <v>0</v>
      </c>
      <c r="Q748" s="542"/>
      <c r="R748" s="445">
        <f t="shared" si="565"/>
        <v>0</v>
      </c>
      <c r="S748" s="542"/>
      <c r="T748" s="445">
        <f t="shared" si="566"/>
        <v>0</v>
      </c>
      <c r="V748" s="581"/>
      <c r="W748" s="582">
        <f t="shared" si="567"/>
        <v>0</v>
      </c>
      <c r="X748" s="581"/>
      <c r="Y748" s="582">
        <f t="shared" si="568"/>
        <v>0</v>
      </c>
      <c r="Z748" s="581"/>
      <c r="AA748" s="582">
        <f t="shared" si="569"/>
        <v>0</v>
      </c>
      <c r="AB748" s="581"/>
      <c r="AC748" s="582">
        <f t="shared" si="570"/>
        <v>0</v>
      </c>
      <c r="AE748" s="769">
        <f t="shared" si="545"/>
        <v>0</v>
      </c>
    </row>
    <row r="749" spans="1:31" ht="15" hidden="1" customHeight="1" x14ac:dyDescent="0.2">
      <c r="A749" s="611" t="s">
        <v>1877</v>
      </c>
      <c r="B749" s="601" t="s">
        <v>1878</v>
      </c>
      <c r="C749" s="611" t="s">
        <v>130</v>
      </c>
      <c r="D749" s="576">
        <f t="shared" si="559"/>
        <v>0</v>
      </c>
      <c r="E749" s="577">
        <f t="shared" si="546"/>
        <v>0</v>
      </c>
      <c r="F749" s="577">
        <f t="shared" si="560"/>
        <v>0</v>
      </c>
      <c r="G749" s="578"/>
      <c r="I749" s="584"/>
      <c r="J749" s="585">
        <f t="shared" si="561"/>
        <v>0</v>
      </c>
      <c r="K749" s="537"/>
      <c r="L749" s="445">
        <f t="shared" si="562"/>
        <v>0</v>
      </c>
      <c r="M749" s="542"/>
      <c r="N749" s="445">
        <f t="shared" si="563"/>
        <v>0</v>
      </c>
      <c r="O749" s="542"/>
      <c r="P749" s="445">
        <f t="shared" si="564"/>
        <v>0</v>
      </c>
      <c r="Q749" s="542"/>
      <c r="R749" s="445">
        <f t="shared" si="565"/>
        <v>0</v>
      </c>
      <c r="S749" s="542"/>
      <c r="T749" s="445">
        <f t="shared" si="566"/>
        <v>0</v>
      </c>
      <c r="V749" s="581"/>
      <c r="W749" s="582">
        <f t="shared" si="567"/>
        <v>0</v>
      </c>
      <c r="X749" s="581"/>
      <c r="Y749" s="582">
        <f t="shared" si="568"/>
        <v>0</v>
      </c>
      <c r="Z749" s="581"/>
      <c r="AA749" s="582">
        <f t="shared" si="569"/>
        <v>0</v>
      </c>
      <c r="AB749" s="581"/>
      <c r="AC749" s="582">
        <f t="shared" si="570"/>
        <v>0</v>
      </c>
      <c r="AE749" s="769">
        <f t="shared" si="545"/>
        <v>0</v>
      </c>
    </row>
    <row r="750" spans="1:31" ht="15" hidden="1" customHeight="1" x14ac:dyDescent="0.2">
      <c r="A750" s="611" t="s">
        <v>1879</v>
      </c>
      <c r="B750" s="601" t="s">
        <v>1880</v>
      </c>
      <c r="C750" s="611" t="s">
        <v>114</v>
      </c>
      <c r="D750" s="576">
        <f t="shared" si="559"/>
        <v>0</v>
      </c>
      <c r="E750" s="577">
        <f t="shared" si="546"/>
        <v>0</v>
      </c>
      <c r="F750" s="577">
        <f t="shared" si="560"/>
        <v>0</v>
      </c>
      <c r="G750" s="578"/>
      <c r="I750" s="584"/>
      <c r="J750" s="585">
        <f t="shared" si="561"/>
        <v>0</v>
      </c>
      <c r="K750" s="537"/>
      <c r="L750" s="445">
        <f t="shared" si="562"/>
        <v>0</v>
      </c>
      <c r="M750" s="542"/>
      <c r="N750" s="445">
        <f t="shared" si="563"/>
        <v>0</v>
      </c>
      <c r="O750" s="542"/>
      <c r="P750" s="445">
        <f t="shared" si="564"/>
        <v>0</v>
      </c>
      <c r="Q750" s="542"/>
      <c r="R750" s="445">
        <f t="shared" si="565"/>
        <v>0</v>
      </c>
      <c r="S750" s="542"/>
      <c r="T750" s="445">
        <f t="shared" si="566"/>
        <v>0</v>
      </c>
      <c r="V750" s="581"/>
      <c r="W750" s="582">
        <f t="shared" si="567"/>
        <v>0</v>
      </c>
      <c r="X750" s="581"/>
      <c r="Y750" s="582">
        <f t="shared" si="568"/>
        <v>0</v>
      </c>
      <c r="Z750" s="581"/>
      <c r="AA750" s="582">
        <f t="shared" si="569"/>
        <v>0</v>
      </c>
      <c r="AB750" s="581"/>
      <c r="AC750" s="582">
        <f t="shared" si="570"/>
        <v>0</v>
      </c>
      <c r="AE750" s="769">
        <f t="shared" si="545"/>
        <v>0</v>
      </c>
    </row>
    <row r="751" spans="1:31" ht="15" hidden="1" customHeight="1" x14ac:dyDescent="0.2">
      <c r="A751" s="611" t="s">
        <v>1881</v>
      </c>
      <c r="B751" s="601" t="s">
        <v>1395</v>
      </c>
      <c r="C751" s="611"/>
      <c r="D751" s="576">
        <f t="shared" si="559"/>
        <v>0</v>
      </c>
      <c r="E751" s="577">
        <f t="shared" si="546"/>
        <v>0</v>
      </c>
      <c r="F751" s="577">
        <f t="shared" si="560"/>
        <v>0</v>
      </c>
      <c r="G751" s="578"/>
      <c r="I751" s="597"/>
      <c r="J751" s="598">
        <f t="shared" si="561"/>
        <v>0</v>
      </c>
      <c r="K751" s="537"/>
      <c r="L751" s="445">
        <f t="shared" si="562"/>
        <v>0</v>
      </c>
      <c r="M751" s="542"/>
      <c r="N751" s="445">
        <f t="shared" si="563"/>
        <v>0</v>
      </c>
      <c r="O751" s="542"/>
      <c r="P751" s="445">
        <f t="shared" si="564"/>
        <v>0</v>
      </c>
      <c r="Q751" s="542"/>
      <c r="R751" s="445">
        <f t="shared" si="565"/>
        <v>0</v>
      </c>
      <c r="S751" s="542"/>
      <c r="T751" s="445">
        <f t="shared" si="566"/>
        <v>0</v>
      </c>
      <c r="V751" s="581"/>
      <c r="W751" s="582">
        <f t="shared" si="567"/>
        <v>0</v>
      </c>
      <c r="X751" s="581"/>
      <c r="Y751" s="582">
        <f t="shared" si="568"/>
        <v>0</v>
      </c>
      <c r="Z751" s="581"/>
      <c r="AA751" s="582">
        <f t="shared" si="569"/>
        <v>0</v>
      </c>
      <c r="AB751" s="581"/>
      <c r="AC751" s="582">
        <f t="shared" si="570"/>
        <v>0</v>
      </c>
      <c r="AE751" s="769">
        <f t="shared" si="545"/>
        <v>0</v>
      </c>
    </row>
    <row r="752" spans="1:31" ht="15" hidden="1" customHeight="1" x14ac:dyDescent="0.2">
      <c r="A752" s="572" t="s">
        <v>1882</v>
      </c>
      <c r="B752" s="573" t="s">
        <v>598</v>
      </c>
      <c r="C752" s="611"/>
      <c r="D752" s="576"/>
      <c r="E752" s="577"/>
      <c r="F752" s="626">
        <f>+ROUND(SUM(F753:F754),10)</f>
        <v>0</v>
      </c>
      <c r="G752" s="578"/>
      <c r="I752" s="613"/>
      <c r="J752" s="440">
        <f>ROUND(SUM(J753:J754),10)</f>
        <v>0</v>
      </c>
      <c r="K752" s="537"/>
      <c r="L752" s="180">
        <f>ROUND(SUM(L753:L754),10)</f>
        <v>0</v>
      </c>
      <c r="M752" s="542"/>
      <c r="N752" s="180">
        <f>ROUND(SUM(N753:N754),10)</f>
        <v>0</v>
      </c>
      <c r="O752" s="542"/>
      <c r="P752" s="180">
        <f>ROUND(SUM(P753:P754),10)</f>
        <v>0</v>
      </c>
      <c r="Q752" s="542"/>
      <c r="R752" s="180">
        <f>ROUND(SUM(R753:R754),10)</f>
        <v>0</v>
      </c>
      <c r="S752" s="542"/>
      <c r="T752" s="180">
        <f>ROUND(SUM(T753:T754),10)</f>
        <v>0</v>
      </c>
      <c r="V752" s="581"/>
      <c r="W752" s="570">
        <f>ROUND(SUM(W753:W754),10)</f>
        <v>0</v>
      </c>
      <c r="X752" s="581"/>
      <c r="Y752" s="570">
        <f>ROUND(SUM(Y753:Y754),10)</f>
        <v>0</v>
      </c>
      <c r="Z752" s="581"/>
      <c r="AA752" s="570">
        <f>ROUND(SUM(AA753:AA754),10)</f>
        <v>0</v>
      </c>
      <c r="AB752" s="581"/>
      <c r="AC752" s="570">
        <f>ROUND(SUM(AC753:AC754),10)</f>
        <v>0</v>
      </c>
      <c r="AE752" s="769">
        <f t="shared" si="545"/>
        <v>0</v>
      </c>
    </row>
    <row r="753" spans="1:31" ht="15" hidden="1" customHeight="1" x14ac:dyDescent="0.2">
      <c r="A753" s="611" t="s">
        <v>1883</v>
      </c>
      <c r="B753" s="601" t="s">
        <v>1884</v>
      </c>
      <c r="C753" s="611" t="s">
        <v>111</v>
      </c>
      <c r="D753" s="576">
        <f>+I753+K753+M753+O753+Q753+S753</f>
        <v>0</v>
      </c>
      <c r="E753" s="577">
        <f t="shared" si="546"/>
        <v>0</v>
      </c>
      <c r="F753" s="577">
        <f>ROUND(D753*E753,10)</f>
        <v>0</v>
      </c>
      <c r="G753" s="578"/>
      <c r="I753" s="594"/>
      <c r="J753" s="580">
        <f>+ROUND(E753*I753,10)</f>
        <v>0</v>
      </c>
      <c r="K753" s="537"/>
      <c r="L753" s="445">
        <f>+ROUND(E753*K753,10)</f>
        <v>0</v>
      </c>
      <c r="M753" s="542"/>
      <c r="N753" s="445">
        <f>+ROUND(E753*M753,10)</f>
        <v>0</v>
      </c>
      <c r="O753" s="542"/>
      <c r="P753" s="445">
        <f>+ROUND(E753*O753,10)</f>
        <v>0</v>
      </c>
      <c r="Q753" s="542"/>
      <c r="R753" s="445">
        <f>+ROUND(E753*Q753,10)</f>
        <v>0</v>
      </c>
      <c r="S753" s="542"/>
      <c r="T753" s="445">
        <f>+ROUND(E753*S753,10)</f>
        <v>0</v>
      </c>
      <c r="V753" s="581"/>
      <c r="W753" s="582">
        <f>ROUND(V753*$D753,10)</f>
        <v>0</v>
      </c>
      <c r="X753" s="581"/>
      <c r="Y753" s="582">
        <f>ROUND(X753*$D753,10)</f>
        <v>0</v>
      </c>
      <c r="Z753" s="581"/>
      <c r="AA753" s="582">
        <f>ROUND(Z753*$D753,10)</f>
        <v>0</v>
      </c>
      <c r="AB753" s="581"/>
      <c r="AC753" s="582">
        <f>ROUND(AB753*$D753,10)</f>
        <v>0</v>
      </c>
      <c r="AE753" s="769">
        <f t="shared" si="545"/>
        <v>0</v>
      </c>
    </row>
    <row r="754" spans="1:31" ht="15" hidden="1" customHeight="1" thickBot="1" x14ac:dyDescent="0.25">
      <c r="A754" s="611" t="s">
        <v>1885</v>
      </c>
      <c r="B754" s="601" t="s">
        <v>1886</v>
      </c>
      <c r="C754" s="611" t="s">
        <v>111</v>
      </c>
      <c r="D754" s="576">
        <f>+I754+K754+M754+O754+Q754+S754</f>
        <v>0</v>
      </c>
      <c r="E754" s="577">
        <f t="shared" si="546"/>
        <v>0</v>
      </c>
      <c r="F754" s="577">
        <f>ROUND(D754*E754,10)</f>
        <v>0</v>
      </c>
      <c r="G754" s="578"/>
      <c r="I754" s="602"/>
      <c r="J754" s="603">
        <f>+ROUND(E754*I754,10)</f>
        <v>0</v>
      </c>
      <c r="K754" s="537"/>
      <c r="L754" s="445">
        <f>+ROUND(E754*K754,10)</f>
        <v>0</v>
      </c>
      <c r="M754" s="542"/>
      <c r="N754" s="445">
        <f>+ROUND(E754*M754,10)</f>
        <v>0</v>
      </c>
      <c r="O754" s="542"/>
      <c r="P754" s="445">
        <f>+ROUND(E754*O754,10)</f>
        <v>0</v>
      </c>
      <c r="Q754" s="542"/>
      <c r="R754" s="445">
        <f>+ROUND(E754*Q754,10)</f>
        <v>0</v>
      </c>
      <c r="S754" s="542"/>
      <c r="T754" s="445">
        <f>+ROUND(E754*S754,10)</f>
        <v>0</v>
      </c>
      <c r="V754" s="581"/>
      <c r="W754" s="582">
        <f>ROUND(V754*$D754,10)</f>
        <v>0</v>
      </c>
      <c r="X754" s="581"/>
      <c r="Y754" s="582">
        <f>ROUND(X754*$D754,10)</f>
        <v>0</v>
      </c>
      <c r="Z754" s="581"/>
      <c r="AA754" s="582">
        <f>ROUND(Z754*$D754,10)</f>
        <v>0</v>
      </c>
      <c r="AB754" s="581"/>
      <c r="AC754" s="582">
        <f>ROUND(AB754*$D754,10)</f>
        <v>0</v>
      </c>
      <c r="AE754" s="769">
        <f t="shared" si="545"/>
        <v>0</v>
      </c>
    </row>
    <row r="755" spans="1:31" ht="15" hidden="1" customHeight="1" thickTop="1" x14ac:dyDescent="0.2">
      <c r="A755" s="611"/>
      <c r="B755" s="601"/>
      <c r="C755" s="611"/>
      <c r="D755" s="576"/>
      <c r="E755" s="577"/>
      <c r="F755" s="577"/>
      <c r="G755" s="578"/>
      <c r="I755" s="604"/>
      <c r="J755" s="635"/>
      <c r="K755" s="537"/>
      <c r="L755" s="445"/>
      <c r="M755" s="542"/>
      <c r="N755" s="445"/>
      <c r="O755" s="542"/>
      <c r="P755" s="445"/>
      <c r="Q755" s="542"/>
      <c r="R755" s="445"/>
      <c r="S755" s="542"/>
      <c r="T755" s="445"/>
      <c r="V755" s="581"/>
      <c r="W755" s="582"/>
      <c r="X755" s="581"/>
      <c r="Y755" s="582"/>
      <c r="Z755" s="581"/>
      <c r="AA755" s="582"/>
      <c r="AB755" s="581"/>
      <c r="AC755" s="582"/>
      <c r="AE755" s="769">
        <f t="shared" si="545"/>
        <v>0</v>
      </c>
    </row>
    <row r="756" spans="1:31" s="657" customFormat="1" ht="6.75" customHeight="1" thickBot="1" x14ac:dyDescent="0.25">
      <c r="A756" s="919"/>
      <c r="B756" s="920"/>
      <c r="C756" s="919"/>
      <c r="D756" s="655"/>
      <c r="E756" s="656"/>
      <c r="F756" s="656"/>
      <c r="G756" s="656"/>
      <c r="I756" s="658"/>
      <c r="J756" s="658"/>
      <c r="K756" s="659"/>
      <c r="L756" s="658"/>
      <c r="M756" s="174"/>
      <c r="N756" s="658"/>
      <c r="O756" s="174"/>
      <c r="P756" s="658"/>
      <c r="Q756" s="174"/>
      <c r="R756" s="658"/>
      <c r="S756" s="174"/>
      <c r="T756" s="658"/>
      <c r="V756" s="667"/>
      <c r="W756" s="667"/>
      <c r="X756" s="667"/>
      <c r="Y756" s="667"/>
      <c r="Z756" s="667"/>
      <c r="AA756" s="667"/>
      <c r="AB756" s="667"/>
      <c r="AC756" s="667"/>
      <c r="AE756" s="769">
        <f t="shared" si="545"/>
        <v>0</v>
      </c>
    </row>
    <row r="757" spans="1:31" s="571" customFormat="1" ht="30" customHeight="1" thickTop="1" thickBot="1" x14ac:dyDescent="0.25">
      <c r="A757" s="564">
        <v>19</v>
      </c>
      <c r="B757" s="1068" t="s">
        <v>1887</v>
      </c>
      <c r="C757" s="1069"/>
      <c r="D757" s="1069"/>
      <c r="E757" s="1069"/>
      <c r="F757" s="1070"/>
      <c r="G757" s="180" t="e">
        <f>ROUND(F758+F764+F768,10)</f>
        <v>#REF!</v>
      </c>
      <c r="H757" s="568"/>
      <c r="I757" s="616"/>
      <c r="J757" s="439" t="e">
        <f>+ROUND(J758+J764+J768,10)</f>
        <v>#REF!</v>
      </c>
      <c r="K757" s="617"/>
      <c r="L757" s="180" t="e">
        <f>+ROUND(L758+L764+L768,10)</f>
        <v>#REF!</v>
      </c>
      <c r="M757" s="180"/>
      <c r="N757" s="180" t="e">
        <f>+ROUND(N758+N764+N768,10)</f>
        <v>#REF!</v>
      </c>
      <c r="O757" s="180"/>
      <c r="P757" s="180" t="e">
        <f>+ROUND(P758+P764+P768,10)</f>
        <v>#REF!</v>
      </c>
      <c r="Q757" s="180"/>
      <c r="R757" s="180" t="e">
        <f>+ROUND(R758+R764+R768,10)</f>
        <v>#REF!</v>
      </c>
      <c r="S757" s="180"/>
      <c r="T757" s="180" t="e">
        <f>+ROUND(T758+T764+T768,10)</f>
        <v>#REF!</v>
      </c>
      <c r="U757" s="568"/>
      <c r="V757" s="569" t="e">
        <f>W757/$G$757</f>
        <v>#REF!</v>
      </c>
      <c r="W757" s="570" t="e">
        <f>ROUND(W758+W764+W768,10)</f>
        <v>#REF!</v>
      </c>
      <c r="X757" s="569" t="e">
        <f>Y757/$G$757</f>
        <v>#REF!</v>
      </c>
      <c r="Y757" s="570" t="e">
        <f>ROUND(Y758+Y764+Y768,10)</f>
        <v>#REF!</v>
      </c>
      <c r="Z757" s="569" t="e">
        <f>AA757/$G$757</f>
        <v>#REF!</v>
      </c>
      <c r="AA757" s="570" t="e">
        <f>ROUND(AA758+AA764+AA768,10)</f>
        <v>#REF!</v>
      </c>
      <c r="AB757" s="569" t="e">
        <f>AC757/$G$757</f>
        <v>#REF!</v>
      </c>
      <c r="AC757" s="570" t="e">
        <f>ROUND(AC758+AC764+AC768,10)</f>
        <v>#REF!</v>
      </c>
      <c r="AE757" s="769" t="e">
        <f t="shared" si="545"/>
        <v>#REF!</v>
      </c>
    </row>
    <row r="758" spans="1:31" ht="15" customHeight="1" thickTop="1" x14ac:dyDescent="0.2">
      <c r="A758" s="572" t="s">
        <v>1888</v>
      </c>
      <c r="B758" s="573" t="s">
        <v>1889</v>
      </c>
      <c r="C758" s="611"/>
      <c r="D758" s="576"/>
      <c r="E758" s="577"/>
      <c r="F758" s="626" t="e">
        <f>+ROUND(SUM(F759:F763),10)</f>
        <v>#REF!</v>
      </c>
      <c r="G758" s="578"/>
      <c r="I758" s="618"/>
      <c r="J758" s="439" t="e">
        <f>ROUND(SUM(J759:J763),10)</f>
        <v>#REF!</v>
      </c>
      <c r="K758" s="619"/>
      <c r="L758" s="180" t="e">
        <f>ROUND(SUM(L759:L763),10)</f>
        <v>#REF!</v>
      </c>
      <c r="M758" s="473"/>
      <c r="N758" s="180" t="e">
        <f>ROUND(SUM(N759:N763),10)</f>
        <v>#REF!</v>
      </c>
      <c r="O758" s="473"/>
      <c r="P758" s="180" t="e">
        <f>ROUND(SUM(P759:P763),10)</f>
        <v>#REF!</v>
      </c>
      <c r="Q758" s="473"/>
      <c r="R758" s="180" t="e">
        <f>ROUND(SUM(R759:R763),10)</f>
        <v>#REF!</v>
      </c>
      <c r="S758" s="473"/>
      <c r="T758" s="180" t="e">
        <f>ROUND(SUM(T759:T763),10)</f>
        <v>#REF!</v>
      </c>
      <c r="V758" s="581"/>
      <c r="W758" s="570" t="e">
        <f>ROUND(SUM(W759:W763),10)</f>
        <v>#REF!</v>
      </c>
      <c r="X758" s="581"/>
      <c r="Y758" s="570" t="e">
        <f>ROUND(SUM(Y759:Y763),10)</f>
        <v>#REF!</v>
      </c>
      <c r="Z758" s="581"/>
      <c r="AA758" s="570" t="e">
        <f>ROUND(SUM(AA759:AA763),10)</f>
        <v>#REF!</v>
      </c>
      <c r="AB758" s="581"/>
      <c r="AC758" s="570">
        <f>ROUND(SUM(AC759:AC763),10)</f>
        <v>0</v>
      </c>
      <c r="AE758" s="769" t="e">
        <f t="shared" si="545"/>
        <v>#REF!</v>
      </c>
    </row>
    <row r="759" spans="1:31" ht="15" customHeight="1" x14ac:dyDescent="0.2">
      <c r="A759" s="611" t="s">
        <v>1890</v>
      </c>
      <c r="B759" s="601" t="s">
        <v>1891</v>
      </c>
      <c r="C759" s="611" t="s">
        <v>111</v>
      </c>
      <c r="D759" s="576">
        <f t="shared" ref="D759:D767" si="571">+I759+K759+M759+O759+Q759+S759</f>
        <v>18</v>
      </c>
      <c r="E759" s="577" t="e">
        <f>V759+X759+Z759+AB759</f>
        <v>#REF!</v>
      </c>
      <c r="F759" s="577" t="e">
        <f>ROUND(D759*E759,10)</f>
        <v>#REF!</v>
      </c>
      <c r="G759" s="578"/>
      <c r="I759" s="594"/>
      <c r="J759" s="580" t="e">
        <f>+ROUND(E759*I759,10)</f>
        <v>#REF!</v>
      </c>
      <c r="K759" s="537">
        <v>13</v>
      </c>
      <c r="L759" s="445" t="e">
        <f>+ROUND(E759*K759,10)</f>
        <v>#REF!</v>
      </c>
      <c r="M759" s="542">
        <v>2</v>
      </c>
      <c r="N759" s="445" t="e">
        <f>+ROUND(E759*M759,10)</f>
        <v>#REF!</v>
      </c>
      <c r="O759" s="542">
        <v>3</v>
      </c>
      <c r="P759" s="445" t="e">
        <f>+ROUND(E759*O759,10)</f>
        <v>#REF!</v>
      </c>
      <c r="Q759" s="542"/>
      <c r="R759" s="445" t="e">
        <f>+ROUND(E759*Q759,10)</f>
        <v>#REF!</v>
      </c>
      <c r="S759" s="542"/>
      <c r="T759" s="445" t="e">
        <f>+ROUND(E759*S759,10)</f>
        <v>#REF!</v>
      </c>
      <c r="V759" s="581" t="e">
        <f>+#REF!</f>
        <v>#REF!</v>
      </c>
      <c r="W759" s="582" t="e">
        <f>ROUND(V759*$D759,10)</f>
        <v>#REF!</v>
      </c>
      <c r="X759" s="581" t="e">
        <f>+#REF!</f>
        <v>#REF!</v>
      </c>
      <c r="Y759" s="582" t="e">
        <f>ROUND(X759*$D759,10)</f>
        <v>#REF!</v>
      </c>
      <c r="Z759" s="581" t="e">
        <f>+#REF!</f>
        <v>#REF!</v>
      </c>
      <c r="AA759" s="582" t="e">
        <f>ROUND(Z759*$D759,10)</f>
        <v>#REF!</v>
      </c>
      <c r="AB759" s="581"/>
      <c r="AC759" s="582">
        <f>ROUND(AB759*$D759,10)</f>
        <v>0</v>
      </c>
      <c r="AE759" s="769" t="e">
        <f t="shared" si="545"/>
        <v>#REF!</v>
      </c>
    </row>
    <row r="760" spans="1:31" ht="15" hidden="1" customHeight="1" x14ac:dyDescent="0.2">
      <c r="A760" s="611" t="s">
        <v>1892</v>
      </c>
      <c r="B760" s="601" t="s">
        <v>1893</v>
      </c>
      <c r="C760" s="611" t="s">
        <v>111</v>
      </c>
      <c r="D760" s="576">
        <f t="shared" si="571"/>
        <v>0</v>
      </c>
      <c r="E760" s="577">
        <f t="shared" ref="E760:E772" si="572">V760+X760+Z760+AB760</f>
        <v>0</v>
      </c>
      <c r="F760" s="577">
        <f>ROUND(D760*E760,10)</f>
        <v>0</v>
      </c>
      <c r="G760" s="578"/>
      <c r="I760" s="584"/>
      <c r="J760" s="585">
        <f>+ROUND(E760*I760,10)</f>
        <v>0</v>
      </c>
      <c r="K760" s="537"/>
      <c r="L760" s="445">
        <f>+ROUND(E760*K760,10)</f>
        <v>0</v>
      </c>
      <c r="M760" s="542"/>
      <c r="N760" s="445">
        <f>+ROUND(E760*M760,10)</f>
        <v>0</v>
      </c>
      <c r="O760" s="542"/>
      <c r="P760" s="445">
        <f>+ROUND(E760*O760,10)</f>
        <v>0</v>
      </c>
      <c r="Q760" s="542"/>
      <c r="R760" s="445">
        <f>+ROUND(E760*Q760,10)</f>
        <v>0</v>
      </c>
      <c r="S760" s="542"/>
      <c r="T760" s="445">
        <f>+ROUND(E760*S760,10)</f>
        <v>0</v>
      </c>
      <c r="V760" s="581"/>
      <c r="W760" s="582">
        <f>ROUND(V760*$D760,10)</f>
        <v>0</v>
      </c>
      <c r="X760" s="581"/>
      <c r="Y760" s="582">
        <f>ROUND(X760*$D760,10)</f>
        <v>0</v>
      </c>
      <c r="Z760" s="581"/>
      <c r="AA760" s="582">
        <f>ROUND(Z760*$D760,10)</f>
        <v>0</v>
      </c>
      <c r="AB760" s="581"/>
      <c r="AC760" s="582">
        <f>ROUND(AB760*$D760,10)</f>
        <v>0</v>
      </c>
      <c r="AE760" s="769">
        <f t="shared" si="545"/>
        <v>0</v>
      </c>
    </row>
    <row r="761" spans="1:31" ht="15" hidden="1" customHeight="1" x14ac:dyDescent="0.2">
      <c r="A761" s="611" t="s">
        <v>1894</v>
      </c>
      <c r="B761" s="601" t="s">
        <v>1895</v>
      </c>
      <c r="C761" s="611" t="s">
        <v>111</v>
      </c>
      <c r="D761" s="576">
        <f t="shared" si="571"/>
        <v>0</v>
      </c>
      <c r="E761" s="577">
        <f t="shared" si="572"/>
        <v>0</v>
      </c>
      <c r="F761" s="577">
        <f>ROUND(D761*E761,10)</f>
        <v>0</v>
      </c>
      <c r="G761" s="578"/>
      <c r="I761" s="584"/>
      <c r="J761" s="585">
        <f>+ROUND(E761*I761,10)</f>
        <v>0</v>
      </c>
      <c r="K761" s="537"/>
      <c r="L761" s="445">
        <f>+ROUND(E761*K761,10)</f>
        <v>0</v>
      </c>
      <c r="M761" s="542"/>
      <c r="N761" s="445">
        <f>+ROUND(E761*M761,10)</f>
        <v>0</v>
      </c>
      <c r="O761" s="542"/>
      <c r="P761" s="445">
        <f>+ROUND(E761*O761,10)</f>
        <v>0</v>
      </c>
      <c r="Q761" s="542"/>
      <c r="R761" s="445">
        <f>+ROUND(E761*Q761,10)</f>
        <v>0</v>
      </c>
      <c r="S761" s="542"/>
      <c r="T761" s="445">
        <f>+ROUND(E761*S761,10)</f>
        <v>0</v>
      </c>
      <c r="V761" s="581"/>
      <c r="W761" s="582">
        <f>ROUND(V761*$D761,10)</f>
        <v>0</v>
      </c>
      <c r="X761" s="581"/>
      <c r="Y761" s="582">
        <f>ROUND(X761*$D761,10)</f>
        <v>0</v>
      </c>
      <c r="Z761" s="581"/>
      <c r="AA761" s="582">
        <f>ROUND(Z761*$D761,10)</f>
        <v>0</v>
      </c>
      <c r="AB761" s="581"/>
      <c r="AC761" s="582">
        <f>ROUND(AB761*$D761,10)</f>
        <v>0</v>
      </c>
      <c r="AE761" s="769">
        <f t="shared" si="545"/>
        <v>0</v>
      </c>
    </row>
    <row r="762" spans="1:31" ht="15.75" hidden="1" customHeight="1" x14ac:dyDescent="0.2">
      <c r="A762" s="611" t="s">
        <v>1896</v>
      </c>
      <c r="B762" s="601" t="s">
        <v>1897</v>
      </c>
      <c r="C762" s="611" t="s">
        <v>111</v>
      </c>
      <c r="D762" s="576">
        <f t="shared" si="571"/>
        <v>0</v>
      </c>
      <c r="E762" s="577">
        <f t="shared" si="572"/>
        <v>0</v>
      </c>
      <c r="F762" s="577">
        <f>ROUND(D762*E762,10)</f>
        <v>0</v>
      </c>
      <c r="G762" s="578"/>
      <c r="I762" s="584"/>
      <c r="J762" s="585">
        <f>+ROUND(E762*I762,10)</f>
        <v>0</v>
      </c>
      <c r="K762" s="537"/>
      <c r="L762" s="445">
        <f>+ROUND(E762*K762,10)</f>
        <v>0</v>
      </c>
      <c r="M762" s="542"/>
      <c r="N762" s="445">
        <f>+ROUND(E762*M762,10)</f>
        <v>0</v>
      </c>
      <c r="O762" s="542"/>
      <c r="P762" s="445">
        <f>+ROUND(E762*O762,10)</f>
        <v>0</v>
      </c>
      <c r="Q762" s="542"/>
      <c r="R762" s="445">
        <f>+ROUND(E762*Q762,10)</f>
        <v>0</v>
      </c>
      <c r="S762" s="542"/>
      <c r="T762" s="445">
        <f>+ROUND(E762*S762,10)</f>
        <v>0</v>
      </c>
      <c r="V762" s="581"/>
      <c r="W762" s="582">
        <f>ROUND(V762*$D762,10)</f>
        <v>0</v>
      </c>
      <c r="X762" s="581"/>
      <c r="Y762" s="582">
        <f>ROUND(X762*$D762,10)</f>
        <v>0</v>
      </c>
      <c r="Z762" s="581"/>
      <c r="AA762" s="582">
        <f>ROUND(Z762*$D762,10)</f>
        <v>0</v>
      </c>
      <c r="AB762" s="581"/>
      <c r="AC762" s="582">
        <f>ROUND(AB762*$D762,10)</f>
        <v>0</v>
      </c>
      <c r="AE762" s="769">
        <f t="shared" si="545"/>
        <v>0</v>
      </c>
    </row>
    <row r="763" spans="1:31" s="595" customFormat="1" ht="18" hidden="1" customHeight="1" x14ac:dyDescent="0.2">
      <c r="A763" s="611" t="s">
        <v>1898</v>
      </c>
      <c r="B763" s="601" t="s">
        <v>1899</v>
      </c>
      <c r="C763" s="611"/>
      <c r="D763" s="576">
        <f t="shared" si="571"/>
        <v>0</v>
      </c>
      <c r="E763" s="577">
        <f t="shared" si="572"/>
        <v>0</v>
      </c>
      <c r="F763" s="577">
        <f>ROUND(D763*E763,10)</f>
        <v>0</v>
      </c>
      <c r="G763" s="578"/>
      <c r="H763" s="552"/>
      <c r="I763" s="597"/>
      <c r="J763" s="598">
        <f>+ROUND(E763*I763,10)</f>
        <v>0</v>
      </c>
      <c r="K763" s="537"/>
      <c r="L763" s="445">
        <f>+ROUND(E763*K763,10)</f>
        <v>0</v>
      </c>
      <c r="M763" s="542"/>
      <c r="N763" s="445">
        <f>+ROUND(E763*M763,10)</f>
        <v>0</v>
      </c>
      <c r="O763" s="542"/>
      <c r="P763" s="445">
        <f>+ROUND(E763*O763,10)</f>
        <v>0</v>
      </c>
      <c r="Q763" s="542"/>
      <c r="R763" s="445">
        <f>+ROUND(E763*Q763,10)</f>
        <v>0</v>
      </c>
      <c r="S763" s="542"/>
      <c r="T763" s="445">
        <f>+ROUND(E763*S763,10)</f>
        <v>0</v>
      </c>
      <c r="U763" s="552"/>
      <c r="V763" s="581"/>
      <c r="W763" s="582">
        <f>ROUND(V763*$D763,10)</f>
        <v>0</v>
      </c>
      <c r="X763" s="581"/>
      <c r="Y763" s="582">
        <f>ROUND(X763*$D763,10)</f>
        <v>0</v>
      </c>
      <c r="Z763" s="581"/>
      <c r="AA763" s="582">
        <f>ROUND(Z763*$D763,10)</f>
        <v>0</v>
      </c>
      <c r="AB763" s="581"/>
      <c r="AC763" s="582">
        <f>ROUND(AB763*$D763,10)</f>
        <v>0</v>
      </c>
      <c r="AD763" s="912"/>
      <c r="AE763" s="769">
        <f t="shared" si="545"/>
        <v>0</v>
      </c>
    </row>
    <row r="764" spans="1:31" s="595" customFormat="1" ht="15.75" hidden="1" customHeight="1" x14ac:dyDescent="0.2">
      <c r="A764" s="572" t="s">
        <v>1900</v>
      </c>
      <c r="B764" s="573" t="s">
        <v>1901</v>
      </c>
      <c r="C764" s="846"/>
      <c r="D764" s="576">
        <f t="shared" si="571"/>
        <v>0</v>
      </c>
      <c r="E764" s="577"/>
      <c r="F764" s="180">
        <f>+ROUND(SUM(F765:F767),10)</f>
        <v>0</v>
      </c>
      <c r="G764" s="473"/>
      <c r="H764" s="568"/>
      <c r="I764" s="613"/>
      <c r="J764" s="440">
        <f>ROUND(SUM(J765:J767),10)</f>
        <v>0</v>
      </c>
      <c r="K764" s="537"/>
      <c r="L764" s="180">
        <f>ROUND(SUM(L765:L767),10)</f>
        <v>0</v>
      </c>
      <c r="M764" s="542"/>
      <c r="N764" s="180">
        <f>ROUND(SUM(N765:N767),10)</f>
        <v>0</v>
      </c>
      <c r="O764" s="542"/>
      <c r="P764" s="180">
        <f>ROUND(SUM(P765:P767),10)</f>
        <v>0</v>
      </c>
      <c r="Q764" s="542"/>
      <c r="R764" s="180">
        <f>ROUND(SUM(R765:R767),10)</f>
        <v>0</v>
      </c>
      <c r="S764" s="542"/>
      <c r="T764" s="180">
        <f>ROUND(SUM(T765:T767),10)</f>
        <v>0</v>
      </c>
      <c r="U764" s="568"/>
      <c r="V764" s="575"/>
      <c r="W764" s="570">
        <f>ROUND(SUM(W765:W767),10)</f>
        <v>0</v>
      </c>
      <c r="X764" s="575"/>
      <c r="Y764" s="570">
        <f>ROUND(SUM(Y765:Y767),10)</f>
        <v>0</v>
      </c>
      <c r="Z764" s="575"/>
      <c r="AA764" s="570">
        <f>ROUND(SUM(AA765:AA767),10)</f>
        <v>0</v>
      </c>
      <c r="AB764" s="575"/>
      <c r="AC764" s="570">
        <f>ROUND(SUM(AC765:AC767),10)</f>
        <v>0</v>
      </c>
      <c r="AD764" s="912"/>
      <c r="AE764" s="769">
        <f t="shared" si="545"/>
        <v>0</v>
      </c>
    </row>
    <row r="765" spans="1:31" s="595" customFormat="1" ht="15" hidden="1" customHeight="1" x14ac:dyDescent="0.2">
      <c r="A765" s="611" t="s">
        <v>1902</v>
      </c>
      <c r="B765" s="601" t="s">
        <v>1903</v>
      </c>
      <c r="C765" s="611" t="s">
        <v>111</v>
      </c>
      <c r="D765" s="576">
        <f t="shared" si="571"/>
        <v>0</v>
      </c>
      <c r="E765" s="577">
        <f t="shared" si="572"/>
        <v>0</v>
      </c>
      <c r="F765" s="577">
        <f>ROUND(D765*E765,10)</f>
        <v>0</v>
      </c>
      <c r="G765" s="578"/>
      <c r="H765" s="552"/>
      <c r="I765" s="594"/>
      <c r="J765" s="580">
        <f>+ROUND(E765*I765,10)</f>
        <v>0</v>
      </c>
      <c r="K765" s="537"/>
      <c r="L765" s="445">
        <f>+ROUND(E765*K765,10)</f>
        <v>0</v>
      </c>
      <c r="M765" s="542"/>
      <c r="N765" s="445">
        <f>+ROUND(E765*M765,10)</f>
        <v>0</v>
      </c>
      <c r="O765" s="542"/>
      <c r="P765" s="445">
        <f>+ROUND(E765*O765,10)</f>
        <v>0</v>
      </c>
      <c r="Q765" s="542"/>
      <c r="R765" s="445">
        <f>+ROUND(E765*Q765,10)</f>
        <v>0</v>
      </c>
      <c r="S765" s="542"/>
      <c r="T765" s="445">
        <f>+ROUND(E765*S765,10)</f>
        <v>0</v>
      </c>
      <c r="U765" s="552"/>
      <c r="V765" s="581"/>
      <c r="W765" s="582">
        <f>ROUND(V765*$D765,10)</f>
        <v>0</v>
      </c>
      <c r="X765" s="581"/>
      <c r="Y765" s="582">
        <f>ROUND(X765*$D765,10)</f>
        <v>0</v>
      </c>
      <c r="Z765" s="581"/>
      <c r="AA765" s="582">
        <f>ROUND(Z765*$D765,10)</f>
        <v>0</v>
      </c>
      <c r="AB765" s="581"/>
      <c r="AC765" s="582">
        <f>ROUND(AB765*$D765,10)</f>
        <v>0</v>
      </c>
      <c r="AD765" s="912"/>
      <c r="AE765" s="769">
        <f t="shared" si="545"/>
        <v>0</v>
      </c>
    </row>
    <row r="766" spans="1:31" s="595" customFormat="1" ht="15" hidden="1" customHeight="1" x14ac:dyDescent="0.2">
      <c r="A766" s="611" t="s">
        <v>1904</v>
      </c>
      <c r="B766" s="601" t="s">
        <v>1905</v>
      </c>
      <c r="C766" s="611" t="s">
        <v>111</v>
      </c>
      <c r="D766" s="576">
        <f t="shared" si="571"/>
        <v>0</v>
      </c>
      <c r="E766" s="577">
        <f t="shared" si="572"/>
        <v>0</v>
      </c>
      <c r="F766" s="577">
        <f>ROUND(D766*E766,10)</f>
        <v>0</v>
      </c>
      <c r="G766" s="578"/>
      <c r="H766" s="552"/>
      <c r="I766" s="584"/>
      <c r="J766" s="585">
        <f>+ROUND(E766*I766,10)</f>
        <v>0</v>
      </c>
      <c r="K766" s="537"/>
      <c r="L766" s="445">
        <f>+ROUND(E766*K766,10)</f>
        <v>0</v>
      </c>
      <c r="M766" s="542"/>
      <c r="N766" s="445">
        <f>+ROUND(E766*M766,10)</f>
        <v>0</v>
      </c>
      <c r="O766" s="542"/>
      <c r="P766" s="445">
        <f>+ROUND(E766*O766,10)</f>
        <v>0</v>
      </c>
      <c r="Q766" s="542"/>
      <c r="R766" s="445">
        <f>+ROUND(E766*Q766,10)</f>
        <v>0</v>
      </c>
      <c r="S766" s="542"/>
      <c r="T766" s="445">
        <f>+ROUND(E766*S766,10)</f>
        <v>0</v>
      </c>
      <c r="U766" s="552"/>
      <c r="V766" s="581"/>
      <c r="W766" s="582">
        <f>ROUND(V766*$D766,10)</f>
        <v>0</v>
      </c>
      <c r="X766" s="581"/>
      <c r="Y766" s="582">
        <f>ROUND(X766*$D766,10)</f>
        <v>0</v>
      </c>
      <c r="Z766" s="581"/>
      <c r="AA766" s="582">
        <f>ROUND(Z766*$D766,10)</f>
        <v>0</v>
      </c>
      <c r="AB766" s="581"/>
      <c r="AC766" s="582">
        <f>ROUND(AB766*$D766,10)</f>
        <v>0</v>
      </c>
      <c r="AD766" s="912"/>
      <c r="AE766" s="769">
        <f t="shared" si="545"/>
        <v>0</v>
      </c>
    </row>
    <row r="767" spans="1:31" s="595" customFormat="1" ht="15" hidden="1" customHeight="1" x14ac:dyDescent="0.2">
      <c r="A767" s="611" t="s">
        <v>1906</v>
      </c>
      <c r="B767" s="601" t="s">
        <v>1907</v>
      </c>
      <c r="C767" s="611" t="s">
        <v>111</v>
      </c>
      <c r="D767" s="576">
        <f t="shared" si="571"/>
        <v>0</v>
      </c>
      <c r="E767" s="577">
        <f t="shared" si="572"/>
        <v>0</v>
      </c>
      <c r="F767" s="577">
        <f>ROUND(D767*E767,10)</f>
        <v>0</v>
      </c>
      <c r="G767" s="578"/>
      <c r="H767" s="552"/>
      <c r="I767" s="597"/>
      <c r="J767" s="598">
        <f>+ROUND(E767*I767,10)</f>
        <v>0</v>
      </c>
      <c r="K767" s="537"/>
      <c r="L767" s="445">
        <f>+ROUND(E767*K767,10)</f>
        <v>0</v>
      </c>
      <c r="M767" s="542"/>
      <c r="N767" s="445">
        <f>+ROUND(E767*M767,10)</f>
        <v>0</v>
      </c>
      <c r="O767" s="542"/>
      <c r="P767" s="445">
        <f>+ROUND(E767*O767,10)</f>
        <v>0</v>
      </c>
      <c r="Q767" s="542"/>
      <c r="R767" s="445">
        <f>+ROUND(E767*Q767,10)</f>
        <v>0</v>
      </c>
      <c r="S767" s="542"/>
      <c r="T767" s="445">
        <f>+ROUND(E767*S767,10)</f>
        <v>0</v>
      </c>
      <c r="U767" s="552"/>
      <c r="V767" s="581"/>
      <c r="W767" s="582">
        <f>ROUND(V767*$D767,10)</f>
        <v>0</v>
      </c>
      <c r="X767" s="581"/>
      <c r="Y767" s="582">
        <f>ROUND(X767*$D767,10)</f>
        <v>0</v>
      </c>
      <c r="Z767" s="581"/>
      <c r="AA767" s="582">
        <f>ROUND(Z767*$D767,10)</f>
        <v>0</v>
      </c>
      <c r="AB767" s="581"/>
      <c r="AC767" s="582">
        <f>ROUND(AB767*$D767,10)</f>
        <v>0</v>
      </c>
      <c r="AD767" s="912"/>
      <c r="AE767" s="769">
        <f t="shared" si="545"/>
        <v>0</v>
      </c>
    </row>
    <row r="768" spans="1:31" s="595" customFormat="1" ht="15.75" x14ac:dyDescent="0.2">
      <c r="A768" s="572" t="s">
        <v>1908</v>
      </c>
      <c r="B768" s="573" t="s">
        <v>1909</v>
      </c>
      <c r="C768" s="846"/>
      <c r="D768" s="576"/>
      <c r="E768" s="577"/>
      <c r="F768" s="180" t="e">
        <f>+ROUND(SUM(F769:F772),10)</f>
        <v>#REF!</v>
      </c>
      <c r="G768" s="473"/>
      <c r="H768" s="568"/>
      <c r="I768" s="613"/>
      <c r="J768" s="440" t="e">
        <f>ROUND(SUM(J769:J772),10)</f>
        <v>#REF!</v>
      </c>
      <c r="K768" s="537"/>
      <c r="L768" s="180" t="e">
        <f>ROUND(SUM(L769:L772),10)</f>
        <v>#REF!</v>
      </c>
      <c r="M768" s="542"/>
      <c r="N768" s="180" t="e">
        <f>ROUND(SUM(N769:N772),10)</f>
        <v>#REF!</v>
      </c>
      <c r="O768" s="542"/>
      <c r="P768" s="180" t="e">
        <f>ROUND(SUM(P769:P772),10)</f>
        <v>#REF!</v>
      </c>
      <c r="Q768" s="542"/>
      <c r="R768" s="180" t="e">
        <f>ROUND(SUM(R769:R772),10)</f>
        <v>#REF!</v>
      </c>
      <c r="S768" s="542"/>
      <c r="T768" s="180" t="e">
        <f>ROUND(SUM(T769:T772),10)</f>
        <v>#REF!</v>
      </c>
      <c r="U768" s="568"/>
      <c r="V768" s="575"/>
      <c r="W768" s="570" t="e">
        <f>ROUND(SUM(W769:W772),10)</f>
        <v>#REF!</v>
      </c>
      <c r="X768" s="575"/>
      <c r="Y768" s="570" t="e">
        <f>ROUND(SUM(Y769:Y772),10)</f>
        <v>#REF!</v>
      </c>
      <c r="Z768" s="575"/>
      <c r="AA768" s="570" t="e">
        <f>ROUND(SUM(AA769:AA772),10)</f>
        <v>#REF!</v>
      </c>
      <c r="AB768" s="575"/>
      <c r="AC768" s="570" t="e">
        <f>ROUND(SUM(AC769:AC772),10)</f>
        <v>#REF!</v>
      </c>
      <c r="AD768" s="912"/>
      <c r="AE768" s="769" t="e">
        <f t="shared" si="545"/>
        <v>#REF!</v>
      </c>
    </row>
    <row r="769" spans="1:31" s="595" customFormat="1" x14ac:dyDescent="0.2">
      <c r="A769" s="611" t="s">
        <v>1910</v>
      </c>
      <c r="B769" s="601" t="s">
        <v>1911</v>
      </c>
      <c r="C769" s="611" t="s">
        <v>130</v>
      </c>
      <c r="D769" s="576">
        <f>+I769+K769+M769+O769+Q769+S769</f>
        <v>11.879999999999999</v>
      </c>
      <c r="E769" s="577" t="e">
        <f t="shared" si="572"/>
        <v>#REF!</v>
      </c>
      <c r="F769" s="577" t="e">
        <f>ROUND(D769*E769,10)</f>
        <v>#REF!</v>
      </c>
      <c r="G769" s="578"/>
      <c r="H769" s="552"/>
      <c r="I769" s="594"/>
      <c r="J769" s="580" t="e">
        <f>+ROUND(E769*I769,10)</f>
        <v>#REF!</v>
      </c>
      <c r="K769" s="537"/>
      <c r="L769" s="445" t="e">
        <f>+ROUND(E769*K769,10)</f>
        <v>#REF!</v>
      </c>
      <c r="M769" s="542">
        <v>0.54</v>
      </c>
      <c r="N769" s="445" t="e">
        <f>+ROUND(E769*M769,10)</f>
        <v>#REF!</v>
      </c>
      <c r="O769" s="542">
        <v>11.34</v>
      </c>
      <c r="P769" s="445" t="e">
        <f>+ROUND(E769*O769,10)</f>
        <v>#REF!</v>
      </c>
      <c r="Q769" s="542"/>
      <c r="R769" s="445" t="e">
        <f>+ROUND(E769*Q769,10)</f>
        <v>#REF!</v>
      </c>
      <c r="S769" s="542"/>
      <c r="T769" s="445" t="e">
        <f>+ROUND(E769*S769,10)</f>
        <v>#REF!</v>
      </c>
      <c r="U769" s="552"/>
      <c r="V769" s="581" t="e">
        <f>+#REF!</f>
        <v>#REF!</v>
      </c>
      <c r="W769" s="582" t="e">
        <f>ROUND(V769*$D769,10)</f>
        <v>#REF!</v>
      </c>
      <c r="X769" s="581" t="e">
        <f>+#REF!</f>
        <v>#REF!</v>
      </c>
      <c r="Y769" s="582" t="e">
        <f>ROUND(X769*$D769,10)</f>
        <v>#REF!</v>
      </c>
      <c r="Z769" s="581" t="e">
        <f>+#REF!</f>
        <v>#REF!</v>
      </c>
      <c r="AA769" s="582" t="e">
        <f>ROUND(Z769*$D769,10)</f>
        <v>#REF!</v>
      </c>
      <c r="AB769" s="581"/>
      <c r="AC769" s="582">
        <f>ROUND(AB769*$D769,10)</f>
        <v>0</v>
      </c>
      <c r="AD769" s="912"/>
      <c r="AE769" s="769" t="e">
        <f t="shared" si="545"/>
        <v>#REF!</v>
      </c>
    </row>
    <row r="770" spans="1:31" s="595" customFormat="1" x14ac:dyDescent="0.2">
      <c r="A770" s="611" t="s">
        <v>1912</v>
      </c>
      <c r="B770" s="601" t="s">
        <v>1913</v>
      </c>
      <c r="C770" s="611" t="s">
        <v>130</v>
      </c>
      <c r="D770" s="576">
        <f>+I770+K770+M770+O770+Q770+S770</f>
        <v>137.76</v>
      </c>
      <c r="E770" s="577" t="e">
        <f t="shared" si="572"/>
        <v>#REF!</v>
      </c>
      <c r="F770" s="577" t="e">
        <f>ROUND(D770*E770,10)</f>
        <v>#REF!</v>
      </c>
      <c r="G770" s="578"/>
      <c r="H770" s="552"/>
      <c r="I770" s="584"/>
      <c r="J770" s="585" t="e">
        <f>+ROUND(E770*I770,10)</f>
        <v>#REF!</v>
      </c>
      <c r="K770" s="537">
        <f>47+28.56+28.55+21.6</f>
        <v>125.71000000000001</v>
      </c>
      <c r="L770" s="445" t="e">
        <f>+ROUND(E770*K770,10)</f>
        <v>#REF!</v>
      </c>
      <c r="M770" s="542">
        <f>7.14+0.9</f>
        <v>8.0399999999999991</v>
      </c>
      <c r="N770" s="445" t="e">
        <f>+ROUND(E770*M770,10)</f>
        <v>#REF!</v>
      </c>
      <c r="O770" s="542">
        <f>3.44+0.57</f>
        <v>4.01</v>
      </c>
      <c r="P770" s="445" t="e">
        <f>+ROUND(E770*O770,10)</f>
        <v>#REF!</v>
      </c>
      <c r="Q770" s="542"/>
      <c r="R770" s="445" t="e">
        <f>+ROUND(E770*Q770,10)</f>
        <v>#REF!</v>
      </c>
      <c r="S770" s="542"/>
      <c r="T770" s="445" t="e">
        <f>+ROUND(E770*S770,10)</f>
        <v>#REF!</v>
      </c>
      <c r="U770" s="552"/>
      <c r="V770" s="581" t="e">
        <f>+#REF!</f>
        <v>#REF!</v>
      </c>
      <c r="W770" s="582" t="e">
        <f>ROUND(V770*$D770,10)</f>
        <v>#REF!</v>
      </c>
      <c r="X770" s="581" t="e">
        <f>+#REF!</f>
        <v>#REF!</v>
      </c>
      <c r="Y770" s="582" t="e">
        <f>ROUND(X770*$D770,10)</f>
        <v>#REF!</v>
      </c>
      <c r="Z770" s="581" t="e">
        <f>+#REF!</f>
        <v>#REF!</v>
      </c>
      <c r="AA770" s="582" t="e">
        <f>ROUND(Z770*$D770,10)</f>
        <v>#REF!</v>
      </c>
      <c r="AB770" s="581" t="e">
        <f>+#REF!</f>
        <v>#REF!</v>
      </c>
      <c r="AC770" s="582" t="e">
        <f>ROUND(AB770*$D770,10)</f>
        <v>#REF!</v>
      </c>
      <c r="AD770" s="912"/>
      <c r="AE770" s="769" t="e">
        <f t="shared" si="545"/>
        <v>#REF!</v>
      </c>
    </row>
    <row r="771" spans="1:31" s="595" customFormat="1" ht="15" hidden="1" customHeight="1" x14ac:dyDescent="0.2">
      <c r="A771" s="611" t="s">
        <v>1914</v>
      </c>
      <c r="B771" s="601" t="s">
        <v>1915</v>
      </c>
      <c r="C771" s="611" t="s">
        <v>111</v>
      </c>
      <c r="D771" s="576">
        <f>+I771+K771+M771+O771+Q771+S771</f>
        <v>0</v>
      </c>
      <c r="E771" s="577">
        <f t="shared" si="572"/>
        <v>0</v>
      </c>
      <c r="F771" s="577">
        <f>ROUND(D771*E771,10)</f>
        <v>0</v>
      </c>
      <c r="G771" s="578"/>
      <c r="H771" s="552"/>
      <c r="I771" s="584"/>
      <c r="J771" s="585">
        <f>+ROUND(E771*I771,10)</f>
        <v>0</v>
      </c>
      <c r="K771" s="537"/>
      <c r="L771" s="445">
        <f>+ROUND(E771*K771,10)</f>
        <v>0</v>
      </c>
      <c r="M771" s="542"/>
      <c r="N771" s="445">
        <f>+ROUND(E771*M771,10)</f>
        <v>0</v>
      </c>
      <c r="O771" s="542"/>
      <c r="P771" s="445">
        <f>+ROUND(E771*O771,10)</f>
        <v>0</v>
      </c>
      <c r="Q771" s="542"/>
      <c r="R771" s="445">
        <f>+ROUND(E771*Q771,10)</f>
        <v>0</v>
      </c>
      <c r="S771" s="542"/>
      <c r="T771" s="445">
        <f>+ROUND(E771*S771,10)</f>
        <v>0</v>
      </c>
      <c r="U771" s="552"/>
      <c r="V771" s="581"/>
      <c r="W771" s="582">
        <f>ROUND(V771*$D771,10)</f>
        <v>0</v>
      </c>
      <c r="X771" s="581"/>
      <c r="Y771" s="582">
        <f>ROUND(X771*$D771,10)</f>
        <v>0</v>
      </c>
      <c r="Z771" s="581"/>
      <c r="AA771" s="582">
        <f>ROUND(Z771*$D771,10)</f>
        <v>0</v>
      </c>
      <c r="AB771" s="581"/>
      <c r="AC771" s="582">
        <f>ROUND(AB771*$D771,10)</f>
        <v>0</v>
      </c>
      <c r="AD771" s="912"/>
      <c r="AE771" s="769">
        <f t="shared" si="545"/>
        <v>0</v>
      </c>
    </row>
    <row r="772" spans="1:31" s="595" customFormat="1" ht="15.75" hidden="1" customHeight="1" thickBot="1" x14ac:dyDescent="0.25">
      <c r="A772" s="611" t="s">
        <v>1916</v>
      </c>
      <c r="B772" s="601" t="s">
        <v>1395</v>
      </c>
      <c r="C772" s="611"/>
      <c r="D772" s="576">
        <f>+I772+K772+M772+O772+Q772+S772</f>
        <v>0</v>
      </c>
      <c r="E772" s="577">
        <f t="shared" si="572"/>
        <v>0</v>
      </c>
      <c r="F772" s="577">
        <f>ROUND(D772*E772,10)</f>
        <v>0</v>
      </c>
      <c r="G772" s="578"/>
      <c r="H772" s="552"/>
      <c r="I772" s="602"/>
      <c r="J772" s="603">
        <f>+ROUND(E772*I772,10)</f>
        <v>0</v>
      </c>
      <c r="K772" s="537"/>
      <c r="L772" s="445">
        <f>+ROUND(E772*K772,10)</f>
        <v>0</v>
      </c>
      <c r="M772" s="542"/>
      <c r="N772" s="445">
        <f>+ROUND(E772*M772,10)</f>
        <v>0</v>
      </c>
      <c r="O772" s="542"/>
      <c r="P772" s="445">
        <f>+ROUND(E772*O772,10)</f>
        <v>0</v>
      </c>
      <c r="Q772" s="542"/>
      <c r="R772" s="445">
        <f>+ROUND(E772*Q772,10)</f>
        <v>0</v>
      </c>
      <c r="S772" s="542"/>
      <c r="T772" s="445">
        <f>+ROUND(E772*S772,10)</f>
        <v>0</v>
      </c>
      <c r="U772" s="552"/>
      <c r="V772" s="581"/>
      <c r="W772" s="582">
        <f>ROUND(V772*$D772,10)</f>
        <v>0</v>
      </c>
      <c r="X772" s="581"/>
      <c r="Y772" s="582">
        <f>ROUND(X772*$D772,10)</f>
        <v>0</v>
      </c>
      <c r="Z772" s="581"/>
      <c r="AA772" s="582">
        <f>ROUND(Z772*$D772,10)</f>
        <v>0</v>
      </c>
      <c r="AB772" s="581"/>
      <c r="AC772" s="582">
        <f>ROUND(AB772*$D772,10)</f>
        <v>0</v>
      </c>
      <c r="AD772" s="912"/>
      <c r="AE772" s="769">
        <f t="shared" si="545"/>
        <v>0</v>
      </c>
    </row>
    <row r="773" spans="1:31" s="595" customFormat="1" ht="15" hidden="1" customHeight="1" x14ac:dyDescent="0.2">
      <c r="A773" s="611"/>
      <c r="B773" s="601"/>
      <c r="C773" s="611"/>
      <c r="D773" s="576"/>
      <c r="E773" s="577"/>
      <c r="F773" s="577"/>
      <c r="G773" s="578"/>
      <c r="H773" s="552"/>
      <c r="I773" s="604"/>
      <c r="J773" s="635"/>
      <c r="K773" s="537"/>
      <c r="L773" s="445"/>
      <c r="M773" s="542"/>
      <c r="N773" s="445"/>
      <c r="O773" s="542"/>
      <c r="P773" s="445"/>
      <c r="Q773" s="542"/>
      <c r="R773" s="445"/>
      <c r="S773" s="542"/>
      <c r="T773" s="445"/>
      <c r="U773" s="552"/>
      <c r="V773" s="581"/>
      <c r="W773" s="582"/>
      <c r="X773" s="581"/>
      <c r="Y773" s="582"/>
      <c r="Z773" s="581"/>
      <c r="AA773" s="582"/>
      <c r="AB773" s="581"/>
      <c r="AC773" s="582"/>
      <c r="AD773" s="912"/>
      <c r="AE773" s="769">
        <f t="shared" si="545"/>
        <v>0</v>
      </c>
    </row>
    <row r="774" spans="1:31" s="595" customFormat="1" ht="6.75" customHeight="1" thickBot="1" x14ac:dyDescent="0.25">
      <c r="A774" s="919"/>
      <c r="B774" s="920"/>
      <c r="C774" s="919"/>
      <c r="D774" s="655"/>
      <c r="E774" s="656"/>
      <c r="F774" s="656"/>
      <c r="G774" s="656"/>
      <c r="H774" s="657"/>
      <c r="I774" s="658"/>
      <c r="J774" s="658"/>
      <c r="K774" s="659"/>
      <c r="L774" s="658"/>
      <c r="M774" s="174"/>
      <c r="N774" s="658"/>
      <c r="O774" s="174"/>
      <c r="P774" s="658"/>
      <c r="Q774" s="174"/>
      <c r="R774" s="658"/>
      <c r="S774" s="174"/>
      <c r="T774" s="658"/>
      <c r="U774" s="657"/>
      <c r="V774" s="667"/>
      <c r="W774" s="667"/>
      <c r="X774" s="667"/>
      <c r="Y774" s="667"/>
      <c r="Z774" s="667"/>
      <c r="AA774" s="667"/>
      <c r="AB774" s="667"/>
      <c r="AC774" s="667"/>
      <c r="AD774" s="912"/>
      <c r="AE774" s="769">
        <f t="shared" si="545"/>
        <v>0</v>
      </c>
    </row>
    <row r="775" spans="1:31" s="571" customFormat="1" ht="30" customHeight="1" thickTop="1" thickBot="1" x14ac:dyDescent="0.25">
      <c r="A775" s="564">
        <v>20</v>
      </c>
      <c r="B775" s="1068" t="s">
        <v>1917</v>
      </c>
      <c r="C775" s="1069"/>
      <c r="D775" s="1069"/>
      <c r="E775" s="1069"/>
      <c r="F775" s="1070"/>
      <c r="G775" s="180" t="e">
        <f>ROUND(+F776+F782+F801+F809+F815,10)</f>
        <v>#REF!</v>
      </c>
      <c r="H775" s="568"/>
      <c r="I775" s="616"/>
      <c r="J775" s="439" t="e">
        <f>+ROUND(J776+J782+J801+J809+J815,10)</f>
        <v>#REF!</v>
      </c>
      <c r="K775" s="617"/>
      <c r="L775" s="180" t="e">
        <f>+ROUND(L776+L782+L801+L809+L815,10)</f>
        <v>#REF!</v>
      </c>
      <c r="M775" s="180"/>
      <c r="N775" s="180" t="e">
        <f>+ROUND(N776+N782+N801+N809+N815,10)</f>
        <v>#REF!</v>
      </c>
      <c r="O775" s="180"/>
      <c r="P775" s="180" t="e">
        <f>+ROUND(P776+P782+P801+P809+P815,10)</f>
        <v>#REF!</v>
      </c>
      <c r="Q775" s="180"/>
      <c r="R775" s="180" t="e">
        <f>+ROUND(R776+R782+R801+R809+R815,10)</f>
        <v>#REF!</v>
      </c>
      <c r="S775" s="180"/>
      <c r="T775" s="180" t="e">
        <f>+ROUND(T776+T782+T801+T809+T815,10)</f>
        <v>#REF!</v>
      </c>
      <c r="U775" s="568"/>
      <c r="V775" s="569" t="e">
        <f>W775/$G$775</f>
        <v>#REF!</v>
      </c>
      <c r="W775" s="570" t="e">
        <f>ROUND(W776+W782+W801+W809+W815,10)</f>
        <v>#REF!</v>
      </c>
      <c r="X775" s="569" t="e">
        <f>Y775/$G$775</f>
        <v>#REF!</v>
      </c>
      <c r="Y775" s="570" t="e">
        <f>ROUND(Y776+Y782+Y801+Y809+Y815,10)</f>
        <v>#REF!</v>
      </c>
      <c r="Z775" s="569" t="e">
        <f>AA775/$G$775</f>
        <v>#REF!</v>
      </c>
      <c r="AA775" s="570" t="e">
        <f>ROUND(AA776+AA782+AA801+AA809+AA815,10)</f>
        <v>#REF!</v>
      </c>
      <c r="AB775" s="569" t="e">
        <f>AC775/$G$775</f>
        <v>#REF!</v>
      </c>
      <c r="AC775" s="570" t="e">
        <f>ROUND(AC776+AC782+AC801+AC809+AC815,10)</f>
        <v>#REF!</v>
      </c>
      <c r="AE775" s="769" t="e">
        <f t="shared" si="545"/>
        <v>#REF!</v>
      </c>
    </row>
    <row r="776" spans="1:31" ht="15" customHeight="1" thickTop="1" x14ac:dyDescent="0.2">
      <c r="A776" s="572" t="s">
        <v>1918</v>
      </c>
      <c r="B776" s="573" t="s">
        <v>1919</v>
      </c>
      <c r="C776" s="611"/>
      <c r="D776" s="576"/>
      <c r="E776" s="577"/>
      <c r="F776" s="626" t="e">
        <f>+ROUND(SUM(F777:F781),10)</f>
        <v>#REF!</v>
      </c>
      <c r="G776" s="578"/>
      <c r="I776" s="618"/>
      <c r="J776" s="439" t="e">
        <f>ROUND(SUM(J777:J781),10)</f>
        <v>#REF!</v>
      </c>
      <c r="K776" s="539"/>
      <c r="L776" s="180" t="e">
        <f>ROUND(SUM(L777:L781),10)</f>
        <v>#REF!</v>
      </c>
      <c r="M776" s="541"/>
      <c r="N776" s="180" t="e">
        <f>ROUND(SUM(N777:N781),10)</f>
        <v>#REF!</v>
      </c>
      <c r="O776" s="541"/>
      <c r="P776" s="180" t="e">
        <f>ROUND(SUM(P777:P781),10)</f>
        <v>#REF!</v>
      </c>
      <c r="Q776" s="541"/>
      <c r="R776" s="180" t="e">
        <f>ROUND(SUM(R777:R781),10)</f>
        <v>#REF!</v>
      </c>
      <c r="S776" s="541"/>
      <c r="T776" s="180" t="e">
        <f>ROUND(SUM(T777:T781),10)</f>
        <v>#REF!</v>
      </c>
      <c r="V776" s="581"/>
      <c r="W776" s="570" t="e">
        <f>ROUND(SUM(W777:W781),10)</f>
        <v>#REF!</v>
      </c>
      <c r="X776" s="581"/>
      <c r="Y776" s="570">
        <f>ROUND(SUM(Y777:Y781),10)</f>
        <v>2126388.2127999999</v>
      </c>
      <c r="Z776" s="581"/>
      <c r="AA776" s="570">
        <f>ROUND(SUM(AA777:AA781),10)</f>
        <v>538529.39599999995</v>
      </c>
      <c r="AB776" s="581"/>
      <c r="AC776" s="570">
        <f>ROUND(SUM(AC777:AC781),10)</f>
        <v>0</v>
      </c>
      <c r="AE776" s="769" t="e">
        <f t="shared" si="545"/>
        <v>#REF!</v>
      </c>
    </row>
    <row r="777" spans="1:31" ht="15" hidden="1" customHeight="1" x14ac:dyDescent="0.2">
      <c r="A777" s="611" t="s">
        <v>1920</v>
      </c>
      <c r="B777" s="601" t="s">
        <v>1921</v>
      </c>
      <c r="C777" s="611" t="s">
        <v>155</v>
      </c>
      <c r="D777" s="576">
        <f>+I777+K777+M777+O777+Q777+S777</f>
        <v>0</v>
      </c>
      <c r="E777" s="577">
        <f t="shared" ref="E777:E821" si="573">V777+X777+Z777+AB777</f>
        <v>0</v>
      </c>
      <c r="F777" s="577">
        <f>ROUND(D777*E777,10)</f>
        <v>0</v>
      </c>
      <c r="G777" s="578"/>
      <c r="I777" s="594"/>
      <c r="J777" s="580">
        <f>+ROUND(E777*I777,10)</f>
        <v>0</v>
      </c>
      <c r="K777" s="538"/>
      <c r="L777" s="445">
        <f>+ROUND(E777*K777,10)</f>
        <v>0</v>
      </c>
      <c r="M777" s="542"/>
      <c r="N777" s="445">
        <f>+ROUND(E777*M777,10)</f>
        <v>0</v>
      </c>
      <c r="O777" s="542"/>
      <c r="P777" s="445">
        <f>+ROUND(E777*O777,10)</f>
        <v>0</v>
      </c>
      <c r="Q777" s="542"/>
      <c r="R777" s="445">
        <f>+ROUND(E777*Q777,10)</f>
        <v>0</v>
      </c>
      <c r="S777" s="542"/>
      <c r="T777" s="445">
        <f>+ROUND(E777*S777,10)</f>
        <v>0</v>
      </c>
      <c r="V777" s="581"/>
      <c r="W777" s="582">
        <f>ROUND(V777*$D777,10)</f>
        <v>0</v>
      </c>
      <c r="X777" s="581"/>
      <c r="Y777" s="582">
        <f>ROUND(X777*$D777,10)</f>
        <v>0</v>
      </c>
      <c r="Z777" s="581"/>
      <c r="AA777" s="582">
        <f>ROUND(Z777*$D777,10)</f>
        <v>0</v>
      </c>
      <c r="AB777" s="581"/>
      <c r="AC777" s="582">
        <f>ROUND(AB777*$D777,10)</f>
        <v>0</v>
      </c>
      <c r="AE777" s="769">
        <f t="shared" si="545"/>
        <v>0</v>
      </c>
    </row>
    <row r="778" spans="1:31" ht="15" customHeight="1" x14ac:dyDescent="0.2">
      <c r="A778" s="611" t="s">
        <v>1922</v>
      </c>
      <c r="B778" s="601" t="s">
        <v>1923</v>
      </c>
      <c r="C778" s="611" t="s">
        <v>155</v>
      </c>
      <c r="D778" s="576">
        <f>+I778+K778+M778+O778+Q778+S778</f>
        <v>53.28</v>
      </c>
      <c r="E778" s="577">
        <f t="shared" si="573"/>
        <v>12930.050000000001</v>
      </c>
      <c r="F778" s="577">
        <f>ROUND(D778*E778,10)</f>
        <v>688913.06400000001</v>
      </c>
      <c r="G778" s="578"/>
      <c r="I778" s="584"/>
      <c r="J778" s="585">
        <f>+ROUND(E778*I778,10)</f>
        <v>0</v>
      </c>
      <c r="K778" s="537"/>
      <c r="L778" s="445">
        <f>+ROUND(E778*K778,10)</f>
        <v>0</v>
      </c>
      <c r="M778" s="542"/>
      <c r="N778" s="445">
        <f>+ROUND(E778*M778,10)</f>
        <v>0</v>
      </c>
      <c r="O778" s="542"/>
      <c r="P778" s="445">
        <f>+ROUND(E778*O778,10)</f>
        <v>0</v>
      </c>
      <c r="Q778" s="542"/>
      <c r="R778" s="445">
        <f>+ROUND(E778*Q778,10)</f>
        <v>0</v>
      </c>
      <c r="S778" s="542">
        <v>53.28</v>
      </c>
      <c r="T778" s="445">
        <f>+ROUND(E778*S778,10)</f>
        <v>688913.06400000001</v>
      </c>
      <c r="V778" s="581">
        <f>'20,1,2 Exc Man'!I19</f>
        <v>0</v>
      </c>
      <c r="W778" s="582">
        <f>ROUND(V778*$D778,10)</f>
        <v>0</v>
      </c>
      <c r="X778" s="581">
        <f>'20,1,2 Exc Man'!I50</f>
        <v>12855.85</v>
      </c>
      <c r="Y778" s="582">
        <f>ROUND(X778*$D778,10)</f>
        <v>684959.68799999997</v>
      </c>
      <c r="Z778" s="581">
        <f>'20,1,2 Exc Man'!I30</f>
        <v>74.2</v>
      </c>
      <c r="AA778" s="582">
        <f>ROUND(Z778*$D778,10)</f>
        <v>3953.3760000000002</v>
      </c>
      <c r="AB778" s="581">
        <f>'20,1,2 Exc Man'!I41</f>
        <v>0</v>
      </c>
      <c r="AC778" s="582">
        <f>ROUND(AB778*$D778,10)</f>
        <v>0</v>
      </c>
      <c r="AE778" s="769">
        <f t="shared" si="545"/>
        <v>0</v>
      </c>
    </row>
    <row r="779" spans="1:31" ht="15" hidden="1" customHeight="1" x14ac:dyDescent="0.2">
      <c r="A779" s="611" t="s">
        <v>1924</v>
      </c>
      <c r="B779" s="601" t="s">
        <v>1925</v>
      </c>
      <c r="C779" s="611" t="s">
        <v>155</v>
      </c>
      <c r="D779" s="576">
        <f>+I779+K779+M779+O779+Q779+S779</f>
        <v>0</v>
      </c>
      <c r="E779" s="577">
        <f t="shared" si="573"/>
        <v>0</v>
      </c>
      <c r="F779" s="577">
        <f>ROUND(D779*E779,10)</f>
        <v>0</v>
      </c>
      <c r="G779" s="578"/>
      <c r="I779" s="584"/>
      <c r="J779" s="585">
        <f>+ROUND(E779*I779,10)</f>
        <v>0</v>
      </c>
      <c r="K779" s="537"/>
      <c r="L779" s="445">
        <f>+ROUND(E779*K779,10)</f>
        <v>0</v>
      </c>
      <c r="M779" s="542"/>
      <c r="N779" s="445">
        <f>+ROUND(E779*M779,10)</f>
        <v>0</v>
      </c>
      <c r="O779" s="542"/>
      <c r="P779" s="445">
        <f>+ROUND(E779*O779,10)</f>
        <v>0</v>
      </c>
      <c r="Q779" s="542"/>
      <c r="R779" s="445">
        <f>+ROUND(E779*Q779,10)</f>
        <v>0</v>
      </c>
      <c r="S779" s="542"/>
      <c r="T779" s="445">
        <f>+ROUND(E779*S779,10)</f>
        <v>0</v>
      </c>
      <c r="V779" s="581"/>
      <c r="W779" s="582">
        <f>ROUND(V779*$D779,10)</f>
        <v>0</v>
      </c>
      <c r="X779" s="581"/>
      <c r="Y779" s="582">
        <f>ROUND(X779*$D779,10)</f>
        <v>0</v>
      </c>
      <c r="Z779" s="581"/>
      <c r="AA779" s="582">
        <f>ROUND(Z779*$D779,10)</f>
        <v>0</v>
      </c>
      <c r="AB779" s="581"/>
      <c r="AC779" s="582">
        <f>ROUND(AB779*$D779,10)</f>
        <v>0</v>
      </c>
      <c r="AE779" s="769">
        <f t="shared" si="545"/>
        <v>0</v>
      </c>
    </row>
    <row r="780" spans="1:31" ht="15.75" hidden="1" customHeight="1" x14ac:dyDescent="0.2">
      <c r="A780" s="611" t="s">
        <v>1926</v>
      </c>
      <c r="B780" s="601" t="s">
        <v>1927</v>
      </c>
      <c r="C780" s="611" t="s">
        <v>155</v>
      </c>
      <c r="D780" s="576">
        <f>+I780+K780+M780+O780+Q780+S780</f>
        <v>0</v>
      </c>
      <c r="E780" s="577">
        <f t="shared" si="573"/>
        <v>0</v>
      </c>
      <c r="F780" s="577">
        <f>ROUND(D780*E780,10)</f>
        <v>0</v>
      </c>
      <c r="G780" s="578"/>
      <c r="I780" s="584"/>
      <c r="J780" s="585">
        <f>+ROUND(E780*I780,10)</f>
        <v>0</v>
      </c>
      <c r="K780" s="537"/>
      <c r="L780" s="445">
        <f>+ROUND(E780*K780,10)</f>
        <v>0</v>
      </c>
      <c r="M780" s="542"/>
      <c r="N780" s="445">
        <f>+ROUND(E780*M780,10)</f>
        <v>0</v>
      </c>
      <c r="O780" s="542"/>
      <c r="P780" s="445">
        <f>+ROUND(E780*O780,10)</f>
        <v>0</v>
      </c>
      <c r="Q780" s="542"/>
      <c r="R780" s="445">
        <f>+ROUND(E780*Q780,10)</f>
        <v>0</v>
      </c>
      <c r="S780" s="542"/>
      <c r="T780" s="445">
        <f>+ROUND(E780*S780,10)</f>
        <v>0</v>
      </c>
      <c r="V780" s="581"/>
      <c r="W780" s="582">
        <f>ROUND(V780*$D780,10)</f>
        <v>0</v>
      </c>
      <c r="X780" s="581"/>
      <c r="Y780" s="582">
        <f>ROUND(X780*$D780,10)</f>
        <v>0</v>
      </c>
      <c r="Z780" s="581"/>
      <c r="AA780" s="582">
        <f>ROUND(Z780*$D780,10)</f>
        <v>0</v>
      </c>
      <c r="AB780" s="581"/>
      <c r="AC780" s="582">
        <f>ROUND(AB780*$D780,10)</f>
        <v>0</v>
      </c>
      <c r="AE780" s="769">
        <f t="shared" si="545"/>
        <v>0</v>
      </c>
    </row>
    <row r="781" spans="1:31" s="595" customFormat="1" ht="18" customHeight="1" x14ac:dyDescent="0.2">
      <c r="A781" s="611" t="s">
        <v>1928</v>
      </c>
      <c r="B781" s="649" t="s">
        <v>630</v>
      </c>
      <c r="C781" s="611" t="s">
        <v>155</v>
      </c>
      <c r="D781" s="576">
        <f>+I781+K781+M781+O781+Q781+S781</f>
        <v>79.42</v>
      </c>
      <c r="E781" s="577" t="e">
        <f t="shared" si="573"/>
        <v>#REF!</v>
      </c>
      <c r="F781" s="577" t="e">
        <f>ROUND(D781*E781,10)</f>
        <v>#REF!</v>
      </c>
      <c r="G781" s="578"/>
      <c r="H781" s="552"/>
      <c r="I781" s="597"/>
      <c r="J781" s="598" t="e">
        <f>+ROUND(E781*I781,10)</f>
        <v>#REF!</v>
      </c>
      <c r="K781" s="537"/>
      <c r="L781" s="445" t="e">
        <f>+ROUND(E781*K781,10)</f>
        <v>#REF!</v>
      </c>
      <c r="M781" s="542"/>
      <c r="N781" s="445" t="e">
        <f>+ROUND(E781*M781,10)</f>
        <v>#REF!</v>
      </c>
      <c r="O781" s="542"/>
      <c r="P781" s="445" t="e">
        <f>+ROUND(E781*O781,10)</f>
        <v>#REF!</v>
      </c>
      <c r="Q781" s="542"/>
      <c r="R781" s="445" t="e">
        <f>+ROUND(E781*Q781,10)</f>
        <v>#REF!</v>
      </c>
      <c r="S781" s="542">
        <f>43.9+35.52</f>
        <v>79.42</v>
      </c>
      <c r="T781" s="445" t="e">
        <f>+ROUND(E781*S781,10)</f>
        <v>#REF!</v>
      </c>
      <c r="U781" s="552"/>
      <c r="V781" s="581" t="e">
        <f>'20,1,5 Subbase recebo'!I19</f>
        <v>#REF!</v>
      </c>
      <c r="W781" s="582" t="e">
        <f>ROUND(V781*$D781,10)</f>
        <v>#REF!</v>
      </c>
      <c r="X781" s="581">
        <f>'20,1,5 Subbase recebo'!I50</f>
        <v>18149.439999999999</v>
      </c>
      <c r="Y781" s="582">
        <f>ROUND(X781*$D781,10)</f>
        <v>1441428.5248</v>
      </c>
      <c r="Z781" s="581">
        <f>'20,1,5 Subbase recebo'!I30</f>
        <v>6731</v>
      </c>
      <c r="AA781" s="582">
        <f>ROUND(Z781*$D781,10)</f>
        <v>534576.02</v>
      </c>
      <c r="AB781" s="581">
        <f>'20,1,5 Subbase recebo'!I41</f>
        <v>0</v>
      </c>
      <c r="AC781" s="582">
        <f>ROUND(AB781*$D781,10)</f>
        <v>0</v>
      </c>
      <c r="AD781" s="912"/>
      <c r="AE781" s="769" t="e">
        <f t="shared" si="545"/>
        <v>#REF!</v>
      </c>
    </row>
    <row r="782" spans="1:31" s="571" customFormat="1" ht="18" customHeight="1" x14ac:dyDescent="0.2">
      <c r="A782" s="572" t="s">
        <v>1929</v>
      </c>
      <c r="B782" s="573" t="s">
        <v>1930</v>
      </c>
      <c r="C782" s="846"/>
      <c r="D782" s="576"/>
      <c r="E782" s="577"/>
      <c r="F782" s="180" t="e">
        <f>+ROUND(SUM(F783:F800),10)</f>
        <v>#REF!</v>
      </c>
      <c r="G782" s="473"/>
      <c r="H782" s="568"/>
      <c r="I782" s="613"/>
      <c r="J782" s="440" t="e">
        <f>ROUND(SUM(J783:J800),10)</f>
        <v>#REF!</v>
      </c>
      <c r="K782" s="537"/>
      <c r="L782" s="180" t="e">
        <f>ROUND(SUM(L783:L800),10)</f>
        <v>#REF!</v>
      </c>
      <c r="M782" s="542"/>
      <c r="N782" s="180" t="e">
        <f>ROUND(SUM(N783:N800),10)</f>
        <v>#REF!</v>
      </c>
      <c r="O782" s="542"/>
      <c r="P782" s="180" t="e">
        <f>ROUND(SUM(P783:P800),10)</f>
        <v>#REF!</v>
      </c>
      <c r="Q782" s="542"/>
      <c r="R782" s="180" t="e">
        <f>ROUND(SUM(R783:R800),10)</f>
        <v>#REF!</v>
      </c>
      <c r="S782" s="542"/>
      <c r="T782" s="180" t="e">
        <f>ROUND(SUM(T783:T800),10)</f>
        <v>#REF!</v>
      </c>
      <c r="U782" s="568"/>
      <c r="V782" s="575"/>
      <c r="W782" s="570" t="e">
        <f>ROUND(SUM(W783:W800),10)</f>
        <v>#REF!</v>
      </c>
      <c r="X782" s="575"/>
      <c r="Y782" s="570" t="e">
        <f>ROUND(SUM(Y783:Y800),10)</f>
        <v>#REF!</v>
      </c>
      <c r="Z782" s="575"/>
      <c r="AA782" s="570" t="e">
        <f>ROUND(SUM(AA783:AA800),10)</f>
        <v>#REF!</v>
      </c>
      <c r="AB782" s="575"/>
      <c r="AC782" s="570">
        <f>ROUND(SUM(AC783:AC800),10)</f>
        <v>0</v>
      </c>
      <c r="AE782" s="769" t="e">
        <f t="shared" si="545"/>
        <v>#REF!</v>
      </c>
    </row>
    <row r="783" spans="1:31" ht="25.5" x14ac:dyDescent="0.2">
      <c r="A783" s="611" t="s">
        <v>1931</v>
      </c>
      <c r="B783" s="601" t="s">
        <v>1932</v>
      </c>
      <c r="C783" s="611" t="s">
        <v>130</v>
      </c>
      <c r="D783" s="576">
        <f t="shared" ref="D783:D800" si="574">+I783+K783+M783+O783+Q783+S783</f>
        <v>345.55</v>
      </c>
      <c r="E783" s="577" t="e">
        <f t="shared" si="573"/>
        <v>#REF!</v>
      </c>
      <c r="F783" s="577" t="e">
        <f t="shared" ref="F783:F800" si="575">ROUND(D783*E783,10)</f>
        <v>#REF!</v>
      </c>
      <c r="G783" s="578"/>
      <c r="I783" s="594"/>
      <c r="J783" s="580" t="e">
        <f t="shared" ref="J783:J800" si="576">+ROUND(E783*I783,10)</f>
        <v>#REF!</v>
      </c>
      <c r="K783" s="770"/>
      <c r="L783" s="445" t="e">
        <f t="shared" ref="L783:L800" si="577">+ROUND(E783*K783,10)</f>
        <v>#REF!</v>
      </c>
      <c r="M783" s="542"/>
      <c r="N783" s="445" t="e">
        <f t="shared" ref="N783:N800" si="578">+ROUND(E783*M783,10)</f>
        <v>#REF!</v>
      </c>
      <c r="O783" s="542"/>
      <c r="P783" s="445" t="e">
        <f t="shared" ref="P783:P800" si="579">+ROUND(E783*O783,10)</f>
        <v>#REF!</v>
      </c>
      <c r="Q783" s="542"/>
      <c r="R783" s="445" t="e">
        <f t="shared" ref="R783:R800" si="580">+ROUND(E783*Q783,10)</f>
        <v>#REF!</v>
      </c>
      <c r="S783" s="542">
        <v>345.55</v>
      </c>
      <c r="T783" s="445" t="e">
        <f t="shared" ref="T783:T800" si="581">+ROUND(E783*S783,10)</f>
        <v>#REF!</v>
      </c>
      <c r="V783" s="581" t="e">
        <f>+#REF!</f>
        <v>#REF!</v>
      </c>
      <c r="W783" s="582" t="e">
        <f t="shared" ref="W783:W800" si="582">ROUND(V783*$D783,10)</f>
        <v>#REF!</v>
      </c>
      <c r="X783" s="581" t="e">
        <f>+#REF!</f>
        <v>#REF!</v>
      </c>
      <c r="Y783" s="582" t="e">
        <f t="shared" ref="Y783:Y800" si="583">ROUND(X783*$D783,10)</f>
        <v>#REF!</v>
      </c>
      <c r="Z783" s="581" t="e">
        <f>+#REF!</f>
        <v>#REF!</v>
      </c>
      <c r="AA783" s="582" t="e">
        <f t="shared" ref="AA783:AA800" si="584">ROUND(Z783*$D783,10)</f>
        <v>#REF!</v>
      </c>
      <c r="AB783" s="581"/>
      <c r="AC783" s="582">
        <f t="shared" ref="AC783:AC800" si="585">ROUND(AB783*$D783,10)</f>
        <v>0</v>
      </c>
      <c r="AE783" s="769" t="e">
        <f t="shared" si="545"/>
        <v>#REF!</v>
      </c>
    </row>
    <row r="784" spans="1:31" x14ac:dyDescent="0.2">
      <c r="A784" s="611" t="s">
        <v>1933</v>
      </c>
      <c r="B784" s="601" t="s">
        <v>1934</v>
      </c>
      <c r="C784" s="611" t="s">
        <v>114</v>
      </c>
      <c r="D784" s="576">
        <f t="shared" si="574"/>
        <v>304.83</v>
      </c>
      <c r="E784" s="577" t="e">
        <f t="shared" si="573"/>
        <v>#REF!</v>
      </c>
      <c r="F784" s="577" t="e">
        <f t="shared" si="575"/>
        <v>#REF!</v>
      </c>
      <c r="G784" s="578"/>
      <c r="I784" s="584"/>
      <c r="J784" s="585" t="e">
        <f t="shared" si="576"/>
        <v>#REF!</v>
      </c>
      <c r="K784" s="537"/>
      <c r="L784" s="445" t="e">
        <f t="shared" si="577"/>
        <v>#REF!</v>
      </c>
      <c r="M784" s="542"/>
      <c r="N784" s="445" t="e">
        <f t="shared" si="578"/>
        <v>#REF!</v>
      </c>
      <c r="O784" s="542"/>
      <c r="P784" s="445" t="e">
        <f t="shared" si="579"/>
        <v>#REF!</v>
      </c>
      <c r="Q784" s="771"/>
      <c r="R784" s="445" t="e">
        <f t="shared" si="580"/>
        <v>#REF!</v>
      </c>
      <c r="S784" s="542">
        <f>234.29+70.54</f>
        <v>304.83</v>
      </c>
      <c r="T784" s="445" t="e">
        <f t="shared" si="581"/>
        <v>#REF!</v>
      </c>
      <c r="V784" s="581" t="e">
        <f>+#REF!</f>
        <v>#REF!</v>
      </c>
      <c r="W784" s="582" t="e">
        <f t="shared" si="582"/>
        <v>#REF!</v>
      </c>
      <c r="X784" s="581" t="e">
        <f>+#REF!</f>
        <v>#REF!</v>
      </c>
      <c r="Y784" s="582" t="e">
        <f t="shared" si="583"/>
        <v>#REF!</v>
      </c>
      <c r="Z784" s="581" t="e">
        <f>+#REF!</f>
        <v>#REF!</v>
      </c>
      <c r="AA784" s="582" t="e">
        <f t="shared" si="584"/>
        <v>#REF!</v>
      </c>
      <c r="AB784" s="581"/>
      <c r="AC784" s="582">
        <f t="shared" si="585"/>
        <v>0</v>
      </c>
      <c r="AE784" s="769" t="e">
        <f t="shared" si="545"/>
        <v>#REF!</v>
      </c>
    </row>
    <row r="785" spans="1:31" ht="15" hidden="1" customHeight="1" x14ac:dyDescent="0.2">
      <c r="A785" s="611" t="s">
        <v>1935</v>
      </c>
      <c r="B785" s="601" t="s">
        <v>805</v>
      </c>
      <c r="C785" s="611" t="s">
        <v>130</v>
      </c>
      <c r="D785" s="576">
        <f t="shared" si="574"/>
        <v>0</v>
      </c>
      <c r="E785" s="577">
        <f t="shared" si="573"/>
        <v>0</v>
      </c>
      <c r="F785" s="577">
        <f t="shared" si="575"/>
        <v>0</v>
      </c>
      <c r="G785" s="578"/>
      <c r="I785" s="584"/>
      <c r="J785" s="585">
        <f t="shared" si="576"/>
        <v>0</v>
      </c>
      <c r="K785" s="537"/>
      <c r="L785" s="445">
        <f t="shared" si="577"/>
        <v>0</v>
      </c>
      <c r="M785" s="542"/>
      <c r="N785" s="445">
        <f t="shared" si="578"/>
        <v>0</v>
      </c>
      <c r="O785" s="542"/>
      <c r="P785" s="445">
        <f t="shared" si="579"/>
        <v>0</v>
      </c>
      <c r="Q785" s="542"/>
      <c r="R785" s="445">
        <f t="shared" si="580"/>
        <v>0</v>
      </c>
      <c r="S785" s="542"/>
      <c r="T785" s="445">
        <f t="shared" si="581"/>
        <v>0</v>
      </c>
      <c r="V785" s="581"/>
      <c r="W785" s="582">
        <f t="shared" si="582"/>
        <v>0</v>
      </c>
      <c r="X785" s="581"/>
      <c r="Y785" s="582">
        <f t="shared" si="583"/>
        <v>0</v>
      </c>
      <c r="Z785" s="581"/>
      <c r="AA785" s="582">
        <f t="shared" si="584"/>
        <v>0</v>
      </c>
      <c r="AB785" s="581"/>
      <c r="AC785" s="582">
        <f t="shared" si="585"/>
        <v>0</v>
      </c>
      <c r="AE785" s="769">
        <f t="shared" si="545"/>
        <v>0</v>
      </c>
    </row>
    <row r="786" spans="1:31" ht="15" hidden="1" customHeight="1" x14ac:dyDescent="0.2">
      <c r="A786" s="611" t="s">
        <v>1936</v>
      </c>
      <c r="B786" s="601" t="s">
        <v>942</v>
      </c>
      <c r="C786" s="611" t="s">
        <v>114</v>
      </c>
      <c r="D786" s="576">
        <f t="shared" si="574"/>
        <v>0</v>
      </c>
      <c r="E786" s="577">
        <f t="shared" si="573"/>
        <v>0</v>
      </c>
      <c r="F786" s="577">
        <f t="shared" si="575"/>
        <v>0</v>
      </c>
      <c r="G786" s="578"/>
      <c r="I786" s="584"/>
      <c r="J786" s="585">
        <f t="shared" si="576"/>
        <v>0</v>
      </c>
      <c r="K786" s="537"/>
      <c r="L786" s="445">
        <f t="shared" si="577"/>
        <v>0</v>
      </c>
      <c r="M786" s="542"/>
      <c r="N786" s="445">
        <f t="shared" si="578"/>
        <v>0</v>
      </c>
      <c r="O786" s="542"/>
      <c r="P786" s="445">
        <f t="shared" si="579"/>
        <v>0</v>
      </c>
      <c r="Q786" s="542"/>
      <c r="R786" s="445">
        <f t="shared" si="580"/>
        <v>0</v>
      </c>
      <c r="S786" s="542"/>
      <c r="T786" s="445">
        <f t="shared" si="581"/>
        <v>0</v>
      </c>
      <c r="V786" s="581"/>
      <c r="W786" s="582">
        <f t="shared" si="582"/>
        <v>0</v>
      </c>
      <c r="X786" s="581"/>
      <c r="Y786" s="582">
        <f t="shared" si="583"/>
        <v>0</v>
      </c>
      <c r="Z786" s="581"/>
      <c r="AA786" s="582">
        <f t="shared" si="584"/>
        <v>0</v>
      </c>
      <c r="AB786" s="581"/>
      <c r="AC786" s="582">
        <f t="shared" si="585"/>
        <v>0</v>
      </c>
      <c r="AE786" s="769">
        <f t="shared" ref="AE786:AE838" si="586">SUM(AC786,AA786,Y786,W786)-SUM(T786,R786,P786,N786,L786)</f>
        <v>0</v>
      </c>
    </row>
    <row r="787" spans="1:31" ht="15" hidden="1" customHeight="1" x14ac:dyDescent="0.2">
      <c r="A787" s="611" t="s">
        <v>1937</v>
      </c>
      <c r="B787" s="601" t="s">
        <v>1938</v>
      </c>
      <c r="C787" s="611" t="s">
        <v>130</v>
      </c>
      <c r="D787" s="576">
        <f t="shared" si="574"/>
        <v>0</v>
      </c>
      <c r="E787" s="577">
        <f t="shared" si="573"/>
        <v>0</v>
      </c>
      <c r="F787" s="577">
        <f t="shared" si="575"/>
        <v>0</v>
      </c>
      <c r="G787" s="578"/>
      <c r="I787" s="584"/>
      <c r="J787" s="585">
        <f t="shared" si="576"/>
        <v>0</v>
      </c>
      <c r="K787" s="537"/>
      <c r="L787" s="445">
        <f t="shared" si="577"/>
        <v>0</v>
      </c>
      <c r="M787" s="542"/>
      <c r="N787" s="445">
        <f t="shared" si="578"/>
        <v>0</v>
      </c>
      <c r="O787" s="542"/>
      <c r="P787" s="445">
        <f t="shared" si="579"/>
        <v>0</v>
      </c>
      <c r="Q787" s="542"/>
      <c r="R787" s="445">
        <f t="shared" si="580"/>
        <v>0</v>
      </c>
      <c r="S787" s="542"/>
      <c r="T787" s="445">
        <f t="shared" si="581"/>
        <v>0</v>
      </c>
      <c r="V787" s="581"/>
      <c r="W787" s="582">
        <f t="shared" si="582"/>
        <v>0</v>
      </c>
      <c r="X787" s="581"/>
      <c r="Y787" s="582">
        <f t="shared" si="583"/>
        <v>0</v>
      </c>
      <c r="Z787" s="581"/>
      <c r="AA787" s="582">
        <f t="shared" si="584"/>
        <v>0</v>
      </c>
      <c r="AB787" s="581"/>
      <c r="AC787" s="582">
        <f t="shared" si="585"/>
        <v>0</v>
      </c>
      <c r="AE787" s="769">
        <f t="shared" si="586"/>
        <v>0</v>
      </c>
    </row>
    <row r="788" spans="1:31" ht="15" hidden="1" customHeight="1" x14ac:dyDescent="0.2">
      <c r="A788" s="611" t="s">
        <v>1939</v>
      </c>
      <c r="B788" s="601" t="s">
        <v>1940</v>
      </c>
      <c r="C788" s="611" t="s">
        <v>130</v>
      </c>
      <c r="D788" s="576">
        <f t="shared" si="574"/>
        <v>0</v>
      </c>
      <c r="E788" s="577">
        <f t="shared" si="573"/>
        <v>0</v>
      </c>
      <c r="F788" s="577">
        <f t="shared" si="575"/>
        <v>0</v>
      </c>
      <c r="G788" s="578"/>
      <c r="I788" s="584"/>
      <c r="J788" s="585">
        <f t="shared" si="576"/>
        <v>0</v>
      </c>
      <c r="K788" s="537"/>
      <c r="L788" s="445">
        <f t="shared" si="577"/>
        <v>0</v>
      </c>
      <c r="M788" s="542"/>
      <c r="N788" s="445">
        <f t="shared" si="578"/>
        <v>0</v>
      </c>
      <c r="O788" s="542"/>
      <c r="P788" s="445">
        <f t="shared" si="579"/>
        <v>0</v>
      </c>
      <c r="Q788" s="542"/>
      <c r="R788" s="445">
        <f t="shared" si="580"/>
        <v>0</v>
      </c>
      <c r="S788" s="542"/>
      <c r="T788" s="445">
        <f t="shared" si="581"/>
        <v>0</v>
      </c>
      <c r="V788" s="575"/>
      <c r="W788" s="582">
        <f t="shared" si="582"/>
        <v>0</v>
      </c>
      <c r="X788" s="575"/>
      <c r="Y788" s="582">
        <f t="shared" si="583"/>
        <v>0</v>
      </c>
      <c r="Z788" s="575"/>
      <c r="AA788" s="582">
        <f t="shared" si="584"/>
        <v>0</v>
      </c>
      <c r="AB788" s="575"/>
      <c r="AC788" s="582">
        <f t="shared" si="585"/>
        <v>0</v>
      </c>
      <c r="AE788" s="769">
        <f t="shared" si="586"/>
        <v>0</v>
      </c>
    </row>
    <row r="789" spans="1:31" ht="15" hidden="1" customHeight="1" x14ac:dyDescent="0.2">
      <c r="A789" s="611" t="s">
        <v>1941</v>
      </c>
      <c r="B789" s="601" t="s">
        <v>1942</v>
      </c>
      <c r="C789" s="611" t="s">
        <v>130</v>
      </c>
      <c r="D789" s="576">
        <f t="shared" si="574"/>
        <v>0</v>
      </c>
      <c r="E789" s="577">
        <f t="shared" si="573"/>
        <v>0</v>
      </c>
      <c r="F789" s="577">
        <f t="shared" si="575"/>
        <v>0</v>
      </c>
      <c r="G789" s="578"/>
      <c r="I789" s="584"/>
      <c r="J789" s="585">
        <f t="shared" si="576"/>
        <v>0</v>
      </c>
      <c r="K789" s="537"/>
      <c r="L789" s="445">
        <f t="shared" si="577"/>
        <v>0</v>
      </c>
      <c r="M789" s="542"/>
      <c r="N789" s="445">
        <f t="shared" si="578"/>
        <v>0</v>
      </c>
      <c r="O789" s="542"/>
      <c r="P789" s="445">
        <f t="shared" si="579"/>
        <v>0</v>
      </c>
      <c r="Q789" s="542"/>
      <c r="R789" s="445">
        <f t="shared" si="580"/>
        <v>0</v>
      </c>
      <c r="S789" s="542"/>
      <c r="T789" s="445">
        <f t="shared" si="581"/>
        <v>0</v>
      </c>
      <c r="V789" s="581"/>
      <c r="W789" s="582">
        <f t="shared" si="582"/>
        <v>0</v>
      </c>
      <c r="X789" s="581"/>
      <c r="Y789" s="582">
        <f t="shared" si="583"/>
        <v>0</v>
      </c>
      <c r="Z789" s="581"/>
      <c r="AA789" s="582">
        <f t="shared" si="584"/>
        <v>0</v>
      </c>
      <c r="AB789" s="581"/>
      <c r="AC789" s="582">
        <f t="shared" si="585"/>
        <v>0</v>
      </c>
      <c r="AE789" s="769">
        <f t="shared" si="586"/>
        <v>0</v>
      </c>
    </row>
    <row r="790" spans="1:31" ht="15" hidden="1" customHeight="1" x14ac:dyDescent="0.2">
      <c r="A790" s="611" t="s">
        <v>1943</v>
      </c>
      <c r="B790" s="601" t="s">
        <v>1944</v>
      </c>
      <c r="C790" s="611" t="s">
        <v>130</v>
      </c>
      <c r="D790" s="576">
        <f t="shared" si="574"/>
        <v>0</v>
      </c>
      <c r="E790" s="577">
        <f t="shared" si="573"/>
        <v>0</v>
      </c>
      <c r="F790" s="577">
        <f t="shared" si="575"/>
        <v>0</v>
      </c>
      <c r="G790" s="578"/>
      <c r="I790" s="584"/>
      <c r="J790" s="585">
        <f t="shared" si="576"/>
        <v>0</v>
      </c>
      <c r="K790" s="537"/>
      <c r="L790" s="445">
        <f t="shared" si="577"/>
        <v>0</v>
      </c>
      <c r="M790" s="542"/>
      <c r="N790" s="445">
        <f t="shared" si="578"/>
        <v>0</v>
      </c>
      <c r="O790" s="542"/>
      <c r="P790" s="445">
        <f t="shared" si="579"/>
        <v>0</v>
      </c>
      <c r="Q790" s="542"/>
      <c r="R790" s="445">
        <f t="shared" si="580"/>
        <v>0</v>
      </c>
      <c r="S790" s="542"/>
      <c r="T790" s="445">
        <f t="shared" si="581"/>
        <v>0</v>
      </c>
      <c r="V790" s="581"/>
      <c r="W790" s="582">
        <f t="shared" si="582"/>
        <v>0</v>
      </c>
      <c r="X790" s="581"/>
      <c r="Y790" s="582">
        <f t="shared" si="583"/>
        <v>0</v>
      </c>
      <c r="Z790" s="581"/>
      <c r="AA790" s="582">
        <f t="shared" si="584"/>
        <v>0</v>
      </c>
      <c r="AB790" s="581"/>
      <c r="AC790" s="582">
        <f t="shared" si="585"/>
        <v>0</v>
      </c>
      <c r="AE790" s="769">
        <f t="shared" si="586"/>
        <v>0</v>
      </c>
    </row>
    <row r="791" spans="1:31" ht="15" hidden="1" customHeight="1" x14ac:dyDescent="0.2">
      <c r="A791" s="611" t="s">
        <v>1945</v>
      </c>
      <c r="B791" s="601" t="s">
        <v>1946</v>
      </c>
      <c r="C791" s="611" t="s">
        <v>114</v>
      </c>
      <c r="D791" s="576">
        <f t="shared" si="574"/>
        <v>0</v>
      </c>
      <c r="E791" s="577">
        <f t="shared" si="573"/>
        <v>0</v>
      </c>
      <c r="F791" s="577">
        <f t="shared" si="575"/>
        <v>0</v>
      </c>
      <c r="G791" s="578"/>
      <c r="I791" s="584"/>
      <c r="J791" s="585">
        <f t="shared" si="576"/>
        <v>0</v>
      </c>
      <c r="K791" s="537"/>
      <c r="L791" s="445">
        <f t="shared" si="577"/>
        <v>0</v>
      </c>
      <c r="M791" s="542"/>
      <c r="N791" s="445">
        <f t="shared" si="578"/>
        <v>0</v>
      </c>
      <c r="O791" s="542"/>
      <c r="P791" s="445">
        <f t="shared" si="579"/>
        <v>0</v>
      </c>
      <c r="Q791" s="542"/>
      <c r="R791" s="445">
        <f t="shared" si="580"/>
        <v>0</v>
      </c>
      <c r="S791" s="542"/>
      <c r="T791" s="445">
        <f t="shared" si="581"/>
        <v>0</v>
      </c>
      <c r="V791" s="581"/>
      <c r="W791" s="582">
        <f t="shared" si="582"/>
        <v>0</v>
      </c>
      <c r="X791" s="581"/>
      <c r="Y791" s="582">
        <f t="shared" si="583"/>
        <v>0</v>
      </c>
      <c r="Z791" s="581"/>
      <c r="AA791" s="582">
        <f t="shared" si="584"/>
        <v>0</v>
      </c>
      <c r="AB791" s="581"/>
      <c r="AC791" s="582">
        <f t="shared" si="585"/>
        <v>0</v>
      </c>
      <c r="AE791" s="769">
        <f t="shared" si="586"/>
        <v>0</v>
      </c>
    </row>
    <row r="792" spans="1:31" ht="15" hidden="1" customHeight="1" x14ac:dyDescent="0.2">
      <c r="A792" s="611" t="s">
        <v>1947</v>
      </c>
      <c r="B792" s="601" t="s">
        <v>1512</v>
      </c>
      <c r="C792" s="611" t="s">
        <v>114</v>
      </c>
      <c r="D792" s="576">
        <f t="shared" si="574"/>
        <v>0</v>
      </c>
      <c r="E792" s="577">
        <f t="shared" si="573"/>
        <v>0</v>
      </c>
      <c r="F792" s="577">
        <f t="shared" si="575"/>
        <v>0</v>
      </c>
      <c r="G792" s="578"/>
      <c r="I792" s="584"/>
      <c r="J792" s="585">
        <f t="shared" si="576"/>
        <v>0</v>
      </c>
      <c r="K792" s="537"/>
      <c r="L792" s="445">
        <f t="shared" si="577"/>
        <v>0</v>
      </c>
      <c r="M792" s="542"/>
      <c r="N792" s="445">
        <f t="shared" si="578"/>
        <v>0</v>
      </c>
      <c r="O792" s="542"/>
      <c r="P792" s="445">
        <f t="shared" si="579"/>
        <v>0</v>
      </c>
      <c r="Q792" s="542"/>
      <c r="R792" s="445">
        <f t="shared" si="580"/>
        <v>0</v>
      </c>
      <c r="S792" s="542"/>
      <c r="T792" s="445">
        <f t="shared" si="581"/>
        <v>0</v>
      </c>
      <c r="V792" s="581"/>
      <c r="W792" s="582">
        <f t="shared" si="582"/>
        <v>0</v>
      </c>
      <c r="X792" s="581"/>
      <c r="Y792" s="582">
        <f t="shared" si="583"/>
        <v>0</v>
      </c>
      <c r="Z792" s="581"/>
      <c r="AA792" s="582">
        <f t="shared" si="584"/>
        <v>0</v>
      </c>
      <c r="AB792" s="581"/>
      <c r="AC792" s="582">
        <f t="shared" si="585"/>
        <v>0</v>
      </c>
      <c r="AE792" s="769">
        <f t="shared" si="586"/>
        <v>0</v>
      </c>
    </row>
    <row r="793" spans="1:31" ht="15" hidden="1" customHeight="1" x14ac:dyDescent="0.2">
      <c r="A793" s="611" t="s">
        <v>1948</v>
      </c>
      <c r="B793" s="601" t="s">
        <v>1949</v>
      </c>
      <c r="C793" s="611" t="s">
        <v>130</v>
      </c>
      <c r="D793" s="576">
        <f t="shared" si="574"/>
        <v>0</v>
      </c>
      <c r="E793" s="577">
        <f t="shared" si="573"/>
        <v>0</v>
      </c>
      <c r="F793" s="577">
        <f t="shared" si="575"/>
        <v>0</v>
      </c>
      <c r="G793" s="578"/>
      <c r="I793" s="584"/>
      <c r="J793" s="585">
        <f t="shared" si="576"/>
        <v>0</v>
      </c>
      <c r="K793" s="537"/>
      <c r="L793" s="445">
        <f t="shared" si="577"/>
        <v>0</v>
      </c>
      <c r="M793" s="542"/>
      <c r="N793" s="445">
        <f t="shared" si="578"/>
        <v>0</v>
      </c>
      <c r="O793" s="542"/>
      <c r="P793" s="445">
        <f t="shared" si="579"/>
        <v>0</v>
      </c>
      <c r="Q793" s="542"/>
      <c r="R793" s="445">
        <f t="shared" si="580"/>
        <v>0</v>
      </c>
      <c r="S793" s="542"/>
      <c r="T793" s="445">
        <f t="shared" si="581"/>
        <v>0</v>
      </c>
      <c r="V793" s="581"/>
      <c r="W793" s="582">
        <f t="shared" si="582"/>
        <v>0</v>
      </c>
      <c r="X793" s="581"/>
      <c r="Y793" s="582">
        <f t="shared" si="583"/>
        <v>0</v>
      </c>
      <c r="Z793" s="581"/>
      <c r="AA793" s="582">
        <f t="shared" si="584"/>
        <v>0</v>
      </c>
      <c r="AB793" s="581"/>
      <c r="AC793" s="582">
        <f t="shared" si="585"/>
        <v>0</v>
      </c>
      <c r="AE793" s="769">
        <f t="shared" si="586"/>
        <v>0</v>
      </c>
    </row>
    <row r="794" spans="1:31" ht="15" hidden="1" customHeight="1" x14ac:dyDescent="0.2">
      <c r="A794" s="611" t="s">
        <v>1950</v>
      </c>
      <c r="B794" s="601" t="s">
        <v>1951</v>
      </c>
      <c r="C794" s="611" t="s">
        <v>130</v>
      </c>
      <c r="D794" s="576">
        <f t="shared" si="574"/>
        <v>0</v>
      </c>
      <c r="E794" s="577">
        <f t="shared" si="573"/>
        <v>0</v>
      </c>
      <c r="F794" s="577">
        <f t="shared" si="575"/>
        <v>0</v>
      </c>
      <c r="G794" s="578"/>
      <c r="I794" s="584"/>
      <c r="J794" s="585">
        <f t="shared" si="576"/>
        <v>0</v>
      </c>
      <c r="K794" s="537"/>
      <c r="L794" s="445">
        <f t="shared" si="577"/>
        <v>0</v>
      </c>
      <c r="M794" s="542"/>
      <c r="N794" s="445">
        <f t="shared" si="578"/>
        <v>0</v>
      </c>
      <c r="O794" s="542"/>
      <c r="P794" s="445">
        <f t="shared" si="579"/>
        <v>0</v>
      </c>
      <c r="Q794" s="542"/>
      <c r="R794" s="445">
        <f t="shared" si="580"/>
        <v>0</v>
      </c>
      <c r="S794" s="542"/>
      <c r="T794" s="445">
        <f t="shared" si="581"/>
        <v>0</v>
      </c>
      <c r="V794" s="581"/>
      <c r="W794" s="582">
        <f t="shared" si="582"/>
        <v>0</v>
      </c>
      <c r="X794" s="581"/>
      <c r="Y794" s="582">
        <f t="shared" si="583"/>
        <v>0</v>
      </c>
      <c r="Z794" s="581"/>
      <c r="AA794" s="582">
        <f t="shared" si="584"/>
        <v>0</v>
      </c>
      <c r="AB794" s="581"/>
      <c r="AC794" s="582">
        <f t="shared" si="585"/>
        <v>0</v>
      </c>
      <c r="AE794" s="769">
        <f t="shared" si="586"/>
        <v>0</v>
      </c>
    </row>
    <row r="795" spans="1:31" ht="15" hidden="1" customHeight="1" x14ac:dyDescent="0.2">
      <c r="A795" s="611" t="s">
        <v>1952</v>
      </c>
      <c r="B795" s="610" t="s">
        <v>1953</v>
      </c>
      <c r="C795" s="611" t="s">
        <v>114</v>
      </c>
      <c r="D795" s="576">
        <f t="shared" si="574"/>
        <v>0</v>
      </c>
      <c r="E795" s="577" t="e">
        <f t="shared" si="573"/>
        <v>#REF!</v>
      </c>
      <c r="F795" s="577" t="e">
        <f t="shared" si="575"/>
        <v>#REF!</v>
      </c>
      <c r="G795" s="578"/>
      <c r="I795" s="584"/>
      <c r="J795" s="585" t="e">
        <f t="shared" si="576"/>
        <v>#REF!</v>
      </c>
      <c r="K795" s="537"/>
      <c r="L795" s="445" t="e">
        <f t="shared" si="577"/>
        <v>#REF!</v>
      </c>
      <c r="M795" s="542"/>
      <c r="N795" s="445" t="e">
        <f t="shared" si="578"/>
        <v>#REF!</v>
      </c>
      <c r="O795" s="542"/>
      <c r="P795" s="445" t="e">
        <f t="shared" si="579"/>
        <v>#REF!</v>
      </c>
      <c r="Q795" s="542"/>
      <c r="R795" s="445" t="e">
        <f t="shared" si="580"/>
        <v>#REF!</v>
      </c>
      <c r="S795" s="542"/>
      <c r="T795" s="445" t="e">
        <f t="shared" si="581"/>
        <v>#REF!</v>
      </c>
      <c r="V795" s="581" t="e">
        <f>+'20,2,13 Escalinatas'!I19</f>
        <v>#REF!</v>
      </c>
      <c r="W795" s="582" t="e">
        <f t="shared" si="582"/>
        <v>#REF!</v>
      </c>
      <c r="X795" s="581">
        <f>+'20,2,13 Escalinatas'!I50</f>
        <v>23517.79</v>
      </c>
      <c r="Y795" s="582">
        <f t="shared" si="583"/>
        <v>0</v>
      </c>
      <c r="Z795" s="581">
        <f>+'20,2,13 Escalinatas'!I30</f>
        <v>259.7</v>
      </c>
      <c r="AA795" s="582">
        <f t="shared" si="584"/>
        <v>0</v>
      </c>
      <c r="AB795" s="581">
        <f>+'20,2,13 Escalinatas'!I41</f>
        <v>0</v>
      </c>
      <c r="AC795" s="582">
        <f t="shared" si="585"/>
        <v>0</v>
      </c>
      <c r="AE795" s="769" t="e">
        <f t="shared" si="586"/>
        <v>#REF!</v>
      </c>
    </row>
    <row r="796" spans="1:31" ht="15" hidden="1" customHeight="1" x14ac:dyDescent="0.2">
      <c r="A796" s="611" t="s">
        <v>1954</v>
      </c>
      <c r="B796" s="601" t="s">
        <v>1955</v>
      </c>
      <c r="C796" s="611" t="s">
        <v>114</v>
      </c>
      <c r="D796" s="576">
        <f t="shared" si="574"/>
        <v>0</v>
      </c>
      <c r="E796" s="577">
        <f t="shared" si="573"/>
        <v>0</v>
      </c>
      <c r="F796" s="577">
        <f t="shared" si="575"/>
        <v>0</v>
      </c>
      <c r="G796" s="578"/>
      <c r="I796" s="584"/>
      <c r="J796" s="585">
        <f t="shared" si="576"/>
        <v>0</v>
      </c>
      <c r="K796" s="537"/>
      <c r="L796" s="445">
        <f t="shared" si="577"/>
        <v>0</v>
      </c>
      <c r="M796" s="542"/>
      <c r="N796" s="445">
        <f t="shared" si="578"/>
        <v>0</v>
      </c>
      <c r="O796" s="542"/>
      <c r="P796" s="445">
        <f t="shared" si="579"/>
        <v>0</v>
      </c>
      <c r="Q796" s="542"/>
      <c r="R796" s="445">
        <f t="shared" si="580"/>
        <v>0</v>
      </c>
      <c r="S796" s="542"/>
      <c r="T796" s="445">
        <f t="shared" si="581"/>
        <v>0</v>
      </c>
      <c r="V796" s="581"/>
      <c r="W796" s="582">
        <f t="shared" si="582"/>
        <v>0</v>
      </c>
      <c r="X796" s="581"/>
      <c r="Y796" s="582">
        <f t="shared" si="583"/>
        <v>0</v>
      </c>
      <c r="Z796" s="581"/>
      <c r="AA796" s="582">
        <f t="shared" si="584"/>
        <v>0</v>
      </c>
      <c r="AB796" s="581"/>
      <c r="AC796" s="582">
        <f t="shared" si="585"/>
        <v>0</v>
      </c>
      <c r="AE796" s="769">
        <f t="shared" si="586"/>
        <v>0</v>
      </c>
    </row>
    <row r="797" spans="1:31" ht="15" hidden="1" customHeight="1" x14ac:dyDescent="0.2">
      <c r="A797" s="611" t="s">
        <v>1956</v>
      </c>
      <c r="B797" s="601" t="s">
        <v>1957</v>
      </c>
      <c r="C797" s="611" t="s">
        <v>130</v>
      </c>
      <c r="D797" s="576">
        <f t="shared" si="574"/>
        <v>0</v>
      </c>
      <c r="E797" s="577">
        <f t="shared" si="573"/>
        <v>0</v>
      </c>
      <c r="F797" s="577">
        <f t="shared" si="575"/>
        <v>0</v>
      </c>
      <c r="G797" s="578"/>
      <c r="I797" s="584"/>
      <c r="J797" s="585">
        <f t="shared" si="576"/>
        <v>0</v>
      </c>
      <c r="K797" s="537"/>
      <c r="L797" s="445">
        <f t="shared" si="577"/>
        <v>0</v>
      </c>
      <c r="M797" s="542"/>
      <c r="N797" s="445">
        <f t="shared" si="578"/>
        <v>0</v>
      </c>
      <c r="O797" s="542"/>
      <c r="P797" s="445">
        <f t="shared" si="579"/>
        <v>0</v>
      </c>
      <c r="Q797" s="542"/>
      <c r="R797" s="445">
        <f t="shared" si="580"/>
        <v>0</v>
      </c>
      <c r="S797" s="542"/>
      <c r="T797" s="445">
        <f t="shared" si="581"/>
        <v>0</v>
      </c>
      <c r="V797" s="581"/>
      <c r="W797" s="582">
        <f t="shared" si="582"/>
        <v>0</v>
      </c>
      <c r="X797" s="581"/>
      <c r="Y797" s="582">
        <f t="shared" si="583"/>
        <v>0</v>
      </c>
      <c r="Z797" s="581"/>
      <c r="AA797" s="582">
        <f t="shared" si="584"/>
        <v>0</v>
      </c>
      <c r="AB797" s="581"/>
      <c r="AC797" s="582">
        <f t="shared" si="585"/>
        <v>0</v>
      </c>
      <c r="AE797" s="769">
        <f t="shared" si="586"/>
        <v>0</v>
      </c>
    </row>
    <row r="798" spans="1:31" ht="15" hidden="1" customHeight="1" x14ac:dyDescent="0.2">
      <c r="A798" s="611" t="s">
        <v>1958</v>
      </c>
      <c r="B798" s="601" t="s">
        <v>1959</v>
      </c>
      <c r="C798" s="611" t="s">
        <v>114</v>
      </c>
      <c r="D798" s="576">
        <f t="shared" si="574"/>
        <v>0</v>
      </c>
      <c r="E798" s="577">
        <f t="shared" si="573"/>
        <v>0</v>
      </c>
      <c r="F798" s="577">
        <f t="shared" si="575"/>
        <v>0</v>
      </c>
      <c r="G798" s="578"/>
      <c r="I798" s="584"/>
      <c r="J798" s="585">
        <f t="shared" si="576"/>
        <v>0</v>
      </c>
      <c r="K798" s="537"/>
      <c r="L798" s="445">
        <f t="shared" si="577"/>
        <v>0</v>
      </c>
      <c r="M798" s="542"/>
      <c r="N798" s="445">
        <f t="shared" si="578"/>
        <v>0</v>
      </c>
      <c r="O798" s="542"/>
      <c r="P798" s="445">
        <f t="shared" si="579"/>
        <v>0</v>
      </c>
      <c r="Q798" s="542"/>
      <c r="R798" s="445">
        <f t="shared" si="580"/>
        <v>0</v>
      </c>
      <c r="S798" s="542"/>
      <c r="T798" s="445">
        <f t="shared" si="581"/>
        <v>0</v>
      </c>
      <c r="V798" s="581"/>
      <c r="W798" s="582">
        <f t="shared" si="582"/>
        <v>0</v>
      </c>
      <c r="X798" s="581"/>
      <c r="Y798" s="582">
        <f t="shared" si="583"/>
        <v>0</v>
      </c>
      <c r="Z798" s="581"/>
      <c r="AA798" s="582">
        <f t="shared" si="584"/>
        <v>0</v>
      </c>
      <c r="AB798" s="581"/>
      <c r="AC798" s="582">
        <f t="shared" si="585"/>
        <v>0</v>
      </c>
      <c r="AE798" s="769">
        <f t="shared" si="586"/>
        <v>0</v>
      </c>
    </row>
    <row r="799" spans="1:31" ht="15" hidden="1" customHeight="1" x14ac:dyDescent="0.2">
      <c r="A799" s="611" t="s">
        <v>1960</v>
      </c>
      <c r="B799" s="601" t="s">
        <v>1961</v>
      </c>
      <c r="C799" s="611" t="s">
        <v>114</v>
      </c>
      <c r="D799" s="576">
        <f t="shared" si="574"/>
        <v>0</v>
      </c>
      <c r="E799" s="577">
        <f t="shared" si="573"/>
        <v>0</v>
      </c>
      <c r="F799" s="577">
        <f t="shared" si="575"/>
        <v>0</v>
      </c>
      <c r="G799" s="578"/>
      <c r="I799" s="584"/>
      <c r="J799" s="585">
        <f t="shared" si="576"/>
        <v>0</v>
      </c>
      <c r="K799" s="537"/>
      <c r="L799" s="445">
        <f t="shared" si="577"/>
        <v>0</v>
      </c>
      <c r="M799" s="542"/>
      <c r="N799" s="445">
        <f t="shared" si="578"/>
        <v>0</v>
      </c>
      <c r="O799" s="542"/>
      <c r="P799" s="445">
        <f t="shared" si="579"/>
        <v>0</v>
      </c>
      <c r="Q799" s="542"/>
      <c r="R799" s="445">
        <f t="shared" si="580"/>
        <v>0</v>
      </c>
      <c r="S799" s="542"/>
      <c r="T799" s="445">
        <f t="shared" si="581"/>
        <v>0</v>
      </c>
      <c r="V799" s="581"/>
      <c r="W799" s="582">
        <f t="shared" si="582"/>
        <v>0</v>
      </c>
      <c r="X799" s="581"/>
      <c r="Y799" s="582">
        <f t="shared" si="583"/>
        <v>0</v>
      </c>
      <c r="Z799" s="581"/>
      <c r="AA799" s="582">
        <f t="shared" si="584"/>
        <v>0</v>
      </c>
      <c r="AB799" s="581"/>
      <c r="AC799" s="582">
        <f t="shared" si="585"/>
        <v>0</v>
      </c>
      <c r="AE799" s="769">
        <f t="shared" si="586"/>
        <v>0</v>
      </c>
    </row>
    <row r="800" spans="1:31" ht="15" hidden="1" customHeight="1" x14ac:dyDescent="0.2">
      <c r="A800" s="611" t="s">
        <v>1962</v>
      </c>
      <c r="B800" s="601" t="s">
        <v>1395</v>
      </c>
      <c r="C800" s="611"/>
      <c r="D800" s="576">
        <f t="shared" si="574"/>
        <v>0</v>
      </c>
      <c r="E800" s="577">
        <f t="shared" si="573"/>
        <v>0</v>
      </c>
      <c r="F800" s="577">
        <f t="shared" si="575"/>
        <v>0</v>
      </c>
      <c r="G800" s="578"/>
      <c r="I800" s="597"/>
      <c r="J800" s="598">
        <f t="shared" si="576"/>
        <v>0</v>
      </c>
      <c r="K800" s="537"/>
      <c r="L800" s="445">
        <f t="shared" si="577"/>
        <v>0</v>
      </c>
      <c r="M800" s="542"/>
      <c r="N800" s="445">
        <f t="shared" si="578"/>
        <v>0</v>
      </c>
      <c r="O800" s="542"/>
      <c r="P800" s="445">
        <f t="shared" si="579"/>
        <v>0</v>
      </c>
      <c r="Q800" s="542"/>
      <c r="R800" s="445">
        <f t="shared" si="580"/>
        <v>0</v>
      </c>
      <c r="S800" s="542"/>
      <c r="T800" s="445">
        <f t="shared" si="581"/>
        <v>0</v>
      </c>
      <c r="V800" s="581"/>
      <c r="W800" s="582">
        <f t="shared" si="582"/>
        <v>0</v>
      </c>
      <c r="X800" s="581"/>
      <c r="Y800" s="582">
        <f t="shared" si="583"/>
        <v>0</v>
      </c>
      <c r="Z800" s="581"/>
      <c r="AA800" s="582">
        <f t="shared" si="584"/>
        <v>0</v>
      </c>
      <c r="AB800" s="581"/>
      <c r="AC800" s="582">
        <f t="shared" si="585"/>
        <v>0</v>
      </c>
      <c r="AE800" s="769">
        <f t="shared" si="586"/>
        <v>0</v>
      </c>
    </row>
    <row r="801" spans="1:31" ht="15" hidden="1" customHeight="1" x14ac:dyDescent="0.2">
      <c r="A801" s="572" t="s">
        <v>1963</v>
      </c>
      <c r="B801" s="573" t="s">
        <v>1964</v>
      </c>
      <c r="C801" s="846"/>
      <c r="D801" s="576"/>
      <c r="E801" s="577"/>
      <c r="F801" s="180" t="e">
        <f>+ROUND(SUM(F802:F808),10)</f>
        <v>#REF!</v>
      </c>
      <c r="G801" s="473"/>
      <c r="H801" s="568"/>
      <c r="I801" s="613"/>
      <c r="J801" s="440" t="e">
        <f>ROUND(SUM(J802:J808),10)</f>
        <v>#REF!</v>
      </c>
      <c r="K801" s="537"/>
      <c r="L801" s="180" t="e">
        <f>ROUND(SUM(L802:L808),10)</f>
        <v>#REF!</v>
      </c>
      <c r="M801" s="542"/>
      <c r="N801" s="180" t="e">
        <f>ROUND(SUM(N802:N808),10)</f>
        <v>#REF!</v>
      </c>
      <c r="O801" s="542"/>
      <c r="P801" s="180" t="e">
        <f>ROUND(SUM(P802:P808),10)</f>
        <v>#REF!</v>
      </c>
      <c r="Q801" s="542"/>
      <c r="R801" s="180" t="e">
        <f>ROUND(SUM(R802:R808),10)</f>
        <v>#REF!</v>
      </c>
      <c r="S801" s="542"/>
      <c r="T801" s="180" t="e">
        <f>ROUND(SUM(T802:T808),10)</f>
        <v>#REF!</v>
      </c>
      <c r="U801" s="568"/>
      <c r="V801" s="575"/>
      <c r="W801" s="570" t="e">
        <f>ROUND(SUM(W802:W808),10)</f>
        <v>#REF!</v>
      </c>
      <c r="X801" s="575"/>
      <c r="Y801" s="570" t="e">
        <f>ROUND(SUM(Y802:Y808),10)</f>
        <v>#REF!</v>
      </c>
      <c r="Z801" s="575"/>
      <c r="AA801" s="570" t="e">
        <f>ROUND(SUM(AA802:AA808),10)</f>
        <v>#REF!</v>
      </c>
      <c r="AB801" s="575"/>
      <c r="AC801" s="570" t="e">
        <f>ROUND(SUM(AC802:AC808),10)</f>
        <v>#REF!</v>
      </c>
      <c r="AE801" s="769" t="e">
        <f t="shared" si="586"/>
        <v>#REF!</v>
      </c>
    </row>
    <row r="802" spans="1:31" ht="15" hidden="1" customHeight="1" x14ac:dyDescent="0.2">
      <c r="A802" s="611" t="s">
        <v>1965</v>
      </c>
      <c r="B802" s="601" t="s">
        <v>1966</v>
      </c>
      <c r="C802" s="611" t="s">
        <v>155</v>
      </c>
      <c r="D802" s="576">
        <f t="shared" ref="D802:D808" si="587">+I802+K802+M802+O802+Q802+S802</f>
        <v>0</v>
      </c>
      <c r="E802" s="577" t="e">
        <f t="shared" si="573"/>
        <v>#REF!</v>
      </c>
      <c r="F802" s="577" t="e">
        <f t="shared" ref="F802:F808" si="588">ROUND(D802*E802,10)</f>
        <v>#REF!</v>
      </c>
      <c r="G802" s="578"/>
      <c r="I802" s="594"/>
      <c r="J802" s="580" t="e">
        <f t="shared" ref="J802:J808" si="589">+ROUND(E802*I802,10)</f>
        <v>#REF!</v>
      </c>
      <c r="K802" s="537"/>
      <c r="L802" s="445" t="e">
        <f t="shared" ref="L802:L808" si="590">+ROUND(E802*K802,10)</f>
        <v>#REF!</v>
      </c>
      <c r="M802" s="542"/>
      <c r="N802" s="445" t="e">
        <f t="shared" ref="N802:N808" si="591">+ROUND(E802*M802,10)</f>
        <v>#REF!</v>
      </c>
      <c r="O802" s="542"/>
      <c r="P802" s="445" t="e">
        <f t="shared" ref="P802:P808" si="592">+ROUND(E802*O802,10)</f>
        <v>#REF!</v>
      </c>
      <c r="Q802" s="542"/>
      <c r="R802" s="445" t="e">
        <f t="shared" ref="R802:R808" si="593">+ROUND(E802*Q802,10)</f>
        <v>#REF!</v>
      </c>
      <c r="S802" s="542"/>
      <c r="T802" s="445" t="e">
        <f t="shared" ref="T802:T808" si="594">+ROUND(E802*S802,10)</f>
        <v>#REF!</v>
      </c>
      <c r="V802" s="581" t="e">
        <f>+'20,3,1 Solado esp= 0,05'!I19</f>
        <v>#REF!</v>
      </c>
      <c r="W802" s="582" t="e">
        <f t="shared" ref="W802:W808" si="595">ROUND(V802*$D802,10)</f>
        <v>#REF!</v>
      </c>
      <c r="X802" s="581">
        <f>+'20,3,1 Solado esp= 0,05'!I50</f>
        <v>21604.79</v>
      </c>
      <c r="Y802" s="582">
        <f t="shared" ref="Y802:Y808" si="596">ROUND(X802*$D802,10)</f>
        <v>0</v>
      </c>
      <c r="Z802" s="581">
        <f>+'20,3,1 Solado esp= 0,05'!I30</f>
        <v>371</v>
      </c>
      <c r="AA802" s="582">
        <f t="shared" ref="AA802:AA808" si="597">ROUND(Z802*$D802,10)</f>
        <v>0</v>
      </c>
      <c r="AB802" s="581">
        <f>+'20,3,1 Solado esp= 0,05'!I41</f>
        <v>0</v>
      </c>
      <c r="AC802" s="582">
        <f t="shared" ref="AC802:AC808" si="598">ROUND(AB802*$D802,10)</f>
        <v>0</v>
      </c>
      <c r="AE802" s="769" t="e">
        <f t="shared" si="586"/>
        <v>#REF!</v>
      </c>
    </row>
    <row r="803" spans="1:31" ht="15" hidden="1" customHeight="1" x14ac:dyDescent="0.2">
      <c r="A803" s="611" t="s">
        <v>1967</v>
      </c>
      <c r="B803" s="601" t="s">
        <v>1968</v>
      </c>
      <c r="C803" s="611" t="s">
        <v>155</v>
      </c>
      <c r="D803" s="576">
        <f t="shared" si="587"/>
        <v>0</v>
      </c>
      <c r="E803" s="577" t="e">
        <f t="shared" si="573"/>
        <v>#REF!</v>
      </c>
      <c r="F803" s="577" t="e">
        <f t="shared" si="588"/>
        <v>#REF!</v>
      </c>
      <c r="G803" s="578"/>
      <c r="I803" s="584"/>
      <c r="J803" s="585" t="e">
        <f t="shared" si="589"/>
        <v>#REF!</v>
      </c>
      <c r="K803" s="537"/>
      <c r="L803" s="445" t="e">
        <f t="shared" si="590"/>
        <v>#REF!</v>
      </c>
      <c r="M803" s="542"/>
      <c r="N803" s="445" t="e">
        <f t="shared" si="591"/>
        <v>#REF!</v>
      </c>
      <c r="O803" s="542"/>
      <c r="P803" s="445" t="e">
        <f t="shared" si="592"/>
        <v>#REF!</v>
      </c>
      <c r="Q803" s="542"/>
      <c r="R803" s="445" t="e">
        <f t="shared" si="593"/>
        <v>#REF!</v>
      </c>
      <c r="S803" s="542"/>
      <c r="T803" s="445" t="e">
        <f t="shared" si="594"/>
        <v>#REF!</v>
      </c>
      <c r="V803" s="581" t="e">
        <f>+'20,3,2 Concreto Ciclopeo '!I19</f>
        <v>#REF!</v>
      </c>
      <c r="W803" s="582" t="e">
        <f t="shared" si="595"/>
        <v>#REF!</v>
      </c>
      <c r="X803" s="581">
        <f>+'20,3,2 Concreto Ciclopeo '!I50</f>
        <v>135029.95000000001</v>
      </c>
      <c r="Y803" s="582">
        <f t="shared" si="596"/>
        <v>0</v>
      </c>
      <c r="Z803" s="581">
        <f>+'20,3,2 Concreto Ciclopeo '!I30</f>
        <v>6042</v>
      </c>
      <c r="AA803" s="582">
        <f t="shared" si="597"/>
        <v>0</v>
      </c>
      <c r="AB803" s="581">
        <f>+'20,3,2 Concreto Ciclopeo '!I41</f>
        <v>0</v>
      </c>
      <c r="AC803" s="582">
        <f t="shared" si="598"/>
        <v>0</v>
      </c>
      <c r="AE803" s="769" t="e">
        <f t="shared" si="586"/>
        <v>#REF!</v>
      </c>
    </row>
    <row r="804" spans="1:31" ht="15" hidden="1" customHeight="1" x14ac:dyDescent="0.2">
      <c r="A804" s="611" t="s">
        <v>1969</v>
      </c>
      <c r="B804" s="601" t="s">
        <v>1970</v>
      </c>
      <c r="C804" s="611" t="s">
        <v>155</v>
      </c>
      <c r="D804" s="576">
        <f t="shared" si="587"/>
        <v>0</v>
      </c>
      <c r="E804" s="577" t="e">
        <f t="shared" si="573"/>
        <v>#REF!</v>
      </c>
      <c r="F804" s="577" t="e">
        <f t="shared" si="588"/>
        <v>#REF!</v>
      </c>
      <c r="G804" s="578"/>
      <c r="I804" s="584"/>
      <c r="J804" s="585" t="e">
        <f t="shared" si="589"/>
        <v>#REF!</v>
      </c>
      <c r="K804" s="537"/>
      <c r="L804" s="445" t="e">
        <f t="shared" si="590"/>
        <v>#REF!</v>
      </c>
      <c r="M804" s="542"/>
      <c r="N804" s="445" t="e">
        <f t="shared" si="591"/>
        <v>#REF!</v>
      </c>
      <c r="O804" s="542"/>
      <c r="P804" s="445" t="e">
        <f t="shared" si="592"/>
        <v>#REF!</v>
      </c>
      <c r="Q804" s="542"/>
      <c r="R804" s="445" t="e">
        <f t="shared" si="593"/>
        <v>#REF!</v>
      </c>
      <c r="S804" s="542"/>
      <c r="T804" s="445" t="e">
        <f t="shared" si="594"/>
        <v>#REF!</v>
      </c>
      <c r="V804" s="581" t="e">
        <f>+'20,3,3 Vigas de Amarre'!I19</f>
        <v>#REF!</v>
      </c>
      <c r="W804" s="582" t="e">
        <f t="shared" si="595"/>
        <v>#REF!</v>
      </c>
      <c r="X804" s="581">
        <f>+'20,3,3 Vigas de Amarre'!I50</f>
        <v>148998.57</v>
      </c>
      <c r="Y804" s="582">
        <f t="shared" si="596"/>
        <v>0</v>
      </c>
      <c r="Z804" s="581">
        <f>+'20,3,3 Vigas de Amarre'!I30</f>
        <v>13780</v>
      </c>
      <c r="AA804" s="582">
        <f t="shared" si="597"/>
        <v>0</v>
      </c>
      <c r="AB804" s="581">
        <f>+'20,3,3 Vigas de Amarre'!I41</f>
        <v>0</v>
      </c>
      <c r="AC804" s="582">
        <f t="shared" si="598"/>
        <v>0</v>
      </c>
      <c r="AE804" s="769" t="e">
        <f t="shared" si="586"/>
        <v>#REF!</v>
      </c>
    </row>
    <row r="805" spans="1:31" ht="15" hidden="1" customHeight="1" x14ac:dyDescent="0.2">
      <c r="A805" s="611" t="s">
        <v>1971</v>
      </c>
      <c r="B805" s="601" t="s">
        <v>1972</v>
      </c>
      <c r="C805" s="611" t="s">
        <v>130</v>
      </c>
      <c r="D805" s="576">
        <f t="shared" si="587"/>
        <v>0</v>
      </c>
      <c r="E805" s="577">
        <f t="shared" si="573"/>
        <v>0</v>
      </c>
      <c r="F805" s="577">
        <f t="shared" si="588"/>
        <v>0</v>
      </c>
      <c r="G805" s="578"/>
      <c r="I805" s="584"/>
      <c r="J805" s="585">
        <f t="shared" si="589"/>
        <v>0</v>
      </c>
      <c r="K805" s="537"/>
      <c r="L805" s="445">
        <f t="shared" si="590"/>
        <v>0</v>
      </c>
      <c r="M805" s="542"/>
      <c r="N805" s="445">
        <f t="shared" si="591"/>
        <v>0</v>
      </c>
      <c r="O805" s="542"/>
      <c r="P805" s="445">
        <f t="shared" si="592"/>
        <v>0</v>
      </c>
      <c r="Q805" s="542"/>
      <c r="R805" s="445">
        <f t="shared" si="593"/>
        <v>0</v>
      </c>
      <c r="S805" s="542"/>
      <c r="T805" s="445">
        <f t="shared" si="594"/>
        <v>0</v>
      </c>
      <c r="V805" s="581"/>
      <c r="W805" s="582">
        <f t="shared" si="595"/>
        <v>0</v>
      </c>
      <c r="X805" s="581"/>
      <c r="Y805" s="582">
        <f t="shared" si="596"/>
        <v>0</v>
      </c>
      <c r="Z805" s="581"/>
      <c r="AA805" s="582">
        <f t="shared" si="597"/>
        <v>0</v>
      </c>
      <c r="AB805" s="581"/>
      <c r="AC805" s="582">
        <f t="shared" si="598"/>
        <v>0</v>
      </c>
      <c r="AE805" s="769">
        <f t="shared" si="586"/>
        <v>0</v>
      </c>
    </row>
    <row r="806" spans="1:31" ht="15" hidden="1" customHeight="1" x14ac:dyDescent="0.2">
      <c r="A806" s="611" t="s">
        <v>1973</v>
      </c>
      <c r="B806" s="601" t="s">
        <v>1974</v>
      </c>
      <c r="C806" s="611" t="s">
        <v>130</v>
      </c>
      <c r="D806" s="576">
        <f t="shared" si="587"/>
        <v>0</v>
      </c>
      <c r="E806" s="577" t="e">
        <f t="shared" si="573"/>
        <v>#REF!</v>
      </c>
      <c r="F806" s="577" t="e">
        <f t="shared" si="588"/>
        <v>#REF!</v>
      </c>
      <c r="G806" s="578"/>
      <c r="I806" s="584"/>
      <c r="J806" s="585" t="e">
        <f t="shared" si="589"/>
        <v>#REF!</v>
      </c>
      <c r="K806" s="537"/>
      <c r="L806" s="445" t="e">
        <f t="shared" si="590"/>
        <v>#REF!</v>
      </c>
      <c r="M806" s="542"/>
      <c r="N806" s="445" t="e">
        <f t="shared" si="591"/>
        <v>#REF!</v>
      </c>
      <c r="O806" s="542"/>
      <c r="P806" s="445" t="e">
        <f t="shared" si="592"/>
        <v>#REF!</v>
      </c>
      <c r="Q806" s="542"/>
      <c r="R806" s="445" t="e">
        <f t="shared" si="593"/>
        <v>#REF!</v>
      </c>
      <c r="S806" s="542"/>
      <c r="T806" s="445" t="e">
        <f t="shared" si="594"/>
        <v>#REF!</v>
      </c>
      <c r="V806" s="581" t="e">
        <f>+'20,3,5  Cerramiento Malla Esla'!I19</f>
        <v>#REF!</v>
      </c>
      <c r="W806" s="582" t="e">
        <f t="shared" si="595"/>
        <v>#REF!</v>
      </c>
      <c r="X806" s="581">
        <f>+'20,3,5  Cerramiento Malla Esla'!I50</f>
        <v>17956.25</v>
      </c>
      <c r="Y806" s="582">
        <f t="shared" si="596"/>
        <v>0</v>
      </c>
      <c r="Z806" s="581">
        <f>+'20,3,5  Cerramiento Malla Esla'!I30</f>
        <v>6814.29</v>
      </c>
      <c r="AA806" s="582">
        <f t="shared" si="597"/>
        <v>0</v>
      </c>
      <c r="AB806" s="581">
        <f>+'20,3,5  Cerramiento Malla Esla'!I41</f>
        <v>0</v>
      </c>
      <c r="AC806" s="582">
        <f t="shared" si="598"/>
        <v>0</v>
      </c>
      <c r="AE806" s="769" t="e">
        <f t="shared" si="586"/>
        <v>#REF!</v>
      </c>
    </row>
    <row r="807" spans="1:31" ht="15" hidden="1" customHeight="1" x14ac:dyDescent="0.2">
      <c r="A807" s="611" t="s">
        <v>1975</v>
      </c>
      <c r="B807" s="601" t="s">
        <v>1976</v>
      </c>
      <c r="C807" s="611" t="s">
        <v>155</v>
      </c>
      <c r="D807" s="576">
        <f t="shared" si="587"/>
        <v>0</v>
      </c>
      <c r="E807" s="577" t="e">
        <f t="shared" si="573"/>
        <v>#REF!</v>
      </c>
      <c r="F807" s="577" t="e">
        <f t="shared" si="588"/>
        <v>#REF!</v>
      </c>
      <c r="G807" s="578"/>
      <c r="I807" s="584"/>
      <c r="J807" s="585" t="e">
        <f t="shared" si="589"/>
        <v>#REF!</v>
      </c>
      <c r="K807" s="537"/>
      <c r="L807" s="445" t="e">
        <f t="shared" si="590"/>
        <v>#REF!</v>
      </c>
      <c r="M807" s="542"/>
      <c r="N807" s="445" t="e">
        <f t="shared" si="591"/>
        <v>#REF!</v>
      </c>
      <c r="O807" s="542"/>
      <c r="P807" s="445" t="e">
        <f t="shared" si="592"/>
        <v>#REF!</v>
      </c>
      <c r="Q807" s="542"/>
      <c r="R807" s="445" t="e">
        <f t="shared" si="593"/>
        <v>#REF!</v>
      </c>
      <c r="S807" s="542"/>
      <c r="T807" s="445" t="e">
        <f t="shared" si="594"/>
        <v>#REF!</v>
      </c>
      <c r="V807" s="581" t="e">
        <f>+#REF!</f>
        <v>#REF!</v>
      </c>
      <c r="W807" s="582" t="e">
        <f t="shared" si="595"/>
        <v>#REF!</v>
      </c>
      <c r="X807" s="581" t="e">
        <f>+#REF!</f>
        <v>#REF!</v>
      </c>
      <c r="Y807" s="582" t="e">
        <f t="shared" si="596"/>
        <v>#REF!</v>
      </c>
      <c r="Z807" s="581" t="e">
        <f>+#REF!</f>
        <v>#REF!</v>
      </c>
      <c r="AA807" s="582" t="e">
        <f t="shared" si="597"/>
        <v>#REF!</v>
      </c>
      <c r="AB807" s="581" t="e">
        <f>+#REF!</f>
        <v>#REF!</v>
      </c>
      <c r="AC807" s="582" t="e">
        <f t="shared" si="598"/>
        <v>#REF!</v>
      </c>
      <c r="AE807" s="769" t="e">
        <f t="shared" si="586"/>
        <v>#REF!</v>
      </c>
    </row>
    <row r="808" spans="1:31" ht="15" hidden="1" customHeight="1" x14ac:dyDescent="0.2">
      <c r="A808" s="611" t="s">
        <v>1977</v>
      </c>
      <c r="B808" s="601" t="s">
        <v>1395</v>
      </c>
      <c r="C808" s="611"/>
      <c r="D808" s="576">
        <f t="shared" si="587"/>
        <v>0</v>
      </c>
      <c r="E808" s="577">
        <f t="shared" si="573"/>
        <v>0</v>
      </c>
      <c r="F808" s="577">
        <f t="shared" si="588"/>
        <v>0</v>
      </c>
      <c r="G808" s="578"/>
      <c r="I808" s="597"/>
      <c r="J808" s="598">
        <f t="shared" si="589"/>
        <v>0</v>
      </c>
      <c r="K808" s="537"/>
      <c r="L808" s="445">
        <f t="shared" si="590"/>
        <v>0</v>
      </c>
      <c r="M808" s="542"/>
      <c r="N808" s="445">
        <f t="shared" si="591"/>
        <v>0</v>
      </c>
      <c r="O808" s="542"/>
      <c r="P808" s="445">
        <f t="shared" si="592"/>
        <v>0</v>
      </c>
      <c r="Q808" s="542"/>
      <c r="R808" s="445">
        <f t="shared" si="593"/>
        <v>0</v>
      </c>
      <c r="S808" s="542"/>
      <c r="T808" s="445">
        <f t="shared" si="594"/>
        <v>0</v>
      </c>
      <c r="V808" s="581"/>
      <c r="W808" s="582">
        <f t="shared" si="595"/>
        <v>0</v>
      </c>
      <c r="X808" s="581"/>
      <c r="Y808" s="582">
        <f t="shared" si="596"/>
        <v>0</v>
      </c>
      <c r="Z808" s="581"/>
      <c r="AA808" s="582">
        <f t="shared" si="597"/>
        <v>0</v>
      </c>
      <c r="AB808" s="581"/>
      <c r="AC808" s="582">
        <f t="shared" si="598"/>
        <v>0</v>
      </c>
      <c r="AE808" s="769">
        <f t="shared" si="586"/>
        <v>0</v>
      </c>
    </row>
    <row r="809" spans="1:31" ht="15" customHeight="1" x14ac:dyDescent="0.2">
      <c r="A809" s="572" t="s">
        <v>1978</v>
      </c>
      <c r="B809" s="573" t="s">
        <v>1979</v>
      </c>
      <c r="C809" s="611"/>
      <c r="D809" s="576"/>
      <c r="E809" s="577"/>
      <c r="F809" s="626" t="e">
        <f>+ROUND(SUM(F810:F814),10)</f>
        <v>#REF!</v>
      </c>
      <c r="G809" s="578"/>
      <c r="I809" s="613"/>
      <c r="J809" s="440" t="e">
        <f>ROUND(SUM(J810:J814),10)</f>
        <v>#REF!</v>
      </c>
      <c r="K809" s="537"/>
      <c r="L809" s="180" t="e">
        <f>ROUND(SUM(L810:L814),10)</f>
        <v>#REF!</v>
      </c>
      <c r="M809" s="542"/>
      <c r="N809" s="180" t="e">
        <f>ROUND(SUM(N810:N814),10)</f>
        <v>#REF!</v>
      </c>
      <c r="O809" s="542"/>
      <c r="P809" s="180" t="e">
        <f>ROUND(SUM(P810:P814),10)</f>
        <v>#REF!</v>
      </c>
      <c r="Q809" s="542"/>
      <c r="R809" s="180" t="e">
        <f>ROUND(SUM(R810:R814),10)</f>
        <v>#REF!</v>
      </c>
      <c r="S809" s="542"/>
      <c r="T809" s="180" t="e">
        <f>ROUND(SUM(T810:T814),10)</f>
        <v>#REF!</v>
      </c>
      <c r="V809" s="581"/>
      <c r="W809" s="570" t="e">
        <f>ROUND(SUM(W810:W814),10)</f>
        <v>#REF!</v>
      </c>
      <c r="X809" s="581"/>
      <c r="Y809" s="570">
        <f>ROUND(SUM(Y810:Y814),10)</f>
        <v>3915309.9835999999</v>
      </c>
      <c r="Z809" s="581"/>
      <c r="AA809" s="570">
        <f>ROUND(SUM(AA810:AA814),10)</f>
        <v>760806.83799999999</v>
      </c>
      <c r="AB809" s="581"/>
      <c r="AC809" s="570">
        <f>ROUND(SUM(AC810:AC814),10)</f>
        <v>0</v>
      </c>
      <c r="AE809" s="769" t="e">
        <f t="shared" si="586"/>
        <v>#REF!</v>
      </c>
    </row>
    <row r="810" spans="1:31" ht="15" customHeight="1" x14ac:dyDescent="0.2">
      <c r="A810" s="611" t="s">
        <v>1980</v>
      </c>
      <c r="B810" s="649" t="s">
        <v>1981</v>
      </c>
      <c r="C810" s="611" t="s">
        <v>155</v>
      </c>
      <c r="D810" s="576">
        <f>+I810+K810+M810+O810+Q810+S810</f>
        <v>74.38</v>
      </c>
      <c r="E810" s="577">
        <f t="shared" si="573"/>
        <v>6105.6</v>
      </c>
      <c r="F810" s="577">
        <f>ROUND(D810*E810,10)</f>
        <v>454134.52799999999</v>
      </c>
      <c r="G810" s="578"/>
      <c r="I810" s="594"/>
      <c r="J810" s="580">
        <f>+ROUND(E810*I810,10)</f>
        <v>0</v>
      </c>
      <c r="K810" s="537"/>
      <c r="L810" s="445">
        <f>+ROUND(E810*K810,10)</f>
        <v>0</v>
      </c>
      <c r="M810" s="542"/>
      <c r="N810" s="445">
        <f>+ROUND(E810*M810,10)</f>
        <v>0</v>
      </c>
      <c r="O810" s="542"/>
      <c r="P810" s="445">
        <f>+ROUND(E810*O810,10)</f>
        <v>0</v>
      </c>
      <c r="Q810" s="542">
        <v>32.58</v>
      </c>
      <c r="R810" s="445">
        <f>+ROUND(E810*Q810,10)</f>
        <v>198920.448</v>
      </c>
      <c r="S810" s="542">
        <v>41.8</v>
      </c>
      <c r="T810" s="445">
        <f>+ROUND(E810*S810,10)</f>
        <v>255214.07999999999</v>
      </c>
      <c r="V810" s="581">
        <f>'20,4,1 Mov Tierras'!I19</f>
        <v>0</v>
      </c>
      <c r="W810" s="582">
        <f>ROUND(V810*$D810,10)</f>
        <v>0</v>
      </c>
      <c r="X810" s="581">
        <f>'20,4,1 Mov Tierras'!I50</f>
        <v>0</v>
      </c>
      <c r="Y810" s="582">
        <f>ROUND(X810*$D810,10)</f>
        <v>0</v>
      </c>
      <c r="Z810" s="581">
        <f>'20,4,1 Mov Tierras'!I30</f>
        <v>6105.6</v>
      </c>
      <c r="AA810" s="582">
        <f>ROUND(Z810*$D810,10)</f>
        <v>454134.52799999999</v>
      </c>
      <c r="AB810" s="581">
        <f>'20,4,1 Mov Tierras'!I41</f>
        <v>0</v>
      </c>
      <c r="AC810" s="582">
        <f>ROUND(AB810*$D810,10)</f>
        <v>0</v>
      </c>
      <c r="AE810" s="769">
        <f t="shared" si="586"/>
        <v>0</v>
      </c>
    </row>
    <row r="811" spans="1:31" ht="15" customHeight="1" x14ac:dyDescent="0.2">
      <c r="A811" s="611" t="s">
        <v>1982</v>
      </c>
      <c r="B811" s="601" t="s">
        <v>1983</v>
      </c>
      <c r="C811" s="611" t="s">
        <v>130</v>
      </c>
      <c r="D811" s="576">
        <f>+I811+K811+M811+O811+Q811+S811</f>
        <v>786.61</v>
      </c>
      <c r="E811" s="577" t="e">
        <f t="shared" si="573"/>
        <v>#REF!</v>
      </c>
      <c r="F811" s="577" t="e">
        <f>ROUND(D811*E811,10)</f>
        <v>#REF!</v>
      </c>
      <c r="G811" s="578"/>
      <c r="I811" s="584"/>
      <c r="J811" s="585" t="e">
        <f>+ROUND(E811*I811,10)</f>
        <v>#REF!</v>
      </c>
      <c r="K811" s="537"/>
      <c r="L811" s="445" t="e">
        <f>+ROUND(E811*K811,10)</f>
        <v>#REF!</v>
      </c>
      <c r="M811" s="542"/>
      <c r="N811" s="445" t="e">
        <f>+ROUND(E811*M811,10)</f>
        <v>#REF!</v>
      </c>
      <c r="O811" s="542"/>
      <c r="P811" s="445" t="e">
        <f>+ROUND(E811*O811,10)</f>
        <v>#REF!</v>
      </c>
      <c r="Q811" s="542">
        <v>75.91</v>
      </c>
      <c r="R811" s="445" t="e">
        <f>+ROUND(E811*Q811,10)</f>
        <v>#REF!</v>
      </c>
      <c r="S811" s="542">
        <f>140.58+150+420.12</f>
        <v>710.7</v>
      </c>
      <c r="T811" s="445" t="e">
        <f>+ROUND(E811*S811,10)</f>
        <v>#REF!</v>
      </c>
      <c r="V811" s="581" t="e">
        <f>+'20,4,2 Pradización'!I19</f>
        <v>#REF!</v>
      </c>
      <c r="W811" s="582" t="e">
        <f>ROUND(V811*$D811,10)</f>
        <v>#REF!</v>
      </c>
      <c r="X811" s="581">
        <f>+'20,4,2 Pradización'!I50</f>
        <v>3856.76</v>
      </c>
      <c r="Y811" s="582">
        <f>ROUND(X811*$D811,10)</f>
        <v>3033765.9835999999</v>
      </c>
      <c r="Z811" s="581">
        <f>+'20,4,2 Pradización'!I30</f>
        <v>371</v>
      </c>
      <c r="AA811" s="582">
        <f>ROUND(Z811*$D811,10)</f>
        <v>291832.31</v>
      </c>
      <c r="AB811" s="581">
        <f>+'20,4,2 Pradización'!I41</f>
        <v>0</v>
      </c>
      <c r="AC811" s="582">
        <f>ROUND(AB811*$D811,10)</f>
        <v>0</v>
      </c>
      <c r="AE811" s="769" t="e">
        <f t="shared" si="586"/>
        <v>#REF!</v>
      </c>
    </row>
    <row r="812" spans="1:31" ht="15" hidden="1" customHeight="1" x14ac:dyDescent="0.2">
      <c r="A812" s="611" t="s">
        <v>1984</v>
      </c>
      <c r="B812" s="601" t="s">
        <v>1985</v>
      </c>
      <c r="C812" s="611" t="s">
        <v>130</v>
      </c>
      <c r="D812" s="576">
        <f>+I812+K812+M812+O812+Q812+S812</f>
        <v>0</v>
      </c>
      <c r="E812" s="577">
        <f t="shared" si="573"/>
        <v>0</v>
      </c>
      <c r="F812" s="577">
        <f>ROUND(D812*E812,10)</f>
        <v>0</v>
      </c>
      <c r="G812" s="578"/>
      <c r="I812" s="584"/>
      <c r="J812" s="585">
        <f>+ROUND(E812*I812,10)</f>
        <v>0</v>
      </c>
      <c r="K812" s="537"/>
      <c r="L812" s="445">
        <f>+ROUND(E812*K812,10)</f>
        <v>0</v>
      </c>
      <c r="M812" s="542"/>
      <c r="N812" s="445">
        <f>+ROUND(E812*M812,10)</f>
        <v>0</v>
      </c>
      <c r="O812" s="542"/>
      <c r="P812" s="445">
        <f>+ROUND(E812*O812,10)</f>
        <v>0</v>
      </c>
      <c r="Q812" s="542"/>
      <c r="R812" s="445">
        <f>+ROUND(E812*Q812,10)</f>
        <v>0</v>
      </c>
      <c r="S812" s="542"/>
      <c r="T812" s="445">
        <f>+ROUND(E812*S812,10)</f>
        <v>0</v>
      </c>
      <c r="V812" s="581"/>
      <c r="W812" s="582">
        <f>ROUND(V812*$D812,10)</f>
        <v>0</v>
      </c>
      <c r="X812" s="581"/>
      <c r="Y812" s="582">
        <f>ROUND(X812*$D812,10)</f>
        <v>0</v>
      </c>
      <c r="Z812" s="581"/>
      <c r="AA812" s="582">
        <f>ROUND(Z812*$D812,10)</f>
        <v>0</v>
      </c>
      <c r="AB812" s="581"/>
      <c r="AC812" s="582">
        <f>ROUND(AB812*$D812,10)</f>
        <v>0</v>
      </c>
      <c r="AE812" s="769">
        <f t="shared" si="586"/>
        <v>0</v>
      </c>
    </row>
    <row r="813" spans="1:31" ht="15.75" customHeight="1" x14ac:dyDescent="0.2">
      <c r="A813" s="611" t="s">
        <v>1986</v>
      </c>
      <c r="B813" s="601" t="s">
        <v>1987</v>
      </c>
      <c r="C813" s="611" t="s">
        <v>111</v>
      </c>
      <c r="D813" s="576">
        <f>+I813+K813+M813+O813+Q813+S813</f>
        <v>40</v>
      </c>
      <c r="E813" s="577" t="e">
        <f t="shared" si="573"/>
        <v>#REF!</v>
      </c>
      <c r="F813" s="577" t="e">
        <f>ROUND(D813*E813,10)</f>
        <v>#REF!</v>
      </c>
      <c r="G813" s="578"/>
      <c r="I813" s="584"/>
      <c r="J813" s="585" t="e">
        <f>+ROUND(E813*I813,10)</f>
        <v>#REF!</v>
      </c>
      <c r="K813" s="537"/>
      <c r="L813" s="445" t="e">
        <f>+ROUND(E813*K813,10)</f>
        <v>#REF!</v>
      </c>
      <c r="M813" s="542"/>
      <c r="N813" s="445" t="e">
        <f>+ROUND(E813*M813,10)</f>
        <v>#REF!</v>
      </c>
      <c r="O813" s="542"/>
      <c r="P813" s="445" t="e">
        <f>+ROUND(E813*O813,10)</f>
        <v>#REF!</v>
      </c>
      <c r="Q813" s="542">
        <v>24</v>
      </c>
      <c r="R813" s="445" t="e">
        <f>+ROUND(E813*Q813,10)</f>
        <v>#REF!</v>
      </c>
      <c r="S813" s="542">
        <v>16</v>
      </c>
      <c r="T813" s="445" t="e">
        <f>+ROUND(E813*S813,10)</f>
        <v>#REF!</v>
      </c>
      <c r="V813" s="581" t="e">
        <f>+'20,4,4 Arborización'!I19</f>
        <v>#REF!</v>
      </c>
      <c r="W813" s="582" t="e">
        <f>ROUND(V813*$D813,10)</f>
        <v>#REF!</v>
      </c>
      <c r="X813" s="581">
        <f>+'20,4,4 Arborización'!I50</f>
        <v>22038.6</v>
      </c>
      <c r="Y813" s="582">
        <f>ROUND(X813*$D813,10)</f>
        <v>881544</v>
      </c>
      <c r="Z813" s="581">
        <f>+'20,4,4 Arborización'!I30</f>
        <v>371</v>
      </c>
      <c r="AA813" s="582">
        <f>ROUND(Z813*$D813,10)</f>
        <v>14840</v>
      </c>
      <c r="AB813" s="581"/>
      <c r="AC813" s="582">
        <f>ROUND(AB813*$D813,10)</f>
        <v>0</v>
      </c>
      <c r="AE813" s="769" t="e">
        <f t="shared" si="586"/>
        <v>#REF!</v>
      </c>
    </row>
    <row r="814" spans="1:31" s="595" customFormat="1" ht="18" hidden="1" customHeight="1" x14ac:dyDescent="0.2">
      <c r="A814" s="611" t="s">
        <v>1988</v>
      </c>
      <c r="B814" s="601" t="s">
        <v>1395</v>
      </c>
      <c r="C814" s="611"/>
      <c r="D814" s="576">
        <f>+I814+K814+M814+O814+Q814+S814</f>
        <v>0</v>
      </c>
      <c r="E814" s="577">
        <f t="shared" si="573"/>
        <v>0</v>
      </c>
      <c r="F814" s="577">
        <f>ROUND(D814*E814,10)</f>
        <v>0</v>
      </c>
      <c r="G814" s="578"/>
      <c r="H814" s="552"/>
      <c r="I814" s="597"/>
      <c r="J814" s="598">
        <f>+ROUND(E814*I814,10)</f>
        <v>0</v>
      </c>
      <c r="K814" s="537"/>
      <c r="L814" s="445">
        <f>+ROUND(E814*K814,10)</f>
        <v>0</v>
      </c>
      <c r="M814" s="542"/>
      <c r="N814" s="445">
        <f>+ROUND(E814*M814,10)</f>
        <v>0</v>
      </c>
      <c r="O814" s="542"/>
      <c r="P814" s="445">
        <f>+ROUND(E814*O814,10)</f>
        <v>0</v>
      </c>
      <c r="Q814" s="542"/>
      <c r="R814" s="445">
        <f>+ROUND(E814*Q814,10)</f>
        <v>0</v>
      </c>
      <c r="S814" s="542"/>
      <c r="T814" s="445">
        <f>+ROUND(E814*S814,10)</f>
        <v>0</v>
      </c>
      <c r="U814" s="552"/>
      <c r="V814" s="581"/>
      <c r="W814" s="582">
        <f>ROUND(V814*$D814,10)</f>
        <v>0</v>
      </c>
      <c r="X814" s="581"/>
      <c r="Y814" s="582">
        <f>ROUND(X814*$D814,10)</f>
        <v>0</v>
      </c>
      <c r="Z814" s="581"/>
      <c r="AA814" s="582">
        <f>ROUND(Z814*$D814,10)</f>
        <v>0</v>
      </c>
      <c r="AB814" s="581"/>
      <c r="AC814" s="582">
        <f>ROUND(AB814*$D814,10)</f>
        <v>0</v>
      </c>
      <c r="AD814" s="912"/>
      <c r="AE814" s="769">
        <f t="shared" si="586"/>
        <v>0</v>
      </c>
    </row>
    <row r="815" spans="1:31" ht="15" hidden="1" customHeight="1" x14ac:dyDescent="0.2">
      <c r="A815" s="572" t="s">
        <v>1989</v>
      </c>
      <c r="B815" s="573" t="s">
        <v>1395</v>
      </c>
      <c r="C815" s="846"/>
      <c r="D815" s="576"/>
      <c r="E815" s="577"/>
      <c r="F815" s="180" t="e">
        <f>+ROUND(SUM(F816:F821),10)</f>
        <v>#REF!</v>
      </c>
      <c r="G815" s="473"/>
      <c r="H815" s="568"/>
      <c r="I815" s="613"/>
      <c r="J815" s="440" t="e">
        <f>ROUND(SUM(J816:J821),10)</f>
        <v>#REF!</v>
      </c>
      <c r="K815" s="537"/>
      <c r="L815" s="180" t="e">
        <f>ROUND(SUM(L816:L821),10)</f>
        <v>#REF!</v>
      </c>
      <c r="M815" s="542"/>
      <c r="N815" s="180" t="e">
        <f>ROUND(SUM(N816:N821),10)</f>
        <v>#REF!</v>
      </c>
      <c r="O815" s="542"/>
      <c r="P815" s="180" t="e">
        <f>ROUND(SUM(P816:P821),10)</f>
        <v>#REF!</v>
      </c>
      <c r="Q815" s="542"/>
      <c r="R815" s="180" t="e">
        <f>ROUND(SUM(R816:R821),10)</f>
        <v>#REF!</v>
      </c>
      <c r="S815" s="542"/>
      <c r="T815" s="180" t="e">
        <f>ROUND(SUM(T816:T821),10)</f>
        <v>#REF!</v>
      </c>
      <c r="U815" s="568"/>
      <c r="V815" s="575"/>
      <c r="W815" s="570" t="e">
        <f>ROUND(SUM(W816:W821),10)</f>
        <v>#REF!</v>
      </c>
      <c r="X815" s="575"/>
      <c r="Y815" s="570">
        <f>ROUND(SUM(Y816:Y821),10)</f>
        <v>0</v>
      </c>
      <c r="Z815" s="575"/>
      <c r="AA815" s="570">
        <f>ROUND(SUM(AA816:AA821),10)</f>
        <v>0</v>
      </c>
      <c r="AB815" s="575"/>
      <c r="AC815" s="570">
        <f>ROUND(SUM(AC816:AC821),10)</f>
        <v>0</v>
      </c>
      <c r="AE815" s="769" t="e">
        <f t="shared" si="586"/>
        <v>#REF!</v>
      </c>
    </row>
    <row r="816" spans="1:31" ht="15" hidden="1" customHeight="1" x14ac:dyDescent="0.2">
      <c r="A816" s="611" t="s">
        <v>1990</v>
      </c>
      <c r="B816" s="601" t="s">
        <v>681</v>
      </c>
      <c r="C816" s="611" t="s">
        <v>155</v>
      </c>
      <c r="D816" s="576">
        <f t="shared" ref="D816:D821" si="599">+I816+K816+M816+O816+Q816+S816</f>
        <v>0</v>
      </c>
      <c r="E816" s="577" t="e">
        <f t="shared" si="573"/>
        <v>#REF!</v>
      </c>
      <c r="F816" s="577" t="e">
        <f t="shared" ref="F816:F821" si="600">ROUND(D816*E816,10)</f>
        <v>#REF!</v>
      </c>
      <c r="G816" s="578"/>
      <c r="I816" s="594"/>
      <c r="J816" s="580" t="e">
        <f t="shared" ref="J816:J821" si="601">+ROUND(E816*I816,10)</f>
        <v>#REF!</v>
      </c>
      <c r="K816" s="537"/>
      <c r="L816" s="445" t="e">
        <f t="shared" ref="L816:L821" si="602">+ROUND(E816*K816,10)</f>
        <v>#REF!</v>
      </c>
      <c r="M816" s="542"/>
      <c r="N816" s="445" t="e">
        <f t="shared" ref="N816:N821" si="603">+ROUND(E816*M816,10)</f>
        <v>#REF!</v>
      </c>
      <c r="O816" s="542"/>
      <c r="P816" s="445" t="e">
        <f t="shared" ref="P816:P821" si="604">+ROUND(E816*O816,10)</f>
        <v>#REF!</v>
      </c>
      <c r="Q816" s="542"/>
      <c r="R816" s="445" t="e">
        <f t="shared" ref="R816:R821" si="605">+ROUND(E816*Q816,10)</f>
        <v>#REF!</v>
      </c>
      <c r="S816" s="542"/>
      <c r="T816" s="445" t="e">
        <f t="shared" ref="T816:T821" si="606">+ROUND(E816*S816,10)</f>
        <v>#REF!</v>
      </c>
      <c r="V816" s="581" t="e">
        <f>+'20,5,1 Gaviones en piedra'!I19</f>
        <v>#REF!</v>
      </c>
      <c r="W816" s="582" t="e">
        <f t="shared" ref="W816:W821" si="607">ROUND(V816*$D816,10)</f>
        <v>#REF!</v>
      </c>
      <c r="X816" s="581">
        <f>+'20,5,1 Gaviones en piedra'!I50</f>
        <v>135029.95000000001</v>
      </c>
      <c r="Y816" s="582">
        <f t="shared" ref="Y816:Y821" si="608">ROUND(X816*$D816,10)</f>
        <v>0</v>
      </c>
      <c r="Z816" s="581">
        <f>+'20,5,1 Gaviones en piedra'!I30</f>
        <v>3710</v>
      </c>
      <c r="AA816" s="582">
        <f t="shared" ref="AA816:AA821" si="609">ROUND(Z816*$D816,10)</f>
        <v>0</v>
      </c>
      <c r="AB816" s="581">
        <f>+'20,5,1 Gaviones en piedra'!I41</f>
        <v>0</v>
      </c>
      <c r="AC816" s="582">
        <f t="shared" ref="AC816:AC821" si="610">ROUND(AB816*$D816,10)</f>
        <v>0</v>
      </c>
      <c r="AE816" s="769" t="e">
        <f t="shared" si="586"/>
        <v>#REF!</v>
      </c>
    </row>
    <row r="817" spans="1:31" ht="15" hidden="1" customHeight="1" x14ac:dyDescent="0.2">
      <c r="A817" s="611" t="s">
        <v>1991</v>
      </c>
      <c r="B817" s="601" t="s">
        <v>1992</v>
      </c>
      <c r="C817" s="611" t="s">
        <v>119</v>
      </c>
      <c r="D817" s="576">
        <f t="shared" si="599"/>
        <v>0</v>
      </c>
      <c r="E817" s="577" t="e">
        <f t="shared" si="573"/>
        <v>#REF!</v>
      </c>
      <c r="F817" s="577" t="e">
        <f t="shared" si="600"/>
        <v>#REF!</v>
      </c>
      <c r="G817" s="578"/>
      <c r="I817" s="584"/>
      <c r="J817" s="585" t="e">
        <f t="shared" si="601"/>
        <v>#REF!</v>
      </c>
      <c r="K817" s="537"/>
      <c r="L817" s="445" t="e">
        <f t="shared" si="602"/>
        <v>#REF!</v>
      </c>
      <c r="M817" s="542"/>
      <c r="N817" s="445" t="e">
        <f t="shared" si="603"/>
        <v>#REF!</v>
      </c>
      <c r="O817" s="542"/>
      <c r="P817" s="445" t="e">
        <f t="shared" si="604"/>
        <v>#REF!</v>
      </c>
      <c r="Q817" s="542"/>
      <c r="R817" s="445" t="e">
        <f t="shared" si="605"/>
        <v>#REF!</v>
      </c>
      <c r="S817" s="542"/>
      <c r="T817" s="445" t="e">
        <f t="shared" si="606"/>
        <v>#REF!</v>
      </c>
      <c r="V817" s="581" t="e">
        <f>+'20,5,2 PERGOLA  METALICA'!I19</f>
        <v>#REF!</v>
      </c>
      <c r="W817" s="582" t="e">
        <f t="shared" si="607"/>
        <v>#REF!</v>
      </c>
      <c r="X817" s="581">
        <f>+'20,5,2 PERGOLA  METALICA'!I50</f>
        <v>7027.8</v>
      </c>
      <c r="Y817" s="582">
        <f t="shared" si="608"/>
        <v>0</v>
      </c>
      <c r="Z817" s="581">
        <f>+'20,5,2 PERGOLA  METALICA'!I30</f>
        <v>573.41</v>
      </c>
      <c r="AA817" s="582">
        <f t="shared" si="609"/>
        <v>0</v>
      </c>
      <c r="AB817" s="581">
        <f>+'20,5,2 PERGOLA  METALICA'!I41</f>
        <v>0</v>
      </c>
      <c r="AC817" s="582">
        <f t="shared" si="610"/>
        <v>0</v>
      </c>
      <c r="AE817" s="769" t="e">
        <f t="shared" si="586"/>
        <v>#REF!</v>
      </c>
    </row>
    <row r="818" spans="1:31" ht="15" hidden="1" customHeight="1" x14ac:dyDescent="0.2">
      <c r="A818" s="611" t="s">
        <v>1993</v>
      </c>
      <c r="B818" s="601" t="s">
        <v>1994</v>
      </c>
      <c r="C818" s="611" t="s">
        <v>119</v>
      </c>
      <c r="D818" s="576">
        <f t="shared" si="599"/>
        <v>0</v>
      </c>
      <c r="E818" s="577" t="e">
        <f t="shared" si="573"/>
        <v>#REF!</v>
      </c>
      <c r="F818" s="577" t="e">
        <f t="shared" si="600"/>
        <v>#REF!</v>
      </c>
      <c r="G818" s="578"/>
      <c r="I818" s="584"/>
      <c r="J818" s="585" t="e">
        <f t="shared" si="601"/>
        <v>#REF!</v>
      </c>
      <c r="K818" s="537"/>
      <c r="L818" s="445" t="e">
        <f t="shared" si="602"/>
        <v>#REF!</v>
      </c>
      <c r="M818" s="542"/>
      <c r="N818" s="445" t="e">
        <f t="shared" si="603"/>
        <v>#REF!</v>
      </c>
      <c r="O818" s="542"/>
      <c r="P818" s="445" t="e">
        <f t="shared" si="604"/>
        <v>#REF!</v>
      </c>
      <c r="Q818" s="542"/>
      <c r="R818" s="445" t="e">
        <f t="shared" si="605"/>
        <v>#REF!</v>
      </c>
      <c r="S818" s="542"/>
      <c r="T818" s="445" t="e">
        <f t="shared" si="606"/>
        <v>#REF!</v>
      </c>
      <c r="V818" s="581" t="e">
        <f>+'20,5,3  Acero 37000  Ext.'!I19</f>
        <v>#REF!</v>
      </c>
      <c r="W818" s="582" t="e">
        <f t="shared" si="607"/>
        <v>#REF!</v>
      </c>
      <c r="X818" s="581">
        <f>+'20,5,3  Acero 37000  Ext.'!I50</f>
        <v>360.08</v>
      </c>
      <c r="Y818" s="582">
        <f t="shared" si="608"/>
        <v>0</v>
      </c>
      <c r="Z818" s="581">
        <f>+'20,5,3  Acero 37000  Ext.'!I30</f>
        <v>20.61</v>
      </c>
      <c r="AA818" s="582">
        <f t="shared" si="609"/>
        <v>0</v>
      </c>
      <c r="AB818" s="581">
        <f>+'20,5,3  Acero 37000  Ext.'!I41</f>
        <v>0</v>
      </c>
      <c r="AC818" s="582">
        <f t="shared" si="610"/>
        <v>0</v>
      </c>
      <c r="AE818" s="769" t="e">
        <f t="shared" si="586"/>
        <v>#REF!</v>
      </c>
    </row>
    <row r="819" spans="1:31" ht="15" hidden="1" customHeight="1" x14ac:dyDescent="0.2">
      <c r="A819" s="611" t="s">
        <v>1995</v>
      </c>
      <c r="B819" s="601" t="s">
        <v>1996</v>
      </c>
      <c r="C819" s="611" t="s">
        <v>119</v>
      </c>
      <c r="D819" s="576">
        <f t="shared" si="599"/>
        <v>0</v>
      </c>
      <c r="E819" s="577" t="e">
        <f t="shared" si="573"/>
        <v>#REF!</v>
      </c>
      <c r="F819" s="577" t="e">
        <f t="shared" si="600"/>
        <v>#REF!</v>
      </c>
      <c r="G819" s="578"/>
      <c r="I819" s="584"/>
      <c r="J819" s="585" t="e">
        <f t="shared" si="601"/>
        <v>#REF!</v>
      </c>
      <c r="K819" s="537"/>
      <c r="L819" s="445" t="e">
        <f t="shared" si="602"/>
        <v>#REF!</v>
      </c>
      <c r="M819" s="542"/>
      <c r="N819" s="445" t="e">
        <f t="shared" si="603"/>
        <v>#REF!</v>
      </c>
      <c r="O819" s="542"/>
      <c r="P819" s="445" t="e">
        <f t="shared" si="604"/>
        <v>#REF!</v>
      </c>
      <c r="Q819" s="542"/>
      <c r="R819" s="445" t="e">
        <f t="shared" si="605"/>
        <v>#REF!</v>
      </c>
      <c r="S819" s="542"/>
      <c r="T819" s="445" t="e">
        <f t="shared" si="606"/>
        <v>#REF!</v>
      </c>
      <c r="V819" s="581" t="e">
        <f>+'20,5,4 Acero 60000 psi'!I19</f>
        <v>#REF!</v>
      </c>
      <c r="W819" s="582" t="e">
        <f t="shared" si="607"/>
        <v>#REF!</v>
      </c>
      <c r="X819" s="581">
        <f>+'20,5,4 Acero 60000 psi'!I50</f>
        <v>392.81</v>
      </c>
      <c r="Y819" s="582">
        <f t="shared" si="608"/>
        <v>0</v>
      </c>
      <c r="Z819" s="581">
        <f>+'20,5,4 Acero 60000 psi'!I30</f>
        <v>20.61</v>
      </c>
      <c r="AA819" s="582">
        <f t="shared" si="609"/>
        <v>0</v>
      </c>
      <c r="AB819" s="581">
        <f>+'20,5,4 Acero 60000 psi'!I41</f>
        <v>0</v>
      </c>
      <c r="AC819" s="582">
        <f t="shared" si="610"/>
        <v>0</v>
      </c>
      <c r="AE819" s="769" t="e">
        <f t="shared" si="586"/>
        <v>#REF!</v>
      </c>
    </row>
    <row r="820" spans="1:31" ht="15" hidden="1" customHeight="1" x14ac:dyDescent="0.2">
      <c r="A820" s="611" t="s">
        <v>1997</v>
      </c>
      <c r="B820" s="601" t="s">
        <v>678</v>
      </c>
      <c r="C820" s="611" t="s">
        <v>119</v>
      </c>
      <c r="D820" s="576">
        <f t="shared" si="599"/>
        <v>0</v>
      </c>
      <c r="E820" s="577" t="e">
        <f t="shared" si="573"/>
        <v>#REF!</v>
      </c>
      <c r="F820" s="577" t="e">
        <f t="shared" si="600"/>
        <v>#REF!</v>
      </c>
      <c r="G820" s="578"/>
      <c r="I820" s="584"/>
      <c r="J820" s="585" t="e">
        <f t="shared" si="601"/>
        <v>#REF!</v>
      </c>
      <c r="K820" s="537"/>
      <c r="L820" s="445" t="e">
        <f t="shared" si="602"/>
        <v>#REF!</v>
      </c>
      <c r="M820" s="542"/>
      <c r="N820" s="445" t="e">
        <f t="shared" si="603"/>
        <v>#REF!</v>
      </c>
      <c r="O820" s="542"/>
      <c r="P820" s="445" t="e">
        <f t="shared" si="604"/>
        <v>#REF!</v>
      </c>
      <c r="Q820" s="542"/>
      <c r="R820" s="445" t="e">
        <f t="shared" si="605"/>
        <v>#REF!</v>
      </c>
      <c r="S820" s="542"/>
      <c r="T820" s="445" t="e">
        <f t="shared" si="606"/>
        <v>#REF!</v>
      </c>
      <c r="V820" s="581" t="e">
        <f>+'20,5,5 Malla Electrosoldada  '!I19</f>
        <v>#REF!</v>
      </c>
      <c r="W820" s="582" t="e">
        <f t="shared" si="607"/>
        <v>#REF!</v>
      </c>
      <c r="X820" s="581">
        <f>+'20,5,5 Malla Electrosoldada  '!I50</f>
        <v>617.28</v>
      </c>
      <c r="Y820" s="582">
        <f t="shared" si="608"/>
        <v>0</v>
      </c>
      <c r="Z820" s="581">
        <f>+'20,5,5 Malla Electrosoldada  '!I30</f>
        <v>18.55</v>
      </c>
      <c r="AA820" s="582">
        <f t="shared" si="609"/>
        <v>0</v>
      </c>
      <c r="AB820" s="581">
        <f>+'20,5,5 Malla Electrosoldada  '!I41</f>
        <v>0</v>
      </c>
      <c r="AC820" s="582">
        <f t="shared" si="610"/>
        <v>0</v>
      </c>
      <c r="AE820" s="769" t="e">
        <f t="shared" si="586"/>
        <v>#REF!</v>
      </c>
    </row>
    <row r="821" spans="1:31" ht="15" hidden="1" customHeight="1" thickBot="1" x14ac:dyDescent="0.25">
      <c r="A821" s="611" t="s">
        <v>1998</v>
      </c>
      <c r="B821" s="601" t="s">
        <v>1395</v>
      </c>
      <c r="C821" s="611"/>
      <c r="D821" s="576">
        <f t="shared" si="599"/>
        <v>0</v>
      </c>
      <c r="E821" s="577">
        <f t="shared" si="573"/>
        <v>0</v>
      </c>
      <c r="F821" s="577">
        <f t="shared" si="600"/>
        <v>0</v>
      </c>
      <c r="G821" s="578"/>
      <c r="H821" s="695"/>
      <c r="I821" s="602"/>
      <c r="J821" s="603">
        <f t="shared" si="601"/>
        <v>0</v>
      </c>
      <c r="K821" s="537"/>
      <c r="L821" s="445">
        <f t="shared" si="602"/>
        <v>0</v>
      </c>
      <c r="M821" s="542"/>
      <c r="N821" s="445">
        <f t="shared" si="603"/>
        <v>0</v>
      </c>
      <c r="O821" s="542"/>
      <c r="P821" s="445">
        <f t="shared" si="604"/>
        <v>0</v>
      </c>
      <c r="Q821" s="542"/>
      <c r="R821" s="445">
        <f t="shared" si="605"/>
        <v>0</v>
      </c>
      <c r="S821" s="542"/>
      <c r="T821" s="445">
        <f t="shared" si="606"/>
        <v>0</v>
      </c>
      <c r="V821" s="581"/>
      <c r="W821" s="582">
        <f t="shared" si="607"/>
        <v>0</v>
      </c>
      <c r="X821" s="581"/>
      <c r="Y821" s="582">
        <f t="shared" si="608"/>
        <v>0</v>
      </c>
      <c r="Z821" s="581"/>
      <c r="AA821" s="582">
        <f t="shared" si="609"/>
        <v>0</v>
      </c>
      <c r="AB821" s="581"/>
      <c r="AC821" s="582">
        <f t="shared" si="610"/>
        <v>0</v>
      </c>
      <c r="AE821" s="769">
        <f t="shared" si="586"/>
        <v>0</v>
      </c>
    </row>
    <row r="822" spans="1:31" ht="15" hidden="1" customHeight="1" thickTop="1" x14ac:dyDescent="0.2">
      <c r="A822" s="611"/>
      <c r="B822" s="601"/>
      <c r="C822" s="611"/>
      <c r="D822" s="576"/>
      <c r="E822" s="577"/>
      <c r="F822" s="577"/>
      <c r="G822" s="578"/>
      <c r="I822" s="604"/>
      <c r="J822" s="635"/>
      <c r="K822" s="537"/>
      <c r="L822" s="445"/>
      <c r="M822" s="542"/>
      <c r="N822" s="445"/>
      <c r="O822" s="542"/>
      <c r="P822" s="445"/>
      <c r="Q822" s="542"/>
      <c r="R822" s="445"/>
      <c r="S822" s="542"/>
      <c r="T822" s="445"/>
      <c r="V822" s="581"/>
      <c r="W822" s="582"/>
      <c r="X822" s="581"/>
      <c r="Y822" s="582"/>
      <c r="Z822" s="581"/>
      <c r="AA822" s="582"/>
      <c r="AB822" s="581"/>
      <c r="AC822" s="582"/>
      <c r="AE822" s="769">
        <f t="shared" si="586"/>
        <v>0</v>
      </c>
    </row>
    <row r="823" spans="1:31" s="672" customFormat="1" ht="6.75" customHeight="1" thickBot="1" x14ac:dyDescent="0.25">
      <c r="A823" s="919"/>
      <c r="B823" s="920"/>
      <c r="C823" s="919"/>
      <c r="D823" s="655"/>
      <c r="E823" s="656"/>
      <c r="F823" s="656"/>
      <c r="G823" s="656"/>
      <c r="H823" s="657"/>
      <c r="I823" s="658"/>
      <c r="J823" s="658"/>
      <c r="K823" s="659"/>
      <c r="L823" s="658"/>
      <c r="M823" s="174"/>
      <c r="N823" s="658"/>
      <c r="O823" s="174"/>
      <c r="P823" s="658"/>
      <c r="Q823" s="174"/>
      <c r="R823" s="658"/>
      <c r="S823" s="174"/>
      <c r="T823" s="658"/>
      <c r="U823" s="657"/>
      <c r="V823" s="667"/>
      <c r="W823" s="667"/>
      <c r="X823" s="667"/>
      <c r="Y823" s="667"/>
      <c r="Z823" s="667"/>
      <c r="AA823" s="667"/>
      <c r="AB823" s="667"/>
      <c r="AC823" s="667"/>
      <c r="AE823" s="769">
        <f t="shared" si="586"/>
        <v>0</v>
      </c>
    </row>
    <row r="824" spans="1:31" s="571" customFormat="1" ht="30" customHeight="1" thickTop="1" thickBot="1" x14ac:dyDescent="0.25">
      <c r="A824" s="564">
        <v>21</v>
      </c>
      <c r="B824" s="1068" t="s">
        <v>1999</v>
      </c>
      <c r="C824" s="1069"/>
      <c r="D824" s="1069"/>
      <c r="E824" s="1069"/>
      <c r="F824" s="1070"/>
      <c r="G824" s="180" t="e">
        <f>ROUND(F825+F830,10)</f>
        <v>#REF!</v>
      </c>
      <c r="H824" s="639"/>
      <c r="I824" s="696"/>
      <c r="J824" s="439" t="e">
        <f>+ROUND(J825+J830,10)</f>
        <v>#REF!</v>
      </c>
      <c r="K824" s="617"/>
      <c r="L824" s="180" t="e">
        <f>+ROUND(L825+L830,10)</f>
        <v>#REF!</v>
      </c>
      <c r="M824" s="180"/>
      <c r="N824" s="180" t="e">
        <f>+ROUND(N825+N830,10)</f>
        <v>#REF!</v>
      </c>
      <c r="O824" s="180"/>
      <c r="P824" s="180" t="e">
        <f>+ROUND(P825+P830,10)</f>
        <v>#REF!</v>
      </c>
      <c r="Q824" s="180"/>
      <c r="R824" s="180" t="e">
        <f>+ROUND(R825+R830,10)</f>
        <v>#REF!</v>
      </c>
      <c r="S824" s="180"/>
      <c r="T824" s="180" t="e">
        <f>+ROUND(T825+T830,10)</f>
        <v>#REF!</v>
      </c>
      <c r="U824" s="568"/>
      <c r="V824" s="569" t="e">
        <f>W824/$G$824</f>
        <v>#REF!</v>
      </c>
      <c r="W824" s="570" t="e">
        <f>ROUND(W825+W830,10)</f>
        <v>#REF!</v>
      </c>
      <c r="X824" s="569" t="e">
        <f>Y824/$G$824</f>
        <v>#REF!</v>
      </c>
      <c r="Y824" s="570">
        <f>ROUND(Y825+Y830,10)</f>
        <v>2702425.4338006298</v>
      </c>
      <c r="Z824" s="569" t="e">
        <f>AA824/$G$824</f>
        <v>#REF!</v>
      </c>
      <c r="AA824" s="570">
        <f>ROUND(AA825+AA830,10)</f>
        <v>147098.44690668801</v>
      </c>
      <c r="AB824" s="569" t="e">
        <f>AC824/$G$824</f>
        <v>#REF!</v>
      </c>
      <c r="AC824" s="570">
        <f>ROUND(AC825+AC830,10)</f>
        <v>0</v>
      </c>
      <c r="AE824" s="769" t="e">
        <f t="shared" si="586"/>
        <v>#REF!</v>
      </c>
    </row>
    <row r="825" spans="1:31" ht="15" customHeight="1" thickTop="1" x14ac:dyDescent="0.2">
      <c r="A825" s="572" t="s">
        <v>2000</v>
      </c>
      <c r="B825" s="573" t="s">
        <v>2001</v>
      </c>
      <c r="C825" s="611"/>
      <c r="D825" s="576"/>
      <c r="E825" s="577"/>
      <c r="F825" s="626" t="e">
        <f>+ROUND(SUM(F826:F829),10)</f>
        <v>#REF!</v>
      </c>
      <c r="G825" s="578"/>
      <c r="H825" s="636"/>
      <c r="I825" s="697"/>
      <c r="J825" s="439" t="e">
        <f>ROUND(SUM(J826:J829),10)</f>
        <v>#REF!</v>
      </c>
      <c r="K825" s="619"/>
      <c r="L825" s="180" t="e">
        <f>ROUND(SUM(L826:L829),10)</f>
        <v>#REF!</v>
      </c>
      <c r="M825" s="473"/>
      <c r="N825" s="180" t="e">
        <f>ROUND(SUM(N826:N829),10)</f>
        <v>#REF!</v>
      </c>
      <c r="O825" s="473"/>
      <c r="P825" s="180" t="e">
        <f>ROUND(SUM(P826:P829),10)</f>
        <v>#REF!</v>
      </c>
      <c r="Q825" s="473"/>
      <c r="R825" s="180" t="e">
        <f>ROUND(SUM(R826:R829),10)</f>
        <v>#REF!</v>
      </c>
      <c r="S825" s="473"/>
      <c r="T825" s="180" t="e">
        <f>ROUND(SUM(T826:T829),10)</f>
        <v>#REF!</v>
      </c>
      <c r="V825" s="581"/>
      <c r="W825" s="570" t="e">
        <f>ROUND(SUM(W826:W829),10)</f>
        <v>#REF!</v>
      </c>
      <c r="X825" s="581"/>
      <c r="Y825" s="570">
        <f>ROUND(SUM(Y826:Y829),10)</f>
        <v>2702425.4338006298</v>
      </c>
      <c r="Z825" s="581"/>
      <c r="AA825" s="570">
        <f>ROUND(SUM(AA826:AA829),10)</f>
        <v>147098.44690668801</v>
      </c>
      <c r="AB825" s="581"/>
      <c r="AC825" s="570">
        <f>ROUND(SUM(AC826:AC829),10)</f>
        <v>0</v>
      </c>
      <c r="AE825" s="769" t="e">
        <f t="shared" si="586"/>
        <v>#REF!</v>
      </c>
    </row>
    <row r="826" spans="1:31" ht="15" hidden="1" customHeight="1" x14ac:dyDescent="0.2">
      <c r="A826" s="611" t="s">
        <v>2002</v>
      </c>
      <c r="B826" s="601" t="s">
        <v>2003</v>
      </c>
      <c r="C826" s="611" t="s">
        <v>130</v>
      </c>
      <c r="D826" s="576">
        <f>+I826+K826+M826+O826+Q826+S826</f>
        <v>0</v>
      </c>
      <c r="E826" s="577" t="e">
        <f t="shared" ref="E826:E837" si="611">V826+X826+Z826+AB826</f>
        <v>#REF!</v>
      </c>
      <c r="F826" s="577" t="e">
        <f>ROUND(D826*E826,10)</f>
        <v>#REF!</v>
      </c>
      <c r="G826" s="578"/>
      <c r="I826" s="594"/>
      <c r="J826" s="580" t="e">
        <f>+ROUND(E826*I826,10)</f>
        <v>#REF!</v>
      </c>
      <c r="K826" s="538"/>
      <c r="L826" s="445" t="e">
        <f>+ROUND(E826*K826,10)</f>
        <v>#REF!</v>
      </c>
      <c r="M826" s="542"/>
      <c r="N826" s="445" t="e">
        <f>+ROUND(E826*M826,10)</f>
        <v>#REF!</v>
      </c>
      <c r="O826" s="542"/>
      <c r="P826" s="445" t="e">
        <f>+ROUND(E826*O826,10)</f>
        <v>#REF!</v>
      </c>
      <c r="Q826" s="542"/>
      <c r="R826" s="445" t="e">
        <f>+ROUND(E826*Q826,10)</f>
        <v>#REF!</v>
      </c>
      <c r="S826" s="542"/>
      <c r="T826" s="445" t="e">
        <f>+ROUND(E826*S826,10)</f>
        <v>#REF!</v>
      </c>
      <c r="V826" s="581" t="e">
        <f>+'21,1,1 Lavada ladrillo '!I19</f>
        <v>#REF!</v>
      </c>
      <c r="W826" s="582" t="e">
        <f>ROUND(V826*$D826,10)</f>
        <v>#REF!</v>
      </c>
      <c r="X826" s="581">
        <f>+'21,1,1 Lavada ladrillo '!I50</f>
        <v>2524.2399999999998</v>
      </c>
      <c r="Y826" s="582">
        <f>ROUND(X826*$D826,10)</f>
        <v>0</v>
      </c>
      <c r="Z826" s="581">
        <f>+'21,1,1 Lavada ladrillo '!I30</f>
        <v>562.39</v>
      </c>
      <c r="AA826" s="582">
        <f>ROUND(Z826*$D826,10)</f>
        <v>0</v>
      </c>
      <c r="AB826" s="581">
        <f>+'21,1,1 Lavada ladrillo '!I41</f>
        <v>0</v>
      </c>
      <c r="AC826" s="582">
        <f>ROUND(AB826*$D826,10)</f>
        <v>0</v>
      </c>
      <c r="AE826" s="769" t="e">
        <f t="shared" si="586"/>
        <v>#REF!</v>
      </c>
    </row>
    <row r="827" spans="1:31" ht="15" hidden="1" customHeight="1" x14ac:dyDescent="0.2">
      <c r="A827" s="611" t="s">
        <v>2004</v>
      </c>
      <c r="B827" s="601" t="s">
        <v>2005</v>
      </c>
      <c r="C827" s="611" t="s">
        <v>130</v>
      </c>
      <c r="D827" s="576">
        <f>+I827+K827+M827+O827+Q827+S827</f>
        <v>0</v>
      </c>
      <c r="E827" s="577">
        <f t="shared" si="611"/>
        <v>0</v>
      </c>
      <c r="F827" s="577">
        <f>ROUND(D827*E827,10)</f>
        <v>0</v>
      </c>
      <c r="G827" s="578"/>
      <c r="I827" s="584"/>
      <c r="J827" s="585">
        <f>+ROUND(E827*I827,10)</f>
        <v>0</v>
      </c>
      <c r="K827" s="537"/>
      <c r="L827" s="445">
        <f>+ROUND(E827*K827,10)</f>
        <v>0</v>
      </c>
      <c r="M827" s="542"/>
      <c r="N827" s="445">
        <f>+ROUND(E827*M827,10)</f>
        <v>0</v>
      </c>
      <c r="O827" s="542"/>
      <c r="P827" s="445">
        <f>+ROUND(E827*O827,10)</f>
        <v>0</v>
      </c>
      <c r="Q827" s="542"/>
      <c r="R827" s="445">
        <f>+ROUND(E827*Q827,10)</f>
        <v>0</v>
      </c>
      <c r="S827" s="542"/>
      <c r="T827" s="445">
        <f>+ROUND(E827*S827,10)</f>
        <v>0</v>
      </c>
      <c r="V827" s="581"/>
      <c r="W827" s="582">
        <f>ROUND(V827*$D827,10)</f>
        <v>0</v>
      </c>
      <c r="X827" s="581"/>
      <c r="Y827" s="582">
        <f>ROUND(X827*$D827,10)</f>
        <v>0</v>
      </c>
      <c r="Z827" s="581"/>
      <c r="AA827" s="582">
        <f>ROUND(Z827*$D827,10)</f>
        <v>0</v>
      </c>
      <c r="AB827" s="581"/>
      <c r="AC827" s="582">
        <f>ROUND(AB827*$D827,10)</f>
        <v>0</v>
      </c>
      <c r="AE827" s="769">
        <f t="shared" si="586"/>
        <v>0</v>
      </c>
    </row>
    <row r="828" spans="1:31" ht="15.75" customHeight="1" x14ac:dyDescent="0.2">
      <c r="A828" s="611" t="s">
        <v>2006</v>
      </c>
      <c r="B828" s="601" t="s">
        <v>2007</v>
      </c>
      <c r="C828" s="611" t="s">
        <v>130</v>
      </c>
      <c r="D828" s="576">
        <f>+I828+K828+M828+O828+Q828+S828</f>
        <v>1784.3091570437628</v>
      </c>
      <c r="E828" s="577" t="e">
        <f t="shared" si="611"/>
        <v>#REF!</v>
      </c>
      <c r="F828" s="577" t="e">
        <f>ROUND(D828*E828,10)</f>
        <v>#REF!</v>
      </c>
      <c r="G828" s="578"/>
      <c r="I828" s="584"/>
      <c r="J828" s="585" t="e">
        <f>+ROUND(E828*I828,10)</f>
        <v>#REF!</v>
      </c>
      <c r="K828" s="537">
        <v>780.48915704376293</v>
      </c>
      <c r="L828" s="445" t="e">
        <f>+ROUND(E828*K828,10)</f>
        <v>#REF!</v>
      </c>
      <c r="M828" s="542">
        <v>87.29</v>
      </c>
      <c r="N828" s="445" t="e">
        <f>+ROUND(E828*M828,10)</f>
        <v>#REF!</v>
      </c>
      <c r="O828" s="542">
        <v>118.77</v>
      </c>
      <c r="P828" s="445" t="e">
        <f>+ROUND(E828*O828,10)</f>
        <v>#REF!</v>
      </c>
      <c r="Q828" s="542">
        <v>336.01</v>
      </c>
      <c r="R828" s="445" t="e">
        <f>+ROUND(E828*Q828,10)</f>
        <v>#REF!</v>
      </c>
      <c r="S828" s="542">
        <f>74.13+209.99+177.63</f>
        <v>461.75</v>
      </c>
      <c r="T828" s="445" t="e">
        <f>+ROUND(E828*S828,10)</f>
        <v>#REF!</v>
      </c>
      <c r="V828" s="581" t="e">
        <f>+'21,1,3 Aseo'!I19</f>
        <v>#REF!</v>
      </c>
      <c r="W828" s="582" t="e">
        <f>ROUND(V828*$D828,10)</f>
        <v>#REF!</v>
      </c>
      <c r="X828" s="581">
        <f>+'21,1,3 Aseo'!I50</f>
        <v>1514.55</v>
      </c>
      <c r="Y828" s="582">
        <f>ROUND(X828*$D828,10)</f>
        <v>2702425.4338006298</v>
      </c>
      <c r="Z828" s="581">
        <f>+'21,1,3 Aseo'!I30</f>
        <v>82.44</v>
      </c>
      <c r="AA828" s="582">
        <f>ROUND(Z828*$D828,10)</f>
        <v>147098.44690668801</v>
      </c>
      <c r="AB828" s="581"/>
      <c r="AC828" s="582">
        <f>ROUND(AB828*$D828,10)</f>
        <v>0</v>
      </c>
      <c r="AE828" s="769" t="e">
        <f t="shared" si="586"/>
        <v>#REF!</v>
      </c>
    </row>
    <row r="829" spans="1:31" s="595" customFormat="1" ht="18" customHeight="1" x14ac:dyDescent="0.2">
      <c r="A829" s="611" t="s">
        <v>2008</v>
      </c>
      <c r="B829" s="601" t="s">
        <v>2009</v>
      </c>
      <c r="C829" s="611" t="s">
        <v>155</v>
      </c>
      <c r="D829" s="576">
        <f>+I829+K829+M829+O829+Q829+S829</f>
        <v>0</v>
      </c>
      <c r="E829" s="577">
        <f t="shared" si="611"/>
        <v>9568.51</v>
      </c>
      <c r="F829" s="577">
        <f>ROUND(D829*E829,10)</f>
        <v>0</v>
      </c>
      <c r="G829" s="578"/>
      <c r="H829" s="552"/>
      <c r="I829" s="597"/>
      <c r="J829" s="598">
        <f>+ROUND(E829*I829,10)</f>
        <v>0</v>
      </c>
      <c r="K829" s="537"/>
      <c r="L829" s="445">
        <f>+ROUND(E829*K829,10)</f>
        <v>0</v>
      </c>
      <c r="M829" s="542"/>
      <c r="N829" s="445">
        <f>+ROUND(E829*M829,10)</f>
        <v>0</v>
      </c>
      <c r="O829" s="542"/>
      <c r="P829" s="445">
        <f>+ROUND(E829*O829,10)</f>
        <v>0</v>
      </c>
      <c r="Q829" s="542"/>
      <c r="R829" s="445">
        <f>+ROUND(E829*Q829,10)</f>
        <v>0</v>
      </c>
      <c r="S829" s="542"/>
      <c r="T829" s="445">
        <f>+ROUND(E829*S829,10)</f>
        <v>0</v>
      </c>
      <c r="U829" s="552"/>
      <c r="V829" s="645"/>
      <c r="W829" s="582">
        <f>ROUND(V829*$D829,10)</f>
        <v>0</v>
      </c>
      <c r="X829" s="581">
        <f>+'21,1,4 Retiro Escombros'!I50</f>
        <v>7713.51</v>
      </c>
      <c r="Y829" s="582">
        <f>ROUND(X829*$D829,10)</f>
        <v>0</v>
      </c>
      <c r="Z829" s="581">
        <f>+'21,1,4 Retiro Escombros'!I30</f>
        <v>1855</v>
      </c>
      <c r="AA829" s="582">
        <f>ROUND(Z829*$D829,10)</f>
        <v>0</v>
      </c>
      <c r="AB829" s="581">
        <f>+'21,1,4 Retiro Escombros'!I41</f>
        <v>0</v>
      </c>
      <c r="AC829" s="582">
        <f>ROUND(AB829*$D829,10)</f>
        <v>0</v>
      </c>
      <c r="AD829" s="912"/>
      <c r="AE829" s="769">
        <f t="shared" si="586"/>
        <v>0</v>
      </c>
    </row>
    <row r="830" spans="1:31" ht="15" customHeight="1" x14ac:dyDescent="0.2">
      <c r="A830" s="572" t="s">
        <v>2010</v>
      </c>
      <c r="B830" s="573" t="s">
        <v>2011</v>
      </c>
      <c r="C830" s="846"/>
      <c r="D830" s="576"/>
      <c r="E830" s="577"/>
      <c r="F830" s="180">
        <f>+ROUND(SUM(F831:F837),10)</f>
        <v>0</v>
      </c>
      <c r="G830" s="473"/>
      <c r="H830" s="568"/>
      <c r="I830" s="613"/>
      <c r="J830" s="440">
        <f>ROUND(SUM(J831:J837),10)</f>
        <v>0</v>
      </c>
      <c r="K830" s="537"/>
      <c r="L830" s="180">
        <f>ROUND(SUM(L831:L837),10)</f>
        <v>0</v>
      </c>
      <c r="M830" s="542"/>
      <c r="N830" s="180">
        <f>ROUND(SUM(N831:N837),10)</f>
        <v>0</v>
      </c>
      <c r="O830" s="542"/>
      <c r="P830" s="180">
        <f>ROUND(SUM(P831:P837),10)</f>
        <v>0</v>
      </c>
      <c r="Q830" s="542"/>
      <c r="R830" s="180">
        <f>ROUND(SUM(R831:R837),10)</f>
        <v>0</v>
      </c>
      <c r="S830" s="542"/>
      <c r="T830" s="180">
        <f>ROUND(SUM(T831:T837),10)</f>
        <v>0</v>
      </c>
      <c r="U830" s="568"/>
      <c r="V830" s="646"/>
      <c r="W830" s="570">
        <f>ROUND(SUM(W831:W837),10)</f>
        <v>0</v>
      </c>
      <c r="X830" s="646"/>
      <c r="Y830" s="570">
        <f>ROUND(SUM(Y831:Y837),10)</f>
        <v>0</v>
      </c>
      <c r="Z830" s="646"/>
      <c r="AA830" s="570">
        <f>ROUND(SUM(AA831:AA837),10)</f>
        <v>0</v>
      </c>
      <c r="AB830" s="646"/>
      <c r="AC830" s="570">
        <f>ROUND(SUM(AC831:AC837),10)</f>
        <v>0</v>
      </c>
      <c r="AE830" s="769">
        <f t="shared" si="586"/>
        <v>0</v>
      </c>
    </row>
    <row r="831" spans="1:31" ht="15" customHeight="1" x14ac:dyDescent="0.2">
      <c r="A831" s="611" t="s">
        <v>2012</v>
      </c>
      <c r="B831" s="601" t="s">
        <v>2013</v>
      </c>
      <c r="C831" s="611" t="s">
        <v>111</v>
      </c>
      <c r="D831" s="576">
        <f t="shared" ref="D831:D837" si="612">+I831+K831+M831+O831+Q831+S831</f>
        <v>0</v>
      </c>
      <c r="E831" s="577">
        <f t="shared" si="611"/>
        <v>0</v>
      </c>
      <c r="F831" s="577">
        <f t="shared" ref="F831:F837" si="613">ROUND(D831*E831,10)</f>
        <v>0</v>
      </c>
      <c r="G831" s="578"/>
      <c r="I831" s="594"/>
      <c r="J831" s="580">
        <f t="shared" ref="J831:J837" si="614">+ROUND(E831*I831,10)</f>
        <v>0</v>
      </c>
      <c r="K831" s="537"/>
      <c r="L831" s="445">
        <f t="shared" ref="L831:L837" si="615">+ROUND(E831*K831,10)</f>
        <v>0</v>
      </c>
      <c r="M831" s="542"/>
      <c r="N831" s="445">
        <f t="shared" ref="N831:N837" si="616">+ROUND(E831*M831,10)</f>
        <v>0</v>
      </c>
      <c r="O831" s="542"/>
      <c r="P831" s="445">
        <f t="shared" ref="P831:P837" si="617">+ROUND(E831*O831,10)</f>
        <v>0</v>
      </c>
      <c r="Q831" s="542"/>
      <c r="R831" s="445">
        <f t="shared" ref="R831:R837" si="618">+ROUND(E831*Q831,10)</f>
        <v>0</v>
      </c>
      <c r="S831" s="542"/>
      <c r="T831" s="445">
        <f t="shared" ref="T831:T837" si="619">+ROUND(E831*S831,10)</f>
        <v>0</v>
      </c>
      <c r="V831" s="645"/>
      <c r="W831" s="582">
        <f t="shared" ref="W831:W837" si="620">ROUND(V831*$D831,10)</f>
        <v>0</v>
      </c>
      <c r="X831" s="645"/>
      <c r="Y831" s="582">
        <f t="shared" ref="Y831:Y837" si="621">ROUND(X831*$D831,10)</f>
        <v>0</v>
      </c>
      <c r="Z831" s="645"/>
      <c r="AA831" s="582">
        <f t="shared" ref="AA831:AA837" si="622">ROUND(Z831*$D831,10)</f>
        <v>0</v>
      </c>
      <c r="AB831" s="645"/>
      <c r="AC831" s="582">
        <f t="shared" ref="AC831:AC837" si="623">ROUND(AB831*$D831,10)</f>
        <v>0</v>
      </c>
      <c r="AE831" s="769">
        <f t="shared" si="586"/>
        <v>0</v>
      </c>
    </row>
    <row r="832" spans="1:31" ht="15" customHeight="1" x14ac:dyDescent="0.2">
      <c r="A832" s="611" t="s">
        <v>2014</v>
      </c>
      <c r="B832" s="601" t="s">
        <v>2015</v>
      </c>
      <c r="C832" s="611" t="s">
        <v>111</v>
      </c>
      <c r="D832" s="576">
        <f t="shared" si="612"/>
        <v>0</v>
      </c>
      <c r="E832" s="577">
        <f t="shared" si="611"/>
        <v>0</v>
      </c>
      <c r="F832" s="577">
        <f t="shared" si="613"/>
        <v>0</v>
      </c>
      <c r="G832" s="578"/>
      <c r="I832" s="584"/>
      <c r="J832" s="585">
        <f t="shared" si="614"/>
        <v>0</v>
      </c>
      <c r="K832" s="537"/>
      <c r="L832" s="445">
        <f t="shared" si="615"/>
        <v>0</v>
      </c>
      <c r="M832" s="542"/>
      <c r="N832" s="445">
        <f t="shared" si="616"/>
        <v>0</v>
      </c>
      <c r="O832" s="542"/>
      <c r="P832" s="445">
        <f t="shared" si="617"/>
        <v>0</v>
      </c>
      <c r="Q832" s="542"/>
      <c r="R832" s="445">
        <f t="shared" si="618"/>
        <v>0</v>
      </c>
      <c r="S832" s="542"/>
      <c r="T832" s="445">
        <f t="shared" si="619"/>
        <v>0</v>
      </c>
      <c r="V832" s="645"/>
      <c r="W832" s="582">
        <f t="shared" si="620"/>
        <v>0</v>
      </c>
      <c r="X832" s="645"/>
      <c r="Y832" s="582">
        <f t="shared" si="621"/>
        <v>0</v>
      </c>
      <c r="Z832" s="645"/>
      <c r="AA832" s="582">
        <f t="shared" si="622"/>
        <v>0</v>
      </c>
      <c r="AB832" s="645"/>
      <c r="AC832" s="582">
        <f t="shared" si="623"/>
        <v>0</v>
      </c>
      <c r="AE832" s="769">
        <f t="shared" si="586"/>
        <v>0</v>
      </c>
    </row>
    <row r="833" spans="1:31" ht="15" customHeight="1" x14ac:dyDescent="0.2">
      <c r="A833" s="611" t="s">
        <v>2016</v>
      </c>
      <c r="B833" s="601" t="s">
        <v>2017</v>
      </c>
      <c r="C833" s="611" t="s">
        <v>111</v>
      </c>
      <c r="D833" s="576">
        <f t="shared" si="612"/>
        <v>0</v>
      </c>
      <c r="E833" s="577">
        <f t="shared" si="611"/>
        <v>0</v>
      </c>
      <c r="F833" s="577">
        <f t="shared" si="613"/>
        <v>0</v>
      </c>
      <c r="G833" s="578"/>
      <c r="I833" s="584"/>
      <c r="J833" s="585">
        <f t="shared" si="614"/>
        <v>0</v>
      </c>
      <c r="K833" s="537"/>
      <c r="L833" s="445">
        <f t="shared" si="615"/>
        <v>0</v>
      </c>
      <c r="M833" s="542"/>
      <c r="N833" s="445">
        <f t="shared" si="616"/>
        <v>0</v>
      </c>
      <c r="O833" s="542"/>
      <c r="P833" s="445">
        <f t="shared" si="617"/>
        <v>0</v>
      </c>
      <c r="Q833" s="542"/>
      <c r="R833" s="445">
        <f t="shared" si="618"/>
        <v>0</v>
      </c>
      <c r="S833" s="542"/>
      <c r="T833" s="445">
        <f t="shared" si="619"/>
        <v>0</v>
      </c>
      <c r="V833" s="645"/>
      <c r="W833" s="582">
        <f t="shared" si="620"/>
        <v>0</v>
      </c>
      <c r="X833" s="645"/>
      <c r="Y833" s="582">
        <f t="shared" si="621"/>
        <v>0</v>
      </c>
      <c r="Z833" s="645"/>
      <c r="AA833" s="582">
        <f t="shared" si="622"/>
        <v>0</v>
      </c>
      <c r="AB833" s="645"/>
      <c r="AC833" s="582">
        <f t="shared" si="623"/>
        <v>0</v>
      </c>
      <c r="AE833" s="769">
        <f t="shared" si="586"/>
        <v>0</v>
      </c>
    </row>
    <row r="834" spans="1:31" ht="15" customHeight="1" x14ac:dyDescent="0.2">
      <c r="A834" s="611" t="s">
        <v>2018</v>
      </c>
      <c r="B834" s="601" t="s">
        <v>2019</v>
      </c>
      <c r="C834" s="611" t="s">
        <v>111</v>
      </c>
      <c r="D834" s="576">
        <f t="shared" si="612"/>
        <v>0</v>
      </c>
      <c r="E834" s="577">
        <f t="shared" si="611"/>
        <v>0</v>
      </c>
      <c r="F834" s="577">
        <f t="shared" si="613"/>
        <v>0</v>
      </c>
      <c r="G834" s="578"/>
      <c r="I834" s="584"/>
      <c r="J834" s="585">
        <f t="shared" si="614"/>
        <v>0</v>
      </c>
      <c r="K834" s="537"/>
      <c r="L834" s="445">
        <f t="shared" si="615"/>
        <v>0</v>
      </c>
      <c r="M834" s="542"/>
      <c r="N834" s="445">
        <f t="shared" si="616"/>
        <v>0</v>
      </c>
      <c r="O834" s="542"/>
      <c r="P834" s="445">
        <f t="shared" si="617"/>
        <v>0</v>
      </c>
      <c r="Q834" s="542"/>
      <c r="R834" s="445">
        <f t="shared" si="618"/>
        <v>0</v>
      </c>
      <c r="S834" s="542"/>
      <c r="T834" s="445">
        <f t="shared" si="619"/>
        <v>0</v>
      </c>
      <c r="V834" s="645"/>
      <c r="W834" s="582">
        <f t="shared" si="620"/>
        <v>0</v>
      </c>
      <c r="X834" s="645"/>
      <c r="Y834" s="582">
        <f t="shared" si="621"/>
        <v>0</v>
      </c>
      <c r="Z834" s="645"/>
      <c r="AA834" s="582">
        <f t="shared" si="622"/>
        <v>0</v>
      </c>
      <c r="AB834" s="645"/>
      <c r="AC834" s="582">
        <f t="shared" si="623"/>
        <v>0</v>
      </c>
      <c r="AE834" s="769">
        <f t="shared" si="586"/>
        <v>0</v>
      </c>
    </row>
    <row r="835" spans="1:31" ht="15" customHeight="1" x14ac:dyDescent="0.2">
      <c r="A835" s="611" t="s">
        <v>2020</v>
      </c>
      <c r="B835" s="601" t="s">
        <v>2021</v>
      </c>
      <c r="C835" s="611" t="s">
        <v>111</v>
      </c>
      <c r="D835" s="576">
        <f t="shared" si="612"/>
        <v>0</v>
      </c>
      <c r="E835" s="577">
        <f t="shared" si="611"/>
        <v>0</v>
      </c>
      <c r="F835" s="577">
        <f t="shared" si="613"/>
        <v>0</v>
      </c>
      <c r="G835" s="578"/>
      <c r="I835" s="584"/>
      <c r="J835" s="585">
        <f t="shared" si="614"/>
        <v>0</v>
      </c>
      <c r="K835" s="537"/>
      <c r="L835" s="445">
        <f t="shared" si="615"/>
        <v>0</v>
      </c>
      <c r="M835" s="542"/>
      <c r="N835" s="445">
        <f t="shared" si="616"/>
        <v>0</v>
      </c>
      <c r="O835" s="542"/>
      <c r="P835" s="445">
        <f t="shared" si="617"/>
        <v>0</v>
      </c>
      <c r="Q835" s="542"/>
      <c r="R835" s="445">
        <f t="shared" si="618"/>
        <v>0</v>
      </c>
      <c r="S835" s="542"/>
      <c r="T835" s="445">
        <f t="shared" si="619"/>
        <v>0</v>
      </c>
      <c r="V835" s="645"/>
      <c r="W835" s="582">
        <f t="shared" si="620"/>
        <v>0</v>
      </c>
      <c r="X835" s="645"/>
      <c r="Y835" s="582">
        <f t="shared" si="621"/>
        <v>0</v>
      </c>
      <c r="Z835" s="645"/>
      <c r="AA835" s="582">
        <f t="shared" si="622"/>
        <v>0</v>
      </c>
      <c r="AB835" s="645"/>
      <c r="AC835" s="582">
        <f t="shared" si="623"/>
        <v>0</v>
      </c>
      <c r="AE835" s="769">
        <f t="shared" si="586"/>
        <v>0</v>
      </c>
    </row>
    <row r="836" spans="1:31" ht="15" customHeight="1" x14ac:dyDescent="0.2">
      <c r="A836" s="611" t="s">
        <v>2022</v>
      </c>
      <c r="B836" s="601" t="s">
        <v>2023</v>
      </c>
      <c r="C836" s="611" t="s">
        <v>111</v>
      </c>
      <c r="D836" s="576">
        <f t="shared" si="612"/>
        <v>0</v>
      </c>
      <c r="E836" s="577">
        <f t="shared" si="611"/>
        <v>0</v>
      </c>
      <c r="F836" s="577">
        <f t="shared" si="613"/>
        <v>0</v>
      </c>
      <c r="G836" s="578"/>
      <c r="I836" s="584"/>
      <c r="J836" s="585">
        <f t="shared" si="614"/>
        <v>0</v>
      </c>
      <c r="K836" s="537"/>
      <c r="L836" s="445">
        <f t="shared" si="615"/>
        <v>0</v>
      </c>
      <c r="M836" s="542"/>
      <c r="N836" s="445">
        <f t="shared" si="616"/>
        <v>0</v>
      </c>
      <c r="O836" s="542"/>
      <c r="P836" s="445">
        <f t="shared" si="617"/>
        <v>0</v>
      </c>
      <c r="Q836" s="542"/>
      <c r="R836" s="445">
        <f t="shared" si="618"/>
        <v>0</v>
      </c>
      <c r="S836" s="542"/>
      <c r="T836" s="445">
        <f t="shared" si="619"/>
        <v>0</v>
      </c>
      <c r="V836" s="645"/>
      <c r="W836" s="582">
        <f t="shared" si="620"/>
        <v>0</v>
      </c>
      <c r="X836" s="645"/>
      <c r="Y836" s="582">
        <f t="shared" si="621"/>
        <v>0</v>
      </c>
      <c r="Z836" s="645"/>
      <c r="AA836" s="582">
        <f t="shared" si="622"/>
        <v>0</v>
      </c>
      <c r="AB836" s="645"/>
      <c r="AC836" s="582">
        <f t="shared" si="623"/>
        <v>0</v>
      </c>
      <c r="AE836" s="769">
        <f t="shared" si="586"/>
        <v>0</v>
      </c>
    </row>
    <row r="837" spans="1:31" ht="15" customHeight="1" thickBot="1" x14ac:dyDescent="0.25">
      <c r="A837" s="611" t="s">
        <v>2024</v>
      </c>
      <c r="B837" s="601" t="s">
        <v>1395</v>
      </c>
      <c r="C837" s="611"/>
      <c r="D837" s="576">
        <f t="shared" si="612"/>
        <v>0</v>
      </c>
      <c r="E837" s="577">
        <f t="shared" si="611"/>
        <v>0</v>
      </c>
      <c r="F837" s="577">
        <f t="shared" si="613"/>
        <v>0</v>
      </c>
      <c r="G837" s="578"/>
      <c r="I837" s="602"/>
      <c r="J837" s="603">
        <f t="shared" si="614"/>
        <v>0</v>
      </c>
      <c r="K837" s="537"/>
      <c r="L837" s="445">
        <f t="shared" si="615"/>
        <v>0</v>
      </c>
      <c r="M837" s="542"/>
      <c r="N837" s="445">
        <f t="shared" si="616"/>
        <v>0</v>
      </c>
      <c r="O837" s="542"/>
      <c r="P837" s="445">
        <f t="shared" si="617"/>
        <v>0</v>
      </c>
      <c r="Q837" s="542"/>
      <c r="R837" s="445">
        <f t="shared" si="618"/>
        <v>0</v>
      </c>
      <c r="S837" s="542"/>
      <c r="T837" s="445">
        <f t="shared" si="619"/>
        <v>0</v>
      </c>
      <c r="V837" s="645"/>
      <c r="W837" s="582">
        <f t="shared" si="620"/>
        <v>0</v>
      </c>
      <c r="X837" s="645"/>
      <c r="Y837" s="582">
        <f t="shared" si="621"/>
        <v>0</v>
      </c>
      <c r="Z837" s="645"/>
      <c r="AA837" s="582">
        <f t="shared" si="622"/>
        <v>0</v>
      </c>
      <c r="AB837" s="645"/>
      <c r="AC837" s="582">
        <f t="shared" si="623"/>
        <v>0</v>
      </c>
      <c r="AE837" s="769">
        <f t="shared" si="586"/>
        <v>0</v>
      </c>
    </row>
    <row r="838" spans="1:31" s="672" customFormat="1" ht="15" customHeight="1" thickTop="1" x14ac:dyDescent="0.2">
      <c r="A838" s="627"/>
      <c r="B838" s="610"/>
      <c r="C838" s="627"/>
      <c r="D838" s="576"/>
      <c r="E838" s="668"/>
      <c r="F838" s="668"/>
      <c r="G838" s="668"/>
      <c r="H838" s="657"/>
      <c r="I838" s="658"/>
      <c r="J838" s="193" t="e">
        <f>+ROUND(J11+J42+J81+J123+J172+J205+J243+J375+J469+J481+J545+J580+J627+J647+J664+J692+J715+J727+J757+J775+J824,10)</f>
        <v>#REF!</v>
      </c>
      <c r="K838" s="600"/>
      <c r="L838" s="473" t="e">
        <f>+ROUND(L11+L42+L81+L123+L172+L205+L243+L375+L469+L481+L545+L580+L627+L647+L664+L692+L715+L727+L757+L775+L824,10)</f>
        <v>#REF!</v>
      </c>
      <c r="M838" s="474"/>
      <c r="N838" s="473" t="e">
        <f>+ROUND(N11+N42+N81+N123+N172+N205+N243+N375+N469+N481+N545+N580+N627+N647+N664+N692+N715+N727+N757+N775+N824,10)</f>
        <v>#REF!</v>
      </c>
      <c r="O838" s="474"/>
      <c r="P838" s="473" t="e">
        <f>+ROUND(P11+P42+P81+P123+P172+P205+P243+P375+P469+P481+P545+P580+P627+P647+P664+P692+P715+P727+P757+P775+P824,10)</f>
        <v>#REF!</v>
      </c>
      <c r="Q838" s="474"/>
      <c r="R838" s="473" t="e">
        <f>+ROUND(R11+R42+R81+R123+R172+R205+R243+R375+R469+R481+R545+R580+R627+R647+R664+R692+R715+R727+R757+R775+R824,10)</f>
        <v>#REF!</v>
      </c>
      <c r="S838" s="474"/>
      <c r="T838" s="473" t="e">
        <f>+ROUND(T11+T42+T81+T123+T172+T205+T243+T375+T469+T481+T545+T580+T627+T647+T664+T692+T715+T727+T757+T775+T824,10)</f>
        <v>#REF!</v>
      </c>
      <c r="U838" s="657"/>
      <c r="V838" s="643" t="e">
        <f t="shared" ref="V838:AC838" si="624">+V824+V775+V757+V727+V715+V692+V647+V580+V545+V481+V469+V375+V243+V205+V172+V123+V81+V42+V11</f>
        <v>#REF!</v>
      </c>
      <c r="W838" s="643" t="e">
        <f t="shared" si="624"/>
        <v>#REF!</v>
      </c>
      <c r="X838" s="643" t="e">
        <f t="shared" si="624"/>
        <v>#REF!</v>
      </c>
      <c r="Y838" s="643" t="e">
        <f t="shared" si="624"/>
        <v>#REF!</v>
      </c>
      <c r="Z838" s="643" t="e">
        <f t="shared" si="624"/>
        <v>#REF!</v>
      </c>
      <c r="AA838" s="643" t="e">
        <f t="shared" si="624"/>
        <v>#REF!</v>
      </c>
      <c r="AB838" s="643" t="e">
        <f t="shared" si="624"/>
        <v>#REF!</v>
      </c>
      <c r="AC838" s="643" t="e">
        <f t="shared" si="624"/>
        <v>#REF!</v>
      </c>
      <c r="AE838" s="769" t="e">
        <f t="shared" si="586"/>
        <v>#REF!</v>
      </c>
    </row>
    <row r="839" spans="1:31" s="672" customFormat="1" ht="15" customHeight="1" x14ac:dyDescent="0.2">
      <c r="A839" s="919"/>
      <c r="B839" s="920"/>
      <c r="C839" s="919"/>
      <c r="D839" s="655"/>
      <c r="E839" s="656"/>
      <c r="F839" s="656"/>
      <c r="G839" s="926"/>
      <c r="H839" s="657"/>
      <c r="I839" s="658"/>
      <c r="J839" s="177"/>
      <c r="K839" s="659"/>
      <c r="L839" s="177"/>
      <c r="M839" s="174"/>
      <c r="N839" s="177"/>
      <c r="O839" s="174"/>
      <c r="P839" s="177"/>
      <c r="Q839" s="174"/>
      <c r="R839" s="177"/>
      <c r="S839" s="174"/>
      <c r="T839" s="177"/>
      <c r="U839" s="657"/>
      <c r="V839" s="660"/>
      <c r="W839" s="667"/>
      <c r="X839" s="660"/>
      <c r="Y839" s="667"/>
      <c r="Z839" s="660"/>
      <c r="AA839" s="667"/>
      <c r="AB839" s="660"/>
      <c r="AC839" s="667"/>
    </row>
    <row r="840" spans="1:31" s="672" customFormat="1" ht="15" customHeight="1" x14ac:dyDescent="0.2">
      <c r="A840" s="1046" t="s">
        <v>2025</v>
      </c>
      <c r="B840" s="1046"/>
      <c r="C840" s="698" t="s">
        <v>2026</v>
      </c>
      <c r="D840" s="622" t="s">
        <v>2027</v>
      </c>
      <c r="E840" s="622" t="s">
        <v>2028</v>
      </c>
      <c r="F840" s="699" t="s">
        <v>2029</v>
      </c>
      <c r="G840" s="699" t="s">
        <v>2030</v>
      </c>
      <c r="H840" s="657"/>
      <c r="I840" s="658"/>
      <c r="J840" s="177"/>
      <c r="K840" s="659"/>
      <c r="L840" s="174"/>
      <c r="M840" s="174"/>
      <c r="N840" s="174"/>
      <c r="O840" s="174"/>
      <c r="P840" s="174"/>
      <c r="Q840" s="174"/>
      <c r="R840" s="174"/>
      <c r="S840" s="174"/>
      <c r="T840" s="174"/>
      <c r="U840" s="657"/>
      <c r="V840" s="660"/>
      <c r="W840" s="667"/>
      <c r="X840" s="660"/>
      <c r="Y840" s="667"/>
      <c r="Z840" s="660"/>
      <c r="AA840" s="667"/>
      <c r="AB840" s="660"/>
      <c r="AC840" s="667"/>
    </row>
    <row r="841" spans="1:31" s="672" customFormat="1" ht="15" customHeight="1" x14ac:dyDescent="0.2">
      <c r="A841" s="1044" t="s">
        <v>2031</v>
      </c>
      <c r="B841" s="1044"/>
      <c r="C841" s="783">
        <f>SUM(C842:C846)</f>
        <v>1478.48</v>
      </c>
      <c r="D841" s="474"/>
      <c r="E841" s="668"/>
      <c r="F841" s="700"/>
      <c r="G841" s="577"/>
      <c r="H841" s="657"/>
      <c r="I841" s="658"/>
      <c r="J841" s="657"/>
      <c r="K841" s="659"/>
      <c r="M841" s="174"/>
      <c r="O841" s="174"/>
      <c r="Q841" s="174"/>
      <c r="S841" s="174"/>
      <c r="U841" s="657"/>
      <c r="V841" s="660"/>
      <c r="W841" s="667"/>
      <c r="X841" s="660"/>
      <c r="Y841" s="667"/>
      <c r="Z841" s="660"/>
      <c r="AA841" s="667"/>
      <c r="AB841" s="660"/>
      <c r="AC841" s="667"/>
    </row>
    <row r="842" spans="1:31" s="672" customFormat="1" ht="15" customHeight="1" x14ac:dyDescent="0.2">
      <c r="A842" s="1044" t="s">
        <v>2032</v>
      </c>
      <c r="B842" s="1044"/>
      <c r="C842" s="784">
        <f>G868</f>
        <v>652.29</v>
      </c>
      <c r="D842" s="474" t="e">
        <f>+L838</f>
        <v>#REF!</v>
      </c>
      <c r="E842" s="668">
        <f>IFERROR(D842/C842,0)</f>
        <v>0</v>
      </c>
      <c r="F842" s="474">
        <f>IFERROR(ROUND(G842/C842,10)*1.2,0)</f>
        <v>0</v>
      </c>
      <c r="G842" s="577" t="e">
        <f>+D842</f>
        <v>#REF!</v>
      </c>
      <c r="H842" s="657"/>
      <c r="I842" s="658"/>
      <c r="J842" s="174"/>
      <c r="K842" s="659"/>
      <c r="L842" s="174"/>
      <c r="M842" s="174"/>
      <c r="N842" s="174"/>
      <c r="O842" s="174"/>
      <c r="P842" s="174"/>
      <c r="Q842" s="174"/>
      <c r="R842" s="174"/>
      <c r="S842" s="174"/>
      <c r="T842" s="174"/>
      <c r="U842" s="657"/>
      <c r="V842" s="660"/>
      <c r="W842" s="667"/>
      <c r="X842" s="660"/>
      <c r="Y842" s="667"/>
      <c r="Z842" s="660"/>
      <c r="AA842" s="667"/>
      <c r="AB842" s="660"/>
      <c r="AC842" s="667"/>
    </row>
    <row r="843" spans="1:31" s="672" customFormat="1" ht="15" customHeight="1" x14ac:dyDescent="0.2">
      <c r="A843" s="1044" t="s">
        <v>2033</v>
      </c>
      <c r="B843" s="1044"/>
      <c r="C843" s="784">
        <f>G869</f>
        <v>87.29</v>
      </c>
      <c r="D843" s="474" t="e">
        <f>+N838</f>
        <v>#REF!</v>
      </c>
      <c r="E843" s="668">
        <f>IFERROR(D843/C843,0)</f>
        <v>0</v>
      </c>
      <c r="F843" s="474">
        <f>IFERROR(ROUND(G843/C843,10)*1.2,0)</f>
        <v>0</v>
      </c>
      <c r="G843" s="577" t="e">
        <f>+D843</f>
        <v>#REF!</v>
      </c>
      <c r="H843" s="657"/>
      <c r="I843" s="658"/>
      <c r="J843" s="174"/>
      <c r="K843" s="659"/>
      <c r="L843" s="174"/>
      <c r="M843" s="174"/>
      <c r="N843" s="174"/>
      <c r="O843" s="174"/>
      <c r="P843" s="174"/>
      <c r="Q843" s="174"/>
      <c r="R843" s="174"/>
      <c r="S843" s="174"/>
      <c r="T843" s="174"/>
      <c r="U843" s="657"/>
      <c r="V843" s="660"/>
      <c r="W843" s="667"/>
      <c r="X843" s="660"/>
      <c r="Y843" s="667"/>
      <c r="Z843" s="660"/>
      <c r="AA843" s="667"/>
      <c r="AB843" s="660"/>
      <c r="AC843" s="667"/>
    </row>
    <row r="844" spans="1:31" s="672" customFormat="1" ht="15" customHeight="1" x14ac:dyDescent="0.2">
      <c r="A844" s="1044" t="s">
        <v>2034</v>
      </c>
      <c r="B844" s="1044"/>
      <c r="C844" s="784">
        <f>G870</f>
        <v>118.77</v>
      </c>
      <c r="D844" s="474" t="e">
        <f>+P838</f>
        <v>#REF!</v>
      </c>
      <c r="E844" s="668">
        <f>IFERROR(D844/C844,0)</f>
        <v>0</v>
      </c>
      <c r="F844" s="474">
        <f>IFERROR(ROUND(G844/C844,10)*1.2,0)</f>
        <v>0</v>
      </c>
      <c r="G844" s="577" t="e">
        <f>+D844</f>
        <v>#REF!</v>
      </c>
      <c r="H844" s="657"/>
      <c r="I844" s="658"/>
      <c r="J844" s="174"/>
      <c r="K844" s="659"/>
      <c r="L844" s="174"/>
      <c r="M844" s="174"/>
      <c r="N844" s="174"/>
      <c r="O844" s="174"/>
      <c r="P844" s="174"/>
      <c r="Q844" s="174"/>
      <c r="R844" s="174"/>
      <c r="S844" s="174"/>
      <c r="T844" s="174"/>
      <c r="U844" s="657"/>
      <c r="V844" s="660"/>
      <c r="W844" s="667"/>
      <c r="X844" s="660"/>
      <c r="Y844" s="667"/>
      <c r="Z844" s="660"/>
      <c r="AA844" s="667"/>
      <c r="AB844" s="660"/>
      <c r="AC844" s="667"/>
    </row>
    <row r="845" spans="1:31" s="672" customFormat="1" ht="15" customHeight="1" x14ac:dyDescent="0.2">
      <c r="A845" s="1044" t="s">
        <v>2035</v>
      </c>
      <c r="B845" s="1044"/>
      <c r="C845" s="784">
        <f>G871</f>
        <v>336.01</v>
      </c>
      <c r="D845" s="474" t="e">
        <f>+R838</f>
        <v>#REF!</v>
      </c>
      <c r="E845" s="668">
        <f>IFERROR(D845/C845,0)</f>
        <v>0</v>
      </c>
      <c r="F845" s="474">
        <f>IFERROR(ROUND(G845/C845,10)*1.2,0)</f>
        <v>0</v>
      </c>
      <c r="G845" s="577" t="e">
        <f>+D845</f>
        <v>#REF!</v>
      </c>
      <c r="H845" s="657"/>
      <c r="I845" s="658"/>
      <c r="J845" s="174"/>
      <c r="K845" s="659"/>
      <c r="L845" s="174"/>
      <c r="M845" s="174"/>
      <c r="N845" s="174"/>
      <c r="O845" s="174"/>
      <c r="P845" s="174"/>
      <c r="Q845" s="174"/>
      <c r="R845" s="174"/>
      <c r="S845" s="174"/>
      <c r="T845" s="174"/>
      <c r="U845" s="657"/>
      <c r="V845" s="660"/>
      <c r="W845" s="667"/>
      <c r="X845" s="660"/>
      <c r="Y845" s="667"/>
      <c r="Z845" s="660"/>
      <c r="AA845" s="667"/>
      <c r="AB845" s="660"/>
      <c r="AC845" s="667"/>
    </row>
    <row r="846" spans="1:31" s="672" customFormat="1" ht="15" customHeight="1" x14ac:dyDescent="0.2">
      <c r="A846" s="1044" t="s">
        <v>2036</v>
      </c>
      <c r="B846" s="1044"/>
      <c r="C846" s="784">
        <f>G872</f>
        <v>284.12</v>
      </c>
      <c r="D846" s="474" t="e">
        <f>+T838</f>
        <v>#REF!</v>
      </c>
      <c r="E846" s="668">
        <f>IFERROR(D846/C846,0)</f>
        <v>0</v>
      </c>
      <c r="F846" s="474">
        <f>IFERROR(ROUND(G846/C846,10)*1.2,0)</f>
        <v>0</v>
      </c>
      <c r="G846" s="577" t="e">
        <f>+D846</f>
        <v>#REF!</v>
      </c>
      <c r="H846" s="657"/>
      <c r="I846" s="658"/>
      <c r="J846" s="174"/>
      <c r="K846" s="659"/>
      <c r="L846" s="174"/>
      <c r="M846" s="174"/>
      <c r="N846" s="174"/>
      <c r="O846" s="174"/>
      <c r="P846" s="174"/>
      <c r="Q846" s="174"/>
      <c r="R846" s="174"/>
      <c r="S846" s="174"/>
      <c r="T846" s="174"/>
      <c r="U846" s="657"/>
      <c r="V846" s="660"/>
      <c r="W846" s="667"/>
      <c r="X846" s="660"/>
      <c r="Y846" s="667"/>
      <c r="Z846" s="660"/>
      <c r="AA846" s="667"/>
      <c r="AB846" s="660"/>
      <c r="AC846" s="667"/>
    </row>
    <row r="847" spans="1:31" s="672" customFormat="1" ht="15" customHeight="1" x14ac:dyDescent="0.2">
      <c r="A847" s="919"/>
      <c r="B847" s="920"/>
      <c r="C847" s="919"/>
      <c r="D847" s="655"/>
      <c r="E847" s="656"/>
      <c r="F847" s="656"/>
      <c r="G847" s="926"/>
      <c r="H847" s="657"/>
      <c r="I847" s="658"/>
      <c r="J847" s="174"/>
      <c r="K847" s="659"/>
      <c r="L847" s="174"/>
      <c r="M847" s="174"/>
      <c r="N847" s="174"/>
      <c r="O847" s="174"/>
      <c r="P847" s="174"/>
      <c r="Q847" s="174"/>
      <c r="R847" s="174"/>
      <c r="S847" s="174"/>
      <c r="T847" s="174"/>
      <c r="U847" s="657"/>
      <c r="V847" s="660"/>
      <c r="W847" s="667"/>
      <c r="X847" s="660"/>
      <c r="Y847" s="667"/>
      <c r="Z847" s="660"/>
      <c r="AA847" s="667"/>
      <c r="AB847" s="660"/>
      <c r="AC847" s="667"/>
    </row>
    <row r="848" spans="1:31" x14ac:dyDescent="0.2">
      <c r="A848" s="1042" t="s">
        <v>2037</v>
      </c>
      <c r="B848" s="1042"/>
      <c r="C848" s="1042"/>
      <c r="D848" s="1043" t="e">
        <f>ROUND(G11+G42+G81+G123+G172+G205+G243+G375+G469+G481+G545+G580+G627+G647+G664+G692+G715+G727+G757+G775+G824,10)</f>
        <v>#REF!</v>
      </c>
      <c r="E848" s="1043"/>
      <c r="F848" s="1043"/>
      <c r="G848" s="1043"/>
      <c r="I848" s="604"/>
      <c r="J848" s="604"/>
      <c r="K848" s="605"/>
      <c r="L848" s="604"/>
      <c r="M848" s="606"/>
      <c r="N848" s="604"/>
      <c r="O848" s="606"/>
      <c r="P848" s="604"/>
      <c r="Q848" s="606"/>
      <c r="R848" s="604"/>
      <c r="S848" s="606"/>
      <c r="T848" s="604"/>
    </row>
    <row r="849" spans="1:29" x14ac:dyDescent="0.2">
      <c r="A849" s="1042" t="s">
        <v>2038</v>
      </c>
      <c r="B849" s="1042"/>
      <c r="C849" s="1042"/>
      <c r="D849" s="1043" t="e">
        <f>D848*0.2</f>
        <v>#REF!</v>
      </c>
      <c r="E849" s="1043"/>
      <c r="F849" s="1043"/>
      <c r="G849" s="1043"/>
      <c r="I849" s="604"/>
      <c r="J849" s="604"/>
      <c r="K849" s="605"/>
      <c r="L849" s="604"/>
      <c r="M849" s="606"/>
      <c r="N849" s="604"/>
      <c r="O849" s="606"/>
      <c r="P849" s="604"/>
      <c r="Q849" s="606"/>
      <c r="R849" s="604"/>
      <c r="S849" s="606"/>
      <c r="T849" s="604"/>
    </row>
    <row r="850" spans="1:29" x14ac:dyDescent="0.2">
      <c r="A850" s="1042" t="s">
        <v>2039</v>
      </c>
      <c r="B850" s="1042"/>
      <c r="C850" s="1042"/>
      <c r="D850" s="1043" t="e">
        <f>+ROUND((D848+D849)*0.05,10)</f>
        <v>#REF!</v>
      </c>
      <c r="E850" s="1043"/>
      <c r="F850" s="1043"/>
      <c r="G850" s="1043"/>
      <c r="I850" s="604"/>
      <c r="J850" s="604"/>
      <c r="K850" s="605"/>
      <c r="L850" s="604"/>
      <c r="M850" s="606"/>
      <c r="N850" s="604"/>
      <c r="O850" s="606"/>
      <c r="P850" s="604"/>
      <c r="Q850" s="606"/>
      <c r="R850" s="604"/>
      <c r="S850" s="606"/>
      <c r="T850" s="604"/>
    </row>
    <row r="851" spans="1:29" ht="15.75" x14ac:dyDescent="0.2">
      <c r="A851" s="1037" t="s">
        <v>2040</v>
      </c>
      <c r="B851" s="1037"/>
      <c r="C851" s="1037"/>
      <c r="D851" s="1038" t="e">
        <f>+ROUND(D849+D848+D850,10)</f>
        <v>#REF!</v>
      </c>
      <c r="E851" s="1038"/>
      <c r="F851" s="1038"/>
      <c r="G851" s="1038"/>
      <c r="I851" s="604"/>
      <c r="J851" s="604"/>
      <c r="K851" s="605"/>
      <c r="L851" s="604"/>
      <c r="M851" s="606"/>
      <c r="N851" s="604"/>
      <c r="O851" s="606"/>
      <c r="P851" s="604"/>
      <c r="Q851" s="606"/>
      <c r="R851" s="604"/>
      <c r="S851" s="606"/>
      <c r="T851" s="604"/>
    </row>
    <row r="852" spans="1:29" s="672" customFormat="1" ht="15" customHeight="1" x14ac:dyDescent="0.2">
      <c r="A852" s="1039" t="s">
        <v>2041</v>
      </c>
      <c r="B852" s="1039"/>
      <c r="C852" s="1039"/>
      <c r="D852" s="1039"/>
      <c r="E852" s="1039"/>
      <c r="F852" s="1039"/>
      <c r="G852" s="1039"/>
      <c r="H852" s="657"/>
      <c r="I852" s="658"/>
      <c r="J852" s="174"/>
      <c r="K852" s="659"/>
      <c r="L852" s="174"/>
      <c r="M852" s="174"/>
      <c r="N852" s="174"/>
      <c r="O852" s="174"/>
      <c r="P852" s="174"/>
      <c r="Q852" s="174"/>
      <c r="R852" s="174"/>
      <c r="S852" s="174"/>
      <c r="T852" s="174"/>
      <c r="U852" s="657"/>
      <c r="V852" s="660"/>
      <c r="W852" s="667"/>
      <c r="X852" s="660"/>
      <c r="Y852" s="667"/>
      <c r="Z852" s="660"/>
      <c r="AA852" s="667"/>
      <c r="AB852" s="660"/>
      <c r="AC852" s="667"/>
    </row>
    <row r="853" spans="1:29" s="672" customFormat="1" ht="15" customHeight="1" x14ac:dyDescent="0.2">
      <c r="A853" s="701" t="s">
        <v>533</v>
      </c>
      <c r="B853" s="702" t="s">
        <v>534</v>
      </c>
      <c r="C853" s="701" t="s">
        <v>2042</v>
      </c>
      <c r="D853" s="703" t="s">
        <v>536</v>
      </c>
      <c r="E853" s="704" t="s">
        <v>556</v>
      </c>
      <c r="F853" s="704" t="s">
        <v>2043</v>
      </c>
      <c r="G853" s="926"/>
      <c r="H853" s="657"/>
      <c r="I853" s="658"/>
      <c r="J853" s="174"/>
      <c r="K853" s="659"/>
      <c r="L853" s="174"/>
      <c r="M853" s="174"/>
      <c r="N853" s="174"/>
      <c r="O853" s="174"/>
      <c r="P853" s="174"/>
      <c r="Q853" s="174"/>
      <c r="R853" s="174"/>
      <c r="S853" s="174"/>
      <c r="T853" s="174"/>
      <c r="U853" s="657"/>
      <c r="V853" s="660"/>
      <c r="W853" s="667"/>
      <c r="X853" s="660"/>
      <c r="Y853" s="667"/>
      <c r="Z853" s="660"/>
      <c r="AA853" s="667"/>
      <c r="AB853" s="660"/>
      <c r="AC853" s="667"/>
    </row>
    <row r="854" spans="1:29" s="672" customFormat="1" ht="25.5" x14ac:dyDescent="0.2">
      <c r="A854" s="627" t="s">
        <v>2044</v>
      </c>
      <c r="B854" s="610" t="s">
        <v>2045</v>
      </c>
      <c r="C854" s="627" t="s">
        <v>2046</v>
      </c>
      <c r="D854" s="743">
        <v>12</v>
      </c>
      <c r="E854" s="668">
        <v>214000</v>
      </c>
      <c r="F854" s="668">
        <f>+E854*D854</f>
        <v>2568000</v>
      </c>
      <c r="G854" s="926"/>
      <c r="H854" s="657"/>
      <c r="I854" s="658"/>
      <c r="J854" s="174"/>
      <c r="K854" s="659"/>
      <c r="L854" s="174"/>
      <c r="M854" s="174"/>
      <c r="N854" s="174"/>
      <c r="O854" s="174"/>
      <c r="P854" s="174"/>
      <c r="Q854" s="174"/>
      <c r="R854" s="174"/>
      <c r="S854" s="174"/>
      <c r="T854" s="174"/>
      <c r="U854" s="657"/>
      <c r="V854" s="660"/>
      <c r="W854" s="667"/>
      <c r="X854" s="660"/>
      <c r="Y854" s="667"/>
      <c r="Z854" s="660"/>
      <c r="AA854" s="667"/>
      <c r="AB854" s="660"/>
      <c r="AC854" s="667"/>
    </row>
    <row r="855" spans="1:29" s="672" customFormat="1" x14ac:dyDescent="0.2">
      <c r="A855" s="627" t="s">
        <v>2047</v>
      </c>
      <c r="B855" s="610" t="s">
        <v>2048</v>
      </c>
      <c r="C855" s="627" t="s">
        <v>111</v>
      </c>
      <c r="D855" s="731">
        <v>40</v>
      </c>
      <c r="E855" s="668">
        <v>74000</v>
      </c>
      <c r="F855" s="668">
        <f>+E855*D855</f>
        <v>2960000</v>
      </c>
      <c r="G855" s="926"/>
      <c r="H855" s="657"/>
      <c r="I855" s="658"/>
      <c r="J855" s="174"/>
      <c r="K855" s="659"/>
      <c r="L855" s="174"/>
      <c r="M855" s="174"/>
      <c r="N855" s="174"/>
      <c r="O855" s="174"/>
      <c r="P855" s="174"/>
      <c r="Q855" s="174"/>
      <c r="R855" s="174"/>
      <c r="S855" s="174"/>
      <c r="T855" s="174"/>
      <c r="U855" s="657"/>
      <c r="V855" s="660"/>
      <c r="W855" s="667"/>
      <c r="X855" s="660"/>
      <c r="Y855" s="667"/>
      <c r="Z855" s="660"/>
      <c r="AA855" s="667"/>
      <c r="AB855" s="660"/>
      <c r="AC855" s="667"/>
    </row>
    <row r="856" spans="1:29" s="672" customFormat="1" ht="38.25" x14ac:dyDescent="0.2">
      <c r="A856" s="627" t="s">
        <v>2049</v>
      </c>
      <c r="B856" s="610" t="s">
        <v>2050</v>
      </c>
      <c r="C856" s="627" t="s">
        <v>111</v>
      </c>
      <c r="D856" s="743">
        <v>12</v>
      </c>
      <c r="E856" s="668">
        <v>209000</v>
      </c>
      <c r="F856" s="668">
        <f>+E856*D856</f>
        <v>2508000</v>
      </c>
      <c r="G856" s="926"/>
      <c r="H856" s="657"/>
      <c r="I856" s="658"/>
      <c r="J856" s="174"/>
      <c r="K856" s="659"/>
      <c r="L856" s="174"/>
      <c r="M856" s="174"/>
      <c r="N856" s="174"/>
      <c r="O856" s="174"/>
      <c r="P856" s="174"/>
      <c r="Q856" s="174"/>
      <c r="R856" s="174"/>
      <c r="S856" s="174"/>
      <c r="T856" s="174"/>
      <c r="U856" s="657"/>
      <c r="V856" s="660"/>
      <c r="W856" s="667"/>
      <c r="X856" s="660"/>
      <c r="Y856" s="667"/>
      <c r="Z856" s="660"/>
      <c r="AA856" s="667"/>
      <c r="AB856" s="660"/>
      <c r="AC856" s="667"/>
    </row>
    <row r="857" spans="1:29" s="672" customFormat="1" ht="25.5" hidden="1" x14ac:dyDescent="0.2">
      <c r="A857" s="627" t="s">
        <v>2051</v>
      </c>
      <c r="B857" s="610" t="s">
        <v>2052</v>
      </c>
      <c r="C857" s="627" t="s">
        <v>111</v>
      </c>
      <c r="D857" s="731"/>
      <c r="E857" s="668">
        <v>143000</v>
      </c>
      <c r="F857" s="668">
        <f>+E857*D857</f>
        <v>0</v>
      </c>
      <c r="G857" s="926"/>
      <c r="H857" s="657"/>
      <c r="I857" s="658"/>
      <c r="J857" s="174"/>
      <c r="K857" s="659"/>
      <c r="L857" s="174"/>
      <c r="M857" s="174"/>
      <c r="N857" s="174"/>
      <c r="O857" s="174"/>
      <c r="P857" s="174"/>
      <c r="Q857" s="174"/>
      <c r="R857" s="174"/>
      <c r="S857" s="174"/>
      <c r="T857" s="174"/>
      <c r="U857" s="657"/>
      <c r="V857" s="660"/>
      <c r="W857" s="667"/>
      <c r="X857" s="660"/>
      <c r="Y857" s="667"/>
      <c r="Z857" s="660"/>
      <c r="AA857" s="667"/>
      <c r="AB857" s="660"/>
      <c r="AC857" s="667"/>
    </row>
    <row r="858" spans="1:29" s="672" customFormat="1" x14ac:dyDescent="0.2">
      <c r="A858" s="627" t="s">
        <v>2053</v>
      </c>
      <c r="B858" s="610" t="s">
        <v>2054</v>
      </c>
      <c r="C858" s="627" t="s">
        <v>2046</v>
      </c>
      <c r="D858" s="743">
        <v>440</v>
      </c>
      <c r="E858" s="668">
        <v>75000</v>
      </c>
      <c r="F858" s="668">
        <f>+E858*D858</f>
        <v>33000000</v>
      </c>
      <c r="G858" s="926"/>
      <c r="H858" s="657"/>
      <c r="I858" s="658"/>
      <c r="J858" s="174"/>
      <c r="K858" s="659"/>
      <c r="L858" s="174"/>
      <c r="M858" s="174"/>
      <c r="N858" s="174"/>
      <c r="O858" s="174"/>
      <c r="P858" s="174"/>
      <c r="Q858" s="174"/>
      <c r="R858" s="174"/>
      <c r="S858" s="174"/>
      <c r="T858" s="174"/>
      <c r="U858" s="657"/>
      <c r="V858" s="660"/>
      <c r="W858" s="667"/>
      <c r="X858" s="660"/>
      <c r="Y858" s="667"/>
      <c r="Z858" s="660"/>
      <c r="AA858" s="667"/>
      <c r="AB858" s="660"/>
      <c r="AC858" s="667"/>
    </row>
    <row r="859" spans="1:29" s="672" customFormat="1" ht="15" customHeight="1" x14ac:dyDescent="0.2">
      <c r="A859" s="627"/>
      <c r="B859" s="1040" t="s">
        <v>2055</v>
      </c>
      <c r="C859" s="1040"/>
      <c r="D859" s="1040"/>
      <c r="E859" s="1040"/>
      <c r="F859" s="705">
        <f>SUM(F854:F858)</f>
        <v>41036000</v>
      </c>
      <c r="G859" s="926"/>
      <c r="H859" s="657"/>
      <c r="I859" s="658"/>
      <c r="J859" s="174"/>
      <c r="K859" s="659"/>
      <c r="L859" s="174"/>
      <c r="M859" s="174"/>
      <c r="N859" s="174"/>
      <c r="O859" s="174"/>
      <c r="P859" s="174"/>
      <c r="Q859" s="174"/>
      <c r="R859" s="174"/>
      <c r="S859" s="174"/>
      <c r="T859" s="174"/>
      <c r="U859" s="657"/>
      <c r="V859" s="660"/>
      <c r="W859" s="667"/>
      <c r="X859" s="660"/>
      <c r="Y859" s="667"/>
      <c r="Z859" s="660"/>
      <c r="AA859" s="667"/>
      <c r="AB859" s="660"/>
      <c r="AC859" s="667"/>
    </row>
    <row r="860" spans="1:29" s="672" customFormat="1" ht="15" customHeight="1" x14ac:dyDescent="0.2">
      <c r="A860" s="919"/>
      <c r="B860" s="920"/>
      <c r="C860" s="919"/>
      <c r="D860" s="655"/>
      <c r="E860" s="656"/>
      <c r="F860" s="656"/>
      <c r="G860" s="926"/>
      <c r="H860" s="657"/>
      <c r="I860" s="658"/>
      <c r="J860" s="174"/>
      <c r="K860" s="659"/>
      <c r="L860" s="174"/>
      <c r="M860" s="174"/>
      <c r="N860" s="174"/>
      <c r="O860" s="174"/>
      <c r="P860" s="174"/>
      <c r="Q860" s="174"/>
      <c r="R860" s="174"/>
      <c r="S860" s="174"/>
      <c r="T860" s="174"/>
      <c r="U860" s="657"/>
      <c r="V860" s="660"/>
      <c r="W860" s="667"/>
      <c r="X860" s="660"/>
      <c r="Y860" s="667"/>
      <c r="Z860" s="660"/>
      <c r="AA860" s="667"/>
      <c r="AB860" s="660"/>
      <c r="AC860" s="667"/>
    </row>
    <row r="861" spans="1:29" ht="15.75" x14ac:dyDescent="0.2">
      <c r="A861" s="1041" t="s">
        <v>2056</v>
      </c>
      <c r="B861" s="1041"/>
      <c r="C861" s="1041"/>
      <c r="D861" s="1041"/>
      <c r="E861" s="1041"/>
      <c r="F861" s="1038" t="e">
        <f>+F859+D851</f>
        <v>#REF!</v>
      </c>
      <c r="G861" s="1038"/>
    </row>
    <row r="862" spans="1:29" x14ac:dyDescent="0.2">
      <c r="A862" s="910"/>
      <c r="B862" s="911"/>
      <c r="C862" s="910"/>
      <c r="E862" s="174" t="s">
        <v>2057</v>
      </c>
      <c r="F862" s="785" t="e">
        <f>VLOOKUP('Datos entrada'!B12,[1]!Consolidado,11,FALSE)</f>
        <v>#N/A</v>
      </c>
      <c r="G862" s="787"/>
    </row>
    <row r="863" spans="1:29" x14ac:dyDescent="0.2">
      <c r="A863" s="910"/>
      <c r="B863" s="911"/>
      <c r="C863" s="910"/>
      <c r="E863" s="174" t="s">
        <v>2058</v>
      </c>
      <c r="F863" s="174" t="e">
        <f>F862-F861</f>
        <v>#N/A</v>
      </c>
      <c r="G863" s="787"/>
    </row>
    <row r="864" spans="1:29" x14ac:dyDescent="0.2">
      <c r="A864" s="910"/>
      <c r="B864" s="911"/>
      <c r="C864" s="910"/>
      <c r="G864" s="787"/>
      <c r="I864" s="604"/>
      <c r="J864" s="604"/>
      <c r="K864" s="605"/>
      <c r="L864" s="604"/>
      <c r="M864" s="606"/>
      <c r="N864" s="604"/>
      <c r="O864" s="606"/>
      <c r="P864" s="604"/>
      <c r="Q864" s="606"/>
      <c r="R864" s="604"/>
      <c r="S864" s="606"/>
      <c r="T864" s="604"/>
    </row>
    <row r="865" spans="2:20" x14ac:dyDescent="0.2">
      <c r="B865" s="911"/>
      <c r="C865" s="910"/>
      <c r="G865" s="787"/>
      <c r="I865" s="604"/>
      <c r="J865" s="604"/>
      <c r="K865" s="605"/>
      <c r="L865" s="604"/>
      <c r="M865" s="606"/>
      <c r="N865" s="604"/>
      <c r="O865" s="606"/>
      <c r="P865" s="604"/>
      <c r="Q865" s="606"/>
      <c r="R865" s="604"/>
      <c r="S865" s="606"/>
      <c r="T865" s="604"/>
    </row>
    <row r="866" spans="2:20" ht="15.75" thickBot="1" x14ac:dyDescent="0.25">
      <c r="B866" s="911"/>
      <c r="C866" s="910"/>
      <c r="G866" s="787"/>
      <c r="I866" s="604"/>
      <c r="J866" s="604"/>
      <c r="K866" s="605"/>
      <c r="L866" s="604"/>
      <c r="M866" s="606"/>
      <c r="N866" s="604"/>
      <c r="O866" s="606"/>
      <c r="P866" s="604"/>
      <c r="Q866" s="606"/>
      <c r="R866" s="604"/>
      <c r="S866" s="606"/>
      <c r="T866" s="604"/>
    </row>
    <row r="867" spans="2:20" ht="16.5" thickBot="1" x14ac:dyDescent="0.25">
      <c r="B867" s="756" t="s">
        <v>2059</v>
      </c>
      <c r="C867" s="757">
        <v>1</v>
      </c>
      <c r="D867" s="758"/>
      <c r="E867" s="759">
        <v>2</v>
      </c>
      <c r="F867" s="760"/>
      <c r="G867" s="761" t="s">
        <v>2040</v>
      </c>
      <c r="H867" s="762"/>
      <c r="I867" s="763"/>
      <c r="J867" s="763"/>
      <c r="K867" s="764"/>
      <c r="L867" s="604"/>
      <c r="M867" s="606"/>
      <c r="N867" s="604"/>
      <c r="O867" s="606"/>
      <c r="P867" s="604"/>
      <c r="Q867" s="606"/>
      <c r="R867" s="604"/>
      <c r="S867" s="606"/>
      <c r="T867" s="604"/>
    </row>
    <row r="868" spans="2:20" x14ac:dyDescent="0.2">
      <c r="B868" s="754" t="s">
        <v>542</v>
      </c>
      <c r="C868" s="927">
        <v>363.51</v>
      </c>
      <c r="D868" s="752">
        <f>IFERROR(ROUND(C868/$C$873,10),0)</f>
        <v>0.39372867589999999</v>
      </c>
      <c r="E868" s="746">
        <v>288.77999999999997</v>
      </c>
      <c r="F868" s="752">
        <f>IFERROR(ROUND(E868/$E$873,10),0)</f>
        <v>0.52010878370000002</v>
      </c>
      <c r="G868" s="928">
        <f>SUM(E868,C868)</f>
        <v>652.29</v>
      </c>
      <c r="H868" s="744"/>
      <c r="I868" s="745"/>
      <c r="J868" s="745"/>
      <c r="K868" s="748">
        <f>IFERROR(ROUND(G868/$G$873,10),0)</f>
        <v>0.44118960010000002</v>
      </c>
      <c r="L868" s="604"/>
      <c r="M868" s="606"/>
      <c r="N868" s="604"/>
      <c r="O868" s="606"/>
      <c r="P868" s="604"/>
      <c r="Q868" s="606"/>
      <c r="R868" s="604"/>
      <c r="S868" s="606"/>
      <c r="T868" s="604"/>
    </row>
    <row r="869" spans="2:20" x14ac:dyDescent="0.2">
      <c r="B869" s="754" t="s">
        <v>543</v>
      </c>
      <c r="C869" s="927"/>
      <c r="D869" s="752">
        <f>IFERROR(ROUND(C869/$C$873,10),0)</f>
        <v>0</v>
      </c>
      <c r="E869" s="746">
        <v>87.29</v>
      </c>
      <c r="F869" s="752">
        <f>IFERROR(ROUND(E869/$E$873,10),0)</f>
        <v>0.15721412749999999</v>
      </c>
      <c r="G869" s="928">
        <f>SUM(E869,C869)</f>
        <v>87.29</v>
      </c>
      <c r="H869" s="744"/>
      <c r="I869" s="745"/>
      <c r="J869" s="745"/>
      <c r="K869" s="748">
        <f>IFERROR(ROUND(G869/$G$873,10),0)</f>
        <v>5.9040365800000001E-2</v>
      </c>
      <c r="L869" s="604"/>
      <c r="M869" s="606"/>
      <c r="N869" s="604"/>
      <c r="O869" s="606"/>
      <c r="P869" s="604"/>
      <c r="Q869" s="606"/>
      <c r="R869" s="604"/>
      <c r="S869" s="606"/>
      <c r="T869" s="604"/>
    </row>
    <row r="870" spans="2:20" x14ac:dyDescent="0.2">
      <c r="B870" s="754" t="s">
        <v>2060</v>
      </c>
      <c r="C870" s="927">
        <v>59.76</v>
      </c>
      <c r="D870" s="752">
        <f>IFERROR(ROUND(C870/$C$873,10),0)</f>
        <v>6.4727863499999996E-2</v>
      </c>
      <c r="E870" s="746">
        <v>59.01</v>
      </c>
      <c r="F870" s="752">
        <f>IFERROR(ROUND(E870/$E$873,10),0)</f>
        <v>0.10628028019999999</v>
      </c>
      <c r="G870" s="928">
        <f>SUM(E870,C870)</f>
        <v>118.77</v>
      </c>
      <c r="H870" s="744"/>
      <c r="I870" s="745"/>
      <c r="J870" s="745"/>
      <c r="K870" s="748">
        <f>IFERROR(ROUND(G870/$G$873,10),0)</f>
        <v>8.0332503700000002E-2</v>
      </c>
      <c r="L870" s="604"/>
      <c r="M870" s="606"/>
      <c r="N870" s="604"/>
      <c r="O870" s="606"/>
      <c r="P870" s="604"/>
      <c r="Q870" s="606"/>
      <c r="R870" s="604"/>
      <c r="S870" s="606"/>
      <c r="T870" s="604"/>
    </row>
    <row r="871" spans="2:20" x14ac:dyDescent="0.2">
      <c r="B871" s="754" t="s">
        <v>545</v>
      </c>
      <c r="C871" s="927">
        <f>187.27+28.59</f>
        <v>215.86</v>
      </c>
      <c r="D871" s="752">
        <f>IFERROR(ROUND(C871/$C$873,10),0)</f>
        <v>0.233804495</v>
      </c>
      <c r="E871" s="746">
        <f>76.91+27.28+15.96</f>
        <v>120.15</v>
      </c>
      <c r="F871" s="752">
        <f>IFERROR(ROUND(E871/$E$873,10),0)</f>
        <v>0.21639680850000001</v>
      </c>
      <c r="G871" s="928">
        <f>SUM(E871,C871)</f>
        <v>336.01</v>
      </c>
      <c r="H871" s="744"/>
      <c r="I871" s="745"/>
      <c r="J871" s="745"/>
      <c r="K871" s="748">
        <f>IFERROR(ROUND(G871/$G$873,10),0)</f>
        <v>0.2272671933</v>
      </c>
      <c r="L871" s="604"/>
      <c r="M871" s="606"/>
      <c r="N871" s="604"/>
      <c r="O871" s="606"/>
      <c r="P871" s="604"/>
      <c r="Q871" s="606"/>
      <c r="R871" s="604"/>
      <c r="S871" s="606"/>
      <c r="T871" s="604"/>
    </row>
    <row r="872" spans="2:20" x14ac:dyDescent="0.2">
      <c r="B872" s="754" t="s">
        <v>2061</v>
      </c>
      <c r="C872" s="927">
        <f>74.13+209.99</f>
        <v>284.12</v>
      </c>
      <c r="D872" s="752">
        <f>IFERROR(ROUND(C872/$C$873,10),0)</f>
        <v>0.30773896560000003</v>
      </c>
      <c r="E872" s="746"/>
      <c r="F872" s="752">
        <f>IFERROR(ROUND(E872/$E$873,10),0)</f>
        <v>0</v>
      </c>
      <c r="G872" s="928">
        <f>SUM(E872,C872)</f>
        <v>284.12</v>
      </c>
      <c r="H872" s="744"/>
      <c r="I872" s="745"/>
      <c r="J872" s="745"/>
      <c r="K872" s="748">
        <f>IFERROR(ROUND(G872/$G$873,10),0)</f>
        <v>0.1921703371</v>
      </c>
      <c r="L872" s="604"/>
      <c r="M872" s="606"/>
      <c r="N872" s="604"/>
      <c r="O872" s="606"/>
      <c r="P872" s="604"/>
      <c r="Q872" s="606"/>
      <c r="R872" s="604"/>
      <c r="S872" s="606"/>
      <c r="T872" s="604"/>
    </row>
    <row r="873" spans="2:20" ht="16.5" thickBot="1" x14ac:dyDescent="0.25">
      <c r="B873" s="755" t="s">
        <v>2062</v>
      </c>
      <c r="C873" s="753">
        <f>SUM(C868:C872)</f>
        <v>923.25</v>
      </c>
      <c r="D873" s="765">
        <f>ROUND(SUM(D868:D872),2)</f>
        <v>1</v>
      </c>
      <c r="E873" s="747">
        <f>SUM(E868:E872)</f>
        <v>555.23</v>
      </c>
      <c r="F873" s="765">
        <f>SUM(F868:F872)</f>
        <v>0.99999999989999999</v>
      </c>
      <c r="G873" s="749">
        <f>SUM(G868:G872)</f>
        <v>1478.48</v>
      </c>
      <c r="H873" s="750"/>
      <c r="I873" s="751"/>
      <c r="J873" s="751"/>
      <c r="K873" s="766">
        <f>SUM(K868:K872)</f>
        <v>1</v>
      </c>
      <c r="L873" s="604"/>
      <c r="M873" s="606"/>
      <c r="N873" s="604"/>
      <c r="O873" s="606"/>
      <c r="P873" s="604"/>
      <c r="Q873" s="606"/>
      <c r="R873" s="604"/>
      <c r="S873" s="606"/>
      <c r="T873" s="604"/>
    </row>
    <row r="874" spans="2:20" x14ac:dyDescent="0.2">
      <c r="B874" s="911"/>
      <c r="C874" s="910"/>
      <c r="G874" s="787"/>
      <c r="I874" s="604"/>
      <c r="J874" s="604"/>
      <c r="K874" s="605"/>
      <c r="L874" s="604"/>
      <c r="M874" s="606"/>
      <c r="N874" s="604"/>
      <c r="O874" s="606"/>
      <c r="P874" s="604"/>
      <c r="Q874" s="606"/>
      <c r="R874" s="604"/>
      <c r="S874" s="606"/>
      <c r="T874" s="604"/>
    </row>
    <row r="875" spans="2:20" x14ac:dyDescent="0.2">
      <c r="B875" s="911"/>
      <c r="C875" s="910"/>
      <c r="G875" s="787" t="s">
        <v>2063</v>
      </c>
      <c r="I875" s="604"/>
      <c r="J875" s="604"/>
      <c r="K875" s="605"/>
      <c r="L875" s="604"/>
      <c r="M875" s="606"/>
      <c r="N875" s="604"/>
      <c r="O875" s="606"/>
      <c r="P875" s="604"/>
      <c r="Q875" s="606"/>
      <c r="R875" s="604"/>
      <c r="S875" s="606"/>
      <c r="T875" s="604"/>
    </row>
    <row r="876" spans="2:20" x14ac:dyDescent="0.2">
      <c r="B876" s="911"/>
      <c r="C876" s="910"/>
      <c r="D876" s="172" t="str">
        <f>'[1]63'!$D$4</f>
        <v>SAN LORENZO</v>
      </c>
      <c r="E876" s="174">
        <f>'[1]63'!$P$4</f>
        <v>329138502.64399999</v>
      </c>
      <c r="F876" s="174">
        <f>E876/0.7</f>
        <v>470197860.92000002</v>
      </c>
      <c r="G876" s="787"/>
      <c r="I876" s="604"/>
      <c r="J876" s="604"/>
      <c r="K876" s="605"/>
      <c r="L876" s="604"/>
      <c r="M876" s="606"/>
      <c r="N876" s="604"/>
      <c r="O876" s="606"/>
      <c r="P876" s="604"/>
      <c r="Q876" s="606"/>
      <c r="R876" s="604"/>
      <c r="S876" s="606"/>
      <c r="T876" s="604"/>
    </row>
    <row r="877" spans="2:20" x14ac:dyDescent="0.2">
      <c r="B877" s="911"/>
      <c r="C877" s="910"/>
      <c r="D877" s="172" t="str">
        <f>'[1]63'!$D$5</f>
        <v>BARBACOAS</v>
      </c>
      <c r="E877" s="174">
        <v>329000000</v>
      </c>
      <c r="F877" s="174">
        <f>E877/0.7</f>
        <v>470000000.00000006</v>
      </c>
      <c r="G877" s="787"/>
      <c r="I877" s="604"/>
      <c r="J877" s="604"/>
      <c r="K877" s="605"/>
      <c r="L877" s="604"/>
      <c r="M877" s="606"/>
      <c r="N877" s="604"/>
      <c r="O877" s="606"/>
      <c r="P877" s="604"/>
      <c r="Q877" s="606"/>
      <c r="R877" s="604"/>
      <c r="S877" s="606"/>
      <c r="T877" s="604"/>
    </row>
    <row r="878" spans="2:20" x14ac:dyDescent="0.2">
      <c r="B878" s="911"/>
      <c r="C878" s="910"/>
      <c r="D878" s="172" t="str">
        <f>'[1]63'!$D$7</f>
        <v>ILES</v>
      </c>
      <c r="E878" s="174">
        <f>'[1]63'!$P$7</f>
        <v>262419974.46000001</v>
      </c>
      <c r="F878" s="174">
        <f>E878/0.7</f>
        <v>374885677.80000001</v>
      </c>
      <c r="G878" s="787"/>
      <c r="I878" s="604"/>
      <c r="J878" s="604"/>
      <c r="K878" s="605"/>
      <c r="L878" s="604"/>
      <c r="M878" s="606"/>
      <c r="N878" s="604"/>
      <c r="O878" s="606"/>
      <c r="P878" s="604"/>
      <c r="Q878" s="606"/>
      <c r="R878" s="604"/>
      <c r="S878" s="606"/>
      <c r="T878" s="604"/>
    </row>
    <row r="879" spans="2:20" x14ac:dyDescent="0.2">
      <c r="B879" s="911"/>
      <c r="C879" s="910"/>
      <c r="D879" s="172" t="str">
        <f>'[1]63'!$D$8</f>
        <v>YACUANQUER</v>
      </c>
      <c r="E879" s="174" t="e">
        <f>F861*0.7</f>
        <v>#REF!</v>
      </c>
      <c r="F879" s="174" t="e">
        <f>E879/0.7</f>
        <v>#REF!</v>
      </c>
      <c r="G879" s="787"/>
      <c r="I879" s="604"/>
      <c r="J879" s="604"/>
      <c r="K879" s="605"/>
      <c r="L879" s="604"/>
      <c r="M879" s="606"/>
      <c r="N879" s="604"/>
      <c r="O879" s="606"/>
      <c r="P879" s="604"/>
      <c r="Q879" s="606"/>
      <c r="R879" s="604"/>
      <c r="S879" s="606"/>
      <c r="T879" s="604"/>
    </row>
    <row r="880" spans="2:20" x14ac:dyDescent="0.2">
      <c r="B880" s="911"/>
      <c r="C880" s="910"/>
      <c r="D880" s="172" t="str">
        <f>'[1]63'!$D$9</f>
        <v>MALLAMA</v>
      </c>
      <c r="E880" s="174">
        <f>'[1]63'!$P$9</f>
        <v>330909278.5</v>
      </c>
      <c r="F880" s="174">
        <f>E880/0.7</f>
        <v>472727540.71428573</v>
      </c>
      <c r="G880" s="787"/>
      <c r="I880" s="604"/>
      <c r="J880" s="604"/>
      <c r="K880" s="605"/>
      <c r="L880" s="604"/>
      <c r="M880" s="606"/>
      <c r="N880" s="604"/>
      <c r="O880" s="606"/>
      <c r="P880" s="604"/>
      <c r="Q880" s="606"/>
      <c r="R880" s="604"/>
      <c r="S880" s="606"/>
      <c r="T880" s="604"/>
    </row>
    <row r="881" spans="5:20" x14ac:dyDescent="0.2">
      <c r="E881" s="174" t="e">
        <f>SUM(E876:E880)</f>
        <v>#REF!</v>
      </c>
      <c r="F881" s="174" t="e">
        <f>SUM(F878:F880,F876)</f>
        <v>#REF!</v>
      </c>
      <c r="G881" s="787"/>
      <c r="I881" s="604"/>
      <c r="J881" s="604"/>
      <c r="K881" s="605"/>
      <c r="L881" s="604"/>
      <c r="M881" s="606"/>
      <c r="N881" s="604"/>
      <c r="O881" s="606"/>
      <c r="P881" s="604"/>
      <c r="Q881" s="606"/>
      <c r="R881" s="604"/>
      <c r="S881" s="606"/>
      <c r="T881" s="604"/>
    </row>
    <row r="882" spans="5:20" x14ac:dyDescent="0.2">
      <c r="E882" s="174" t="e">
        <f>E881-E877</f>
        <v>#REF!</v>
      </c>
      <c r="G882" s="787"/>
      <c r="I882" s="604"/>
      <c r="J882" s="604"/>
      <c r="K882" s="605"/>
      <c r="L882" s="604"/>
      <c r="M882" s="606"/>
      <c r="N882" s="604"/>
      <c r="O882" s="606"/>
      <c r="P882" s="604"/>
      <c r="Q882" s="606"/>
      <c r="R882" s="604"/>
      <c r="S882" s="606"/>
      <c r="T882" s="604"/>
    </row>
    <row r="883" spans="5:20" x14ac:dyDescent="0.2">
      <c r="E883" s="174" t="e">
        <f>1800000000-E882</f>
        <v>#REF!</v>
      </c>
      <c r="F883" s="174" t="e">
        <f>E883/0.7</f>
        <v>#REF!</v>
      </c>
      <c r="G883" s="787"/>
      <c r="I883" s="604"/>
      <c r="J883" s="604"/>
      <c r="K883" s="605"/>
      <c r="L883" s="604"/>
      <c r="M883" s="606"/>
      <c r="N883" s="604"/>
      <c r="O883" s="606"/>
      <c r="P883" s="604"/>
      <c r="Q883" s="606"/>
      <c r="R883" s="604"/>
      <c r="S883" s="606"/>
      <c r="T883" s="604"/>
    </row>
    <row r="884" spans="5:20" x14ac:dyDescent="0.2">
      <c r="G884" s="787"/>
      <c r="I884" s="604"/>
      <c r="J884" s="604"/>
      <c r="K884" s="605"/>
      <c r="L884" s="604"/>
      <c r="M884" s="606"/>
      <c r="N884" s="604"/>
      <c r="O884" s="606"/>
      <c r="P884" s="604"/>
      <c r="Q884" s="606"/>
      <c r="R884" s="604"/>
      <c r="S884" s="606"/>
      <c r="T884" s="604"/>
    </row>
    <row r="885" spans="5:20" x14ac:dyDescent="0.2">
      <c r="G885" s="787"/>
      <c r="I885" s="604"/>
      <c r="J885" s="604"/>
      <c r="K885" s="605"/>
      <c r="L885" s="604"/>
      <c r="M885" s="606"/>
      <c r="N885" s="604"/>
      <c r="O885" s="606"/>
      <c r="P885" s="604"/>
      <c r="Q885" s="606"/>
      <c r="R885" s="604"/>
      <c r="S885" s="606"/>
      <c r="T885" s="604"/>
    </row>
    <row r="886" spans="5:20" x14ac:dyDescent="0.2">
      <c r="G886" s="787"/>
      <c r="I886" s="604"/>
      <c r="J886" s="604"/>
      <c r="K886" s="605"/>
      <c r="L886" s="604"/>
      <c r="M886" s="606"/>
      <c r="N886" s="604"/>
      <c r="O886" s="606"/>
      <c r="P886" s="604"/>
      <c r="Q886" s="606"/>
      <c r="R886" s="604"/>
      <c r="S886" s="606"/>
      <c r="T886" s="604"/>
    </row>
    <row r="887" spans="5:20" x14ac:dyDescent="0.2">
      <c r="G887" s="787"/>
      <c r="I887" s="604"/>
      <c r="J887" s="604"/>
      <c r="K887" s="605"/>
      <c r="L887" s="604"/>
      <c r="M887" s="606"/>
      <c r="N887" s="604"/>
      <c r="O887" s="606"/>
      <c r="P887" s="604"/>
      <c r="Q887" s="606"/>
      <c r="R887" s="604"/>
      <c r="S887" s="606"/>
      <c r="T887" s="604"/>
    </row>
    <row r="888" spans="5:20" x14ac:dyDescent="0.2">
      <c r="G888" s="787"/>
      <c r="I888" s="604"/>
      <c r="J888" s="604"/>
      <c r="K888" s="605"/>
      <c r="L888" s="604"/>
      <c r="M888" s="606"/>
      <c r="N888" s="604"/>
      <c r="O888" s="606"/>
      <c r="P888" s="604"/>
      <c r="Q888" s="606"/>
      <c r="R888" s="604"/>
      <c r="S888" s="606"/>
      <c r="T888" s="604"/>
    </row>
    <row r="889" spans="5:20" x14ac:dyDescent="0.2">
      <c r="G889" s="787"/>
      <c r="I889" s="604"/>
      <c r="J889" s="604"/>
      <c r="K889" s="605"/>
      <c r="L889" s="604"/>
      <c r="M889" s="606"/>
      <c r="N889" s="604"/>
      <c r="O889" s="606"/>
      <c r="P889" s="604"/>
      <c r="Q889" s="606"/>
      <c r="R889" s="604"/>
      <c r="S889" s="606"/>
      <c r="T889" s="604"/>
    </row>
    <row r="890" spans="5:20" x14ac:dyDescent="0.2">
      <c r="G890" s="787"/>
      <c r="I890" s="604"/>
      <c r="J890" s="604"/>
      <c r="K890" s="605"/>
      <c r="L890" s="604"/>
      <c r="M890" s="606"/>
      <c r="N890" s="604"/>
      <c r="O890" s="606"/>
      <c r="P890" s="604"/>
      <c r="Q890" s="606"/>
      <c r="R890" s="604"/>
      <c r="S890" s="606"/>
      <c r="T890" s="604"/>
    </row>
    <row r="891" spans="5:20" x14ac:dyDescent="0.2">
      <c r="G891" s="787"/>
      <c r="I891" s="604"/>
      <c r="J891" s="604"/>
      <c r="K891" s="605"/>
      <c r="L891" s="604"/>
      <c r="M891" s="606"/>
      <c r="N891" s="604"/>
      <c r="O891" s="606"/>
      <c r="P891" s="604"/>
      <c r="Q891" s="606"/>
      <c r="R891" s="604"/>
      <c r="S891" s="606"/>
      <c r="T891" s="604"/>
    </row>
    <row r="892" spans="5:20" x14ac:dyDescent="0.2">
      <c r="G892" s="787"/>
      <c r="I892" s="604"/>
      <c r="J892" s="604"/>
      <c r="K892" s="605"/>
      <c r="L892" s="604"/>
      <c r="M892" s="606"/>
      <c r="N892" s="604"/>
      <c r="O892" s="606"/>
      <c r="P892" s="604"/>
      <c r="Q892" s="606"/>
      <c r="R892" s="604"/>
      <c r="S892" s="606"/>
      <c r="T892" s="604"/>
    </row>
    <row r="893" spans="5:20" x14ac:dyDescent="0.2">
      <c r="G893" s="787"/>
      <c r="I893" s="604"/>
      <c r="J893" s="604"/>
      <c r="K893" s="605"/>
      <c r="L893" s="604"/>
      <c r="M893" s="606"/>
      <c r="N893" s="604"/>
      <c r="O893" s="606"/>
      <c r="P893" s="604"/>
      <c r="Q893" s="606"/>
      <c r="R893" s="604"/>
      <c r="S893" s="606"/>
      <c r="T893" s="604"/>
    </row>
    <row r="894" spans="5:20" x14ac:dyDescent="0.2">
      <c r="G894" s="787"/>
      <c r="I894" s="604"/>
      <c r="J894" s="604"/>
      <c r="K894" s="605"/>
      <c r="L894" s="604"/>
      <c r="M894" s="606"/>
      <c r="N894" s="604"/>
      <c r="O894" s="606"/>
      <c r="P894" s="604"/>
      <c r="Q894" s="606"/>
      <c r="R894" s="604"/>
      <c r="S894" s="606"/>
      <c r="T894" s="604"/>
    </row>
    <row r="895" spans="5:20" x14ac:dyDescent="0.2">
      <c r="G895" s="787"/>
      <c r="I895" s="604"/>
      <c r="J895" s="604"/>
      <c r="K895" s="605"/>
      <c r="L895" s="604"/>
      <c r="M895" s="606"/>
      <c r="N895" s="604"/>
      <c r="O895" s="606"/>
      <c r="P895" s="604"/>
      <c r="Q895" s="606"/>
      <c r="R895" s="604"/>
      <c r="S895" s="606"/>
      <c r="T895" s="604"/>
    </row>
    <row r="896" spans="5:20" x14ac:dyDescent="0.2">
      <c r="G896" s="787"/>
      <c r="I896" s="604"/>
      <c r="J896" s="604"/>
      <c r="K896" s="605"/>
      <c r="L896" s="604"/>
      <c r="M896" s="606"/>
      <c r="N896" s="604"/>
      <c r="O896" s="606"/>
      <c r="P896" s="604"/>
      <c r="Q896" s="606"/>
      <c r="R896" s="604"/>
      <c r="S896" s="606"/>
      <c r="T896" s="604"/>
    </row>
  </sheetData>
  <sheetProtection formatCells="0" formatColumns="0" formatRows="0" insertColumns="0" insertRows="0"/>
  <protectedRanges>
    <protectedRange sqref="S12 S486:S549 S594:S628 S630:S648 S650:S665 S667:S695 S697:S721 S723:S728 S730 S760:S782 S784:S838 S474:S475 S105:S124 S126:S128 S468:S470 S46:S47 S180:S194 S208:S245 S551:S592 S247:S375 S18:S43 S165:S174 S50:S52 S54:S55 S57 S60:S71 S152:S162 S197 S200 S202:S206 S477:S484 S732:S758 S130:S147 S75:S103 S176:S178" name="Rango5"/>
    <protectedRange sqref="Q486:Q549 Q594:Q628 Q630:Q648 Q650:Q665 Q667:Q695 Q697:Q721 Q723:Q728 Q730 Q760:Q782 Q784:Q828 Q474:Q475 Q105:Q124 Q126:Q128 Q468:Q470 Q46:Q47 Q180:Q194 Q208:Q245 Q551:Q572 Q247:Q375 Q18:Q43 Q165:Q174 Q49:Q52 Q54:Q55 Q57 Q60:Q71 Q130:Q133 Q152:Q162 Q197 Q200 Q202:Q206 Q577:Q592 Q477:Q484 Q732:Q758 Q135:Q147 Q75:Q103 Q176:Q178" name="Rango4"/>
    <protectedRange sqref="O13 O486:O549 O594:O628 O630:O648 O650:O665 O667:O695 O697:O721 O723:O728 O730 O760:O782 O784:O827 O474:O484 O105:O124 O468:O470 O66:O71 O180:O183 O208:O245 O551:O592 O247:O375 O17:O43 O54:O55 O732:O758 O152:O162 O75:O103 O126:O147 O165:O174 O185:O200 O46:O52 O59:O64 O57 O176:O178 O202:O206" name="Rango3"/>
    <protectedRange sqref="O104 O179 O207 O246 O485 O550 O593 O629 O649 O666 O696 O722 O759 O783 O828 M45:M64 M12:M43 M66:M71 M74:M147 M150 M152:M174 M176:M200 O376:O467 M202:M828" name="Rango2"/>
    <protectedRange sqref="Q48 Q129 S129 Q134 Q195:Q196 S195:S196 Q198:Q199 S198:S199 Q573:Q576 Q476 S476 Q473 S473 O729 Q729 S729 O731 Q731 S731 O14:O16 Q14:Q17 S14:S17 Q163:Q164 O163:O164 S163:S164 O184 S48:S49 K12:K43 O125 Q125 S125 O45 Q45 S45 O58 Q58:Q59 S58:S59 K45:K64 O56 Q56 S56 O53 Q53 S53 M72:M73 O72:O74 Q72:Q74 S72:S74 M148:M149 M151 O148:O151 Q148:Q151 S148:S151 M175 Q175 S175 O471:O473 M201 O201 Q201 S201 O175 K66:K828" name="Rango1"/>
    <protectedRange sqref="D854:D858" name="Rango6"/>
  </protectedRanges>
  <customSheetViews>
    <customSheetView guid="{93F324B6-F965-4669-93FF-DBB148734A46}" scale="80" showPageBreaks="1" fitToPage="1" printArea="1" hiddenRows="1" state="hidden" view="pageBreakPreview" topLeftCell="O774">
      <selection activeCell="T844" sqref="T844"/>
      <pageMargins left="0" right="0" top="0" bottom="0" header="0" footer="0"/>
      <printOptions horizontalCentered="1"/>
      <pageSetup scale="22" fitToHeight="10" orientation="landscape" errors="blank" r:id="rId1"/>
      <headerFooter alignWithMargins="0"/>
    </customSheetView>
  </customSheetViews>
  <mergeCells count="74">
    <mergeCell ref="A7:A9"/>
    <mergeCell ref="B7:B9"/>
    <mergeCell ref="C7:C9"/>
    <mergeCell ref="D7:D9"/>
    <mergeCell ref="E7:E9"/>
    <mergeCell ref="V7:AC7"/>
    <mergeCell ref="K8:K9"/>
    <mergeCell ref="L8:L9"/>
    <mergeCell ref="M8:M9"/>
    <mergeCell ref="N8:N9"/>
    <mergeCell ref="O8:O9"/>
    <mergeCell ref="P8:P9"/>
    <mergeCell ref="K7:L7"/>
    <mergeCell ref="M7:N7"/>
    <mergeCell ref="Z8:AA8"/>
    <mergeCell ref="AB8:AC8"/>
    <mergeCell ref="V8:W8"/>
    <mergeCell ref="X8:Y8"/>
    <mergeCell ref="B123:F123"/>
    <mergeCell ref="Q8:Q9"/>
    <mergeCell ref="R8:R9"/>
    <mergeCell ref="S8:S9"/>
    <mergeCell ref="T8:T9"/>
    <mergeCell ref="F7:F9"/>
    <mergeCell ref="G7:G9"/>
    <mergeCell ref="I7:I9"/>
    <mergeCell ref="J7:J9"/>
    <mergeCell ref="B11:F11"/>
    <mergeCell ref="B42:F42"/>
    <mergeCell ref="B81:F81"/>
    <mergeCell ref="O7:P7"/>
    <mergeCell ref="Q7:R7"/>
    <mergeCell ref="S7:T7"/>
    <mergeCell ref="B692:F692"/>
    <mergeCell ref="B172:F172"/>
    <mergeCell ref="B205:F205"/>
    <mergeCell ref="B243:F243"/>
    <mergeCell ref="B375:F375"/>
    <mergeCell ref="B469:F469"/>
    <mergeCell ref="B481:F481"/>
    <mergeCell ref="B545:F545"/>
    <mergeCell ref="B580:F580"/>
    <mergeCell ref="B627:F627"/>
    <mergeCell ref="B647:F647"/>
    <mergeCell ref="B664:F664"/>
    <mergeCell ref="A846:B846"/>
    <mergeCell ref="B715:F715"/>
    <mergeCell ref="B727:F727"/>
    <mergeCell ref="B757:F757"/>
    <mergeCell ref="B775:F775"/>
    <mergeCell ref="B824:F824"/>
    <mergeCell ref="A840:B840"/>
    <mergeCell ref="A841:B841"/>
    <mergeCell ref="A842:B842"/>
    <mergeCell ref="A843:B843"/>
    <mergeCell ref="A844:B844"/>
    <mergeCell ref="A845:B845"/>
    <mergeCell ref="A848:C848"/>
    <mergeCell ref="D848:G848"/>
    <mergeCell ref="A849:C849"/>
    <mergeCell ref="D849:G849"/>
    <mergeCell ref="A850:C850"/>
    <mergeCell ref="D850:G850"/>
    <mergeCell ref="A851:C851"/>
    <mergeCell ref="D851:G851"/>
    <mergeCell ref="A852:G852"/>
    <mergeCell ref="B859:E859"/>
    <mergeCell ref="A861:E861"/>
    <mergeCell ref="F861:G861"/>
    <mergeCell ref="A5:AC5"/>
    <mergeCell ref="A4:AC4"/>
    <mergeCell ref="A3:AC3"/>
    <mergeCell ref="A2:AC2"/>
    <mergeCell ref="A1:AC1"/>
  </mergeCells>
  <conditionalFormatting sqref="D167:D170 D160:D165 D153:D158 D148:D150 D203 D198:D201 D195:D196 D189:D193 D182:D187 D174:D180 D235:D241 D226:D233 D207:D224 D371:D373 D367:D369 D359:D365 D355:D356 D336:D340 D329:D334 D317:D327 D303:D315 D295:D301 D283:D293 D274:D281 D266:D272 D258:D264 D253:D256 D246:D251 D476:D479 D471:D474 D538:D543 D532:D536 D530 D528 D525:D526 D518:D523 D516 D512 D507:D510 D503:D505 D500:D501 D496:D498 D491:D494 D483:D488 D573:D578 D571 D567:D569 D560:D565 D615:D625 D608:D613 D603:D606 D593:D601 D582:D590 D643:D645 D634:D641 D659:D662 D654:D657 D649:D652 D688:D690 D680:D686 D673:D678 D666:D671 D706:D713 D694:D704 D722:D725 D717:D720 D753:D755 D745:D751 D735:D743 D729:D733 D769:D773 D765:D767 D759:D763 D816:D822 D810:D814 D802:D808 D783:D800 D777:D781 D831:D838 D826:D829 D32:D40 D24:D30 D20:D22 D76:D79 D72:D74 D61:D70 D55:D59 D44:D53 D114:D121 D104:D112 D83:D88 D90:D95 D143:D146 D97:D102 D133:D141 D129:D131 D125:D127 D629:D632 D555:D558 D13:D18 D376:D467 D342:D353 D547:D552">
    <cfRule type="cellIs" dxfId="14" priority="1" operator="equal">
      <formula>0</formula>
    </cfRule>
  </conditionalFormatting>
  <printOptions horizontalCentered="1"/>
  <pageMargins left="0.39370078740157483" right="0.39370078740157483" top="0.59055118110236227" bottom="0.39370078740157483" header="0" footer="0"/>
  <pageSetup scale="22" fitToHeight="10" orientation="landscape" errors="blank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1">
    <tabColor rgb="FF74FCFC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2310</v>
      </c>
      <c r="G7" s="254"/>
      <c r="H7" s="879" t="s">
        <v>2216</v>
      </c>
      <c r="I7" s="72"/>
    </row>
    <row r="8" spans="1:10" x14ac:dyDescent="0.2">
      <c r="A8" s="1215" t="s">
        <v>280</v>
      </c>
      <c r="B8" s="1216"/>
      <c r="C8" s="1217"/>
      <c r="D8" s="851" t="e">
        <f t="shared" ref="D8:D18" si="0">IF(A8&lt;&gt;0,VLOOKUP(A8,Materiales,2,FALSE),$J$1)</f>
        <v>#REF!</v>
      </c>
      <c r="E8" s="12">
        <v>6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306" t="s">
        <v>333</v>
      </c>
      <c r="B9" s="1307"/>
      <c r="C9" s="1308"/>
      <c r="D9" s="851" t="e">
        <f t="shared" si="0"/>
        <v>#REF!</v>
      </c>
      <c r="E9" s="12">
        <v>1.05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3"/>
      <c r="F10" s="21" t="str">
        <f>IF(A10&lt;&gt;0,VLOOKUP(A10,Materiales,6,FALSE),$J$1)</f>
        <v>-</v>
      </c>
      <c r="G10" s="22"/>
      <c r="H10" s="8" t="str">
        <f t="shared" si="1"/>
        <v>-</v>
      </c>
      <c r="I10" s="69"/>
    </row>
    <row r="11" spans="1:10" x14ac:dyDescent="0.2">
      <c r="A11" s="871"/>
      <c r="B11" s="872"/>
      <c r="C11" s="873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 t="shared" ref="F12:F18" si="2"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si="2"/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5</v>
      </c>
      <c r="E23" s="28"/>
      <c r="F23" s="12">
        <f t="shared" ref="F23:F29" si="3">IF(A23&lt;&gt;0,VLOOKUP(A23,Equipos,6,FALSE),$J$1)</f>
        <v>3710</v>
      </c>
      <c r="G23" s="14">
        <v>5</v>
      </c>
      <c r="H23" s="8">
        <f t="shared" ref="H23:H29" si="4">IF(A23&lt;&gt;0,ROUND((F23/D23)*G23,2),$J$1)</f>
        <v>3710</v>
      </c>
      <c r="I23" s="69"/>
    </row>
    <row r="24" spans="1:9" x14ac:dyDescent="0.2">
      <c r="A24" s="871"/>
      <c r="B24" s="872"/>
      <c r="C24" s="873"/>
      <c r="D24" s="26">
        <v>4</v>
      </c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871"/>
      <c r="B25" s="872"/>
      <c r="C25" s="873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3710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871"/>
      <c r="B39" s="872"/>
      <c r="C39" s="873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871"/>
      <c r="B40" s="872"/>
      <c r="C40" s="873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3.2</v>
      </c>
      <c r="G45" s="1222"/>
      <c r="H45" s="8">
        <f>IF(A45&lt;&gt;0,ROUND(D45/F45,2),$J$1)</f>
        <v>135029.95000000001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135029.95000000001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135029.95000000001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0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B38:C38"/>
    <mergeCell ref="A41:H41"/>
    <mergeCell ref="A42:I42"/>
    <mergeCell ref="A43:I43"/>
    <mergeCell ref="A44:C44"/>
    <mergeCell ref="D44:E44"/>
    <mergeCell ref="F44:G44"/>
    <mergeCell ref="B34:C34"/>
    <mergeCell ref="A10:C10"/>
    <mergeCell ref="A9:C9"/>
    <mergeCell ref="A1:C1"/>
    <mergeCell ref="H1:I1"/>
    <mergeCell ref="C5:I5"/>
    <mergeCell ref="A8:C8"/>
    <mergeCell ref="A12:C12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C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3:C18 B11:C11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2">
    <tabColor rgb="FF74FCFC"/>
    <pageSetUpPr fitToPage="1"/>
  </sheetPr>
  <dimension ref="A1:J54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208</v>
      </c>
      <c r="B8" s="1216"/>
      <c r="C8" s="1217"/>
      <c r="D8" s="851" t="e">
        <f t="shared" ref="D8:D16" si="0">IF(A8&lt;&gt;0,VLOOKUP(A8,Materiales,2,FALSE),$J$1)</f>
        <v>#REF!</v>
      </c>
      <c r="E8" s="13">
        <v>0.5</v>
      </c>
      <c r="F8" s="21" t="e">
        <f t="shared" ref="F8:F13" si="1">IF(A8&lt;&gt;0,VLOOKUP(A8,Materiales,6,FALSE),$J$1)</f>
        <v>#REF!</v>
      </c>
      <c r="G8" s="22"/>
      <c r="H8" s="8" t="e">
        <f t="shared" ref="H8:H16" si="2">IF(A8&lt;&gt;0,ROUND(E8*F8,2),$J$1)</f>
        <v>#REF!</v>
      </c>
      <c r="I8" s="69"/>
    </row>
    <row r="9" spans="1:10" x14ac:dyDescent="0.2">
      <c r="A9" s="1215" t="s">
        <v>330</v>
      </c>
      <c r="B9" s="1216"/>
      <c r="C9" s="1217"/>
      <c r="D9" s="851" t="e">
        <f t="shared" si="0"/>
        <v>#REF!</v>
      </c>
      <c r="E9" s="161">
        <v>0.2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2"/>
      <c r="F10" s="21" t="str">
        <f t="shared" si="1"/>
        <v>-</v>
      </c>
      <c r="G10" s="22"/>
      <c r="H10" s="8" t="str">
        <f t="shared" si="2"/>
        <v>-</v>
      </c>
      <c r="I10" s="69"/>
    </row>
    <row r="11" spans="1:10" x14ac:dyDescent="0.2">
      <c r="A11" s="871"/>
      <c r="B11" s="872"/>
      <c r="C11" s="873"/>
      <c r="D11" s="851"/>
      <c r="E11" s="12"/>
      <c r="F11" s="21"/>
      <c r="G11" s="22"/>
      <c r="H11" s="8"/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 t="shared" si="1"/>
        <v>-</v>
      </c>
      <c r="G12" s="22"/>
      <c r="H12" s="8" t="str">
        <f t="shared" si="2"/>
        <v>-</v>
      </c>
      <c r="I12" s="69"/>
    </row>
    <row r="13" spans="1:10" x14ac:dyDescent="0.2">
      <c r="A13" s="1215"/>
      <c r="B13" s="1216"/>
      <c r="C13" s="1217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50" t="s">
        <v>2217</v>
      </c>
      <c r="B17" s="872"/>
      <c r="C17" s="872"/>
      <c r="D17" s="872"/>
      <c r="E17" s="872"/>
      <c r="F17" s="872"/>
      <c r="G17" s="872"/>
      <c r="H17" s="873"/>
      <c r="I17" s="241" t="e">
        <f>SUM(H8:H16)</f>
        <v>#REF!</v>
      </c>
    </row>
    <row r="18" spans="1:9" x14ac:dyDescent="0.2">
      <c r="A18" s="76"/>
      <c r="B18" s="27"/>
      <c r="C18" s="27"/>
      <c r="D18" s="27"/>
      <c r="E18" s="27"/>
      <c r="F18" s="27"/>
      <c r="G18" s="27"/>
      <c r="H18" s="27"/>
      <c r="I18" s="64"/>
    </row>
    <row r="19" spans="1:9" x14ac:dyDescent="0.2">
      <c r="A19" s="875" t="s">
        <v>454</v>
      </c>
      <c r="B19" s="876"/>
      <c r="C19" s="876"/>
      <c r="D19" s="876"/>
      <c r="E19" s="876"/>
      <c r="F19" s="876"/>
      <c r="G19" s="876"/>
      <c r="H19" s="876"/>
      <c r="I19" s="877"/>
    </row>
    <row r="20" spans="1:9" s="9" customFormat="1" ht="25.5" x14ac:dyDescent="0.2">
      <c r="A20" s="255" t="s">
        <v>26</v>
      </c>
      <c r="B20" s="256"/>
      <c r="C20" s="254"/>
      <c r="D20" s="253" t="s">
        <v>2218</v>
      </c>
      <c r="E20" s="254"/>
      <c r="F20" s="235" t="s">
        <v>2219</v>
      </c>
      <c r="G20" s="881" t="s">
        <v>2220</v>
      </c>
      <c r="H20" s="257" t="s">
        <v>2216</v>
      </c>
      <c r="I20" s="72"/>
    </row>
    <row r="21" spans="1:9" x14ac:dyDescent="0.2">
      <c r="A21" s="1303" t="s">
        <v>477</v>
      </c>
      <c r="B21" s="1304"/>
      <c r="C21" s="1305"/>
      <c r="D21" s="26">
        <v>14</v>
      </c>
      <c r="E21" s="28"/>
      <c r="F21" s="12">
        <f t="shared" ref="F21:F26" si="3">IF(A21&lt;&gt;0,VLOOKUP(A21,Equipos,6,FALSE),$J$1)</f>
        <v>3710</v>
      </c>
      <c r="G21" s="14">
        <v>0.5</v>
      </c>
      <c r="H21" s="8">
        <f>IF(A21&lt;&gt;0,ROUND((F21/D21)*G21,2),$J$1)</f>
        <v>132.5</v>
      </c>
      <c r="I21" s="69"/>
    </row>
    <row r="22" spans="1:9" x14ac:dyDescent="0.2">
      <c r="A22" s="1303"/>
      <c r="B22" s="1304"/>
      <c r="C22" s="1305"/>
      <c r="D22" s="26"/>
      <c r="E22" s="28"/>
      <c r="F22" s="12" t="str">
        <f>IF(A22&lt;&gt;0,VLOOKUP(A22,Equipos,6,FALSE),$J$1)</f>
        <v>-</v>
      </c>
      <c r="G22" s="14"/>
      <c r="H22" s="8" t="str">
        <f>IF(A22&lt;&gt;0,ROUND((F22/D22)*G22,2),$J$1)</f>
        <v>-</v>
      </c>
      <c r="I22" s="69"/>
    </row>
    <row r="23" spans="1:9" x14ac:dyDescent="0.2">
      <c r="A23" s="1303"/>
      <c r="B23" s="1304"/>
      <c r="C23" s="1305"/>
      <c r="D23" s="451"/>
      <c r="E23" s="28"/>
      <c r="F23" s="12" t="str">
        <f>IF(A23&lt;&gt;0,VLOOKUP(A23,Equipos,6,FALSE),$J$1)</f>
        <v>-</v>
      </c>
      <c r="G23" s="14"/>
      <c r="H23" s="8" t="str">
        <f>IF(A23&lt;&gt;0,ROUND((F23*D23)*G23,2),$J$1)</f>
        <v>-</v>
      </c>
      <c r="I23" s="69"/>
    </row>
    <row r="24" spans="1:9" ht="12.75" customHeight="1" x14ac:dyDescent="0.2">
      <c r="A24" s="1303"/>
      <c r="B24" s="1304"/>
      <c r="C24" s="1305"/>
      <c r="D24" s="451"/>
      <c r="E24" s="28"/>
      <c r="F24" s="12" t="str">
        <f>IF(A24&lt;&gt;0,VLOOKUP(A24,Equipos,6,FALSE),$J$1)</f>
        <v>-</v>
      </c>
      <c r="G24" s="14"/>
      <c r="H24" s="8" t="str">
        <f>IF(A24&lt;&gt;0,ROUND((F24*D24)*G24,2),$J$1)</f>
        <v>-</v>
      </c>
      <c r="I24" s="69"/>
    </row>
    <row r="25" spans="1:9" x14ac:dyDescent="0.2">
      <c r="A25" s="1299"/>
      <c r="B25" s="1300"/>
      <c r="C25" s="1301"/>
      <c r="D25" s="26"/>
      <c r="E25" s="28"/>
      <c r="F25" s="12" t="str">
        <f t="shared" si="3"/>
        <v>-</v>
      </c>
      <c r="G25" s="14"/>
      <c r="H25" s="8" t="str">
        <f>IF(A25&lt;&gt;0,ROUND((F25/D25)*G25,2),$J$1)</f>
        <v>-</v>
      </c>
      <c r="I25" s="69"/>
    </row>
    <row r="26" spans="1:9" x14ac:dyDescent="0.2">
      <c r="A26" s="1215"/>
      <c r="B26" s="1216"/>
      <c r="C26" s="1217"/>
      <c r="D26" s="26"/>
      <c r="E26" s="28"/>
      <c r="F26" s="12" t="str">
        <f t="shared" si="3"/>
        <v>-</v>
      </c>
      <c r="G26" s="14"/>
      <c r="H26" s="8" t="str">
        <f>IF(A26&lt;&gt;0,ROUND((F26/D26)*G26,2),$J$1)</f>
        <v>-</v>
      </c>
      <c r="I26" s="73"/>
    </row>
    <row r="27" spans="1:9" x14ac:dyDescent="0.2">
      <c r="A27" s="850" t="s">
        <v>2221</v>
      </c>
      <c r="B27" s="872"/>
      <c r="C27" s="872"/>
      <c r="D27" s="872"/>
      <c r="E27" s="872"/>
      <c r="F27" s="872"/>
      <c r="G27" s="872"/>
      <c r="H27" s="873"/>
      <c r="I27" s="241">
        <f>SUM(H21:H26)</f>
        <v>132.5</v>
      </c>
    </row>
    <row r="28" spans="1:9" x14ac:dyDescent="0.2">
      <c r="A28" s="76"/>
      <c r="B28" s="27"/>
      <c r="C28" s="27"/>
      <c r="D28" s="27"/>
      <c r="E28" s="27"/>
      <c r="F28" s="27"/>
      <c r="G28" s="27"/>
      <c r="H28" s="27"/>
      <c r="I28" s="64"/>
    </row>
    <row r="29" spans="1:9" x14ac:dyDescent="0.2">
      <c r="A29" s="875" t="s">
        <v>2222</v>
      </c>
      <c r="B29" s="876"/>
      <c r="C29" s="876"/>
      <c r="D29" s="876"/>
      <c r="E29" s="876"/>
      <c r="F29" s="876"/>
      <c r="G29" s="876"/>
      <c r="H29" s="876"/>
      <c r="I29" s="877"/>
    </row>
    <row r="30" spans="1:9" s="9" customFormat="1" ht="25.5" x14ac:dyDescent="0.2">
      <c r="A30" s="250" t="s">
        <v>26</v>
      </c>
      <c r="B30" s="251"/>
      <c r="C30" s="252"/>
      <c r="D30" s="253" t="s">
        <v>2223</v>
      </c>
      <c r="E30" s="254"/>
      <c r="F30" s="881" t="s">
        <v>2224</v>
      </c>
      <c r="G30" s="881" t="s">
        <v>2225</v>
      </c>
      <c r="H30" s="257" t="s">
        <v>2216</v>
      </c>
      <c r="I30" s="72"/>
    </row>
    <row r="31" spans="1:9" x14ac:dyDescent="0.2">
      <c r="A31" s="890"/>
      <c r="B31" s="1105" t="s">
        <v>2226</v>
      </c>
      <c r="C31" s="1104"/>
      <c r="D31" s="46"/>
      <c r="E31" s="47"/>
      <c r="F31" s="15"/>
      <c r="G31" s="12"/>
      <c r="H31" s="8"/>
      <c r="I31" s="343">
        <f>SUM(H32:H34)</f>
        <v>0</v>
      </c>
    </row>
    <row r="32" spans="1:9" x14ac:dyDescent="0.2">
      <c r="A32" s="1215"/>
      <c r="B32" s="1216"/>
      <c r="C32" s="1217"/>
      <c r="D32" s="46" t="str">
        <f>IF(A32&lt;&gt;0,VLOOKUP(A32,Transporte,8,FALSE),$J$1)</f>
        <v>-</v>
      </c>
      <c r="E32" s="47"/>
      <c r="F32" s="15" t="str">
        <f t="shared" ref="F32:F37" si="4">IF(A32&lt;&gt;0,VLOOKUP(A32,Transporte,2,FALSE),$J$1)</f>
        <v>-</v>
      </c>
      <c r="G32" s="12"/>
      <c r="H32" s="8" t="str">
        <f t="shared" ref="H32:H37" si="5">IF(A32&lt;&gt;0,D32/F32*G32,$J$1)</f>
        <v>-</v>
      </c>
      <c r="I32" s="344"/>
    </row>
    <row r="33" spans="1:9" x14ac:dyDescent="0.2">
      <c r="A33" s="1215"/>
      <c r="B33" s="1216"/>
      <c r="C33" s="1217"/>
      <c r="D33" s="46" t="str">
        <f>IF(A33&lt;&gt;0,VLOOKUP(A33,Transporte,8,FALSE),$J$1)</f>
        <v>-</v>
      </c>
      <c r="E33" s="47"/>
      <c r="F33" s="15" t="str">
        <f t="shared" si="4"/>
        <v>-</v>
      </c>
      <c r="G33" s="12"/>
      <c r="H33" s="8" t="str">
        <f t="shared" si="5"/>
        <v>-</v>
      </c>
      <c r="I33" s="344"/>
    </row>
    <row r="34" spans="1:9" x14ac:dyDescent="0.2">
      <c r="A34" s="1215"/>
      <c r="B34" s="1216"/>
      <c r="C34" s="1217"/>
      <c r="D34" s="46"/>
      <c r="E34" s="47"/>
      <c r="F34" s="15" t="str">
        <f t="shared" si="4"/>
        <v>-</v>
      </c>
      <c r="G34" s="12"/>
      <c r="H34" s="8" t="str">
        <f t="shared" si="5"/>
        <v>-</v>
      </c>
      <c r="I34" s="345"/>
    </row>
    <row r="35" spans="1:9" x14ac:dyDescent="0.2">
      <c r="A35" s="871"/>
      <c r="B35" s="1105" t="s">
        <v>2227</v>
      </c>
      <c r="C35" s="1104"/>
      <c r="D35" s="46"/>
      <c r="E35" s="47"/>
      <c r="F35" s="15"/>
      <c r="G35" s="12"/>
      <c r="H35" s="8"/>
      <c r="I35" s="343">
        <f>SUM(H36:H37)</f>
        <v>0</v>
      </c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4"/>
        <v>-</v>
      </c>
      <c r="G36" s="12"/>
      <c r="H36" s="8" t="str">
        <f t="shared" si="5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4"/>
        <v>-</v>
      </c>
      <c r="G37" s="12"/>
      <c r="H37" s="8" t="str">
        <f t="shared" si="5"/>
        <v>-</v>
      </c>
      <c r="I37" s="73"/>
    </row>
    <row r="38" spans="1:9" x14ac:dyDescent="0.2">
      <c r="A38" s="1084" t="s">
        <v>2228</v>
      </c>
      <c r="B38" s="1216"/>
      <c r="C38" s="1216"/>
      <c r="D38" s="1216"/>
      <c r="E38" s="1216"/>
      <c r="F38" s="1216"/>
      <c r="G38" s="1216"/>
      <c r="H38" s="1217"/>
      <c r="I38" s="241">
        <f>SUM(I31:I37)</f>
        <v>0</v>
      </c>
    </row>
    <row r="39" spans="1:9" x14ac:dyDescent="0.2">
      <c r="A39" s="1086"/>
      <c r="B39" s="1087"/>
      <c r="C39" s="1087"/>
      <c r="D39" s="1087"/>
      <c r="E39" s="1087"/>
      <c r="F39" s="1087"/>
      <c r="G39" s="1087"/>
      <c r="H39" s="1087"/>
      <c r="I39" s="1088"/>
    </row>
    <row r="40" spans="1:9" x14ac:dyDescent="0.2">
      <c r="A40" s="1200" t="s">
        <v>554</v>
      </c>
      <c r="B40" s="1201"/>
      <c r="C40" s="1201"/>
      <c r="D40" s="1201"/>
      <c r="E40" s="1201"/>
      <c r="F40" s="1201"/>
      <c r="G40" s="1201"/>
      <c r="H40" s="1201"/>
      <c r="I40" s="1202"/>
    </row>
    <row r="41" spans="1:9" s="9" customFormat="1" ht="25.5" x14ac:dyDescent="0.2">
      <c r="A41" s="1229" t="s">
        <v>2229</v>
      </c>
      <c r="B41" s="1230"/>
      <c r="C41" s="1231"/>
      <c r="D41" s="1223" t="s">
        <v>2230</v>
      </c>
      <c r="E41" s="1224"/>
      <c r="F41" s="1223" t="s">
        <v>2218</v>
      </c>
      <c r="G41" s="1224"/>
      <c r="H41" s="257" t="s">
        <v>2216</v>
      </c>
      <c r="I41" s="72"/>
    </row>
    <row r="42" spans="1:9" x14ac:dyDescent="0.2">
      <c r="A42" s="1215" t="s">
        <v>49</v>
      </c>
      <c r="B42" s="1216"/>
      <c r="C42" s="1217"/>
      <c r="D42" s="1225">
        <f>IF(A42&lt;&gt;0,VLOOKUP(A42,Cuadrillas,7,FALSE),$J$1)</f>
        <v>432095.84</v>
      </c>
      <c r="E42" s="1226"/>
      <c r="F42" s="1221">
        <v>50</v>
      </c>
      <c r="G42" s="1222"/>
      <c r="H42" s="8">
        <f>IF(A42&lt;&gt;0,ROUND(D42/F42,2),$J$1)</f>
        <v>8641.92</v>
      </c>
      <c r="I42" s="69"/>
    </row>
    <row r="43" spans="1:9" x14ac:dyDescent="0.2">
      <c r="A43" s="1215"/>
      <c r="B43" s="1216"/>
      <c r="C43" s="1217"/>
      <c r="D43" s="1225" t="str">
        <f>IF(A43&lt;&gt;0,VLOOKUP(A43,Cuadrillas,7,FALSE),$J$1)</f>
        <v>-</v>
      </c>
      <c r="E43" s="1226"/>
      <c r="F43" s="1221"/>
      <c r="G43" s="1222"/>
      <c r="H43" s="8" t="str">
        <f>IF(A43&lt;&gt;0,ROUND(D43/F43,2),$J$1)</f>
        <v>-</v>
      </c>
      <c r="I43" s="69"/>
    </row>
    <row r="44" spans="1:9" x14ac:dyDescent="0.2">
      <c r="A44" s="1215"/>
      <c r="B44" s="1216"/>
      <c r="C44" s="1217"/>
      <c r="D44" s="1225" t="str">
        <f>IF(A44&lt;&gt;0,VLOOKUP(A44,Cuadrillas,7,FALSE),$J$1)</f>
        <v>-</v>
      </c>
      <c r="E44" s="1226"/>
      <c r="F44" s="1221"/>
      <c r="G44" s="1222"/>
      <c r="H44" s="8" t="str">
        <f>IF(A44&lt;&gt;0,ROUND(D44/F44,2),$J$1)</f>
        <v>-</v>
      </c>
      <c r="I44" s="69"/>
    </row>
    <row r="45" spans="1:9" x14ac:dyDescent="0.2">
      <c r="A45" s="1215"/>
      <c r="B45" s="1216"/>
      <c r="C45" s="1217"/>
      <c r="D45" s="1225" t="str">
        <f>IF(A45&lt;&gt;0,VLOOKUP(A45,Cuadrillas,7,FALSE),$J$1)</f>
        <v>-</v>
      </c>
      <c r="E45" s="1226"/>
      <c r="F45" s="1221"/>
      <c r="G45" s="1222"/>
      <c r="H45" s="8" t="str">
        <f>IF(A45&lt;&gt;0,ROUND(D45/F45,2),$J$1)</f>
        <v>-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73"/>
    </row>
    <row r="47" spans="1:9" x14ac:dyDescent="0.2">
      <c r="A47" s="1084" t="s">
        <v>2231</v>
      </c>
      <c r="B47" s="1085"/>
      <c r="C47" s="1085"/>
      <c r="D47" s="1085"/>
      <c r="E47" s="1085"/>
      <c r="F47" s="1085"/>
      <c r="G47" s="1085"/>
      <c r="H47" s="1133"/>
      <c r="I47" s="240">
        <f>SUM(H42:H46)</f>
        <v>8641.92</v>
      </c>
    </row>
    <row r="48" spans="1:9" x14ac:dyDescent="0.2">
      <c r="A48" s="1086"/>
      <c r="B48" s="1087"/>
      <c r="C48" s="1087"/>
      <c r="D48" s="1087"/>
      <c r="E48" s="1087"/>
      <c r="F48" s="1087"/>
      <c r="G48" s="1087"/>
      <c r="H48" s="1087"/>
      <c r="I48" s="1088"/>
    </row>
    <row r="49" spans="1:9" x14ac:dyDescent="0.2">
      <c r="A49" s="1089" t="s">
        <v>2232</v>
      </c>
      <c r="B49" s="1090"/>
      <c r="C49" s="1090"/>
      <c r="D49" s="1090"/>
      <c r="E49" s="1090"/>
      <c r="F49" s="1090"/>
      <c r="G49" s="1090"/>
      <c r="H49" s="1090"/>
      <c r="I49" s="237" t="e">
        <f>I17+I27+I38</f>
        <v>#REF!</v>
      </c>
    </row>
    <row r="50" spans="1:9" ht="13.5" thickBot="1" x14ac:dyDescent="0.25">
      <c r="A50" s="1193" t="s">
        <v>2233</v>
      </c>
      <c r="B50" s="1194"/>
      <c r="C50" s="1194"/>
      <c r="D50" s="1194"/>
      <c r="E50" s="1194"/>
      <c r="F50" s="1194"/>
      <c r="G50" s="1194"/>
      <c r="H50" s="1194"/>
      <c r="I50" s="238">
        <f>I47</f>
        <v>8641.92</v>
      </c>
    </row>
    <row r="51" spans="1:9" s="9" customFormat="1" ht="25.5" customHeight="1" thickTop="1" thickBot="1" x14ac:dyDescent="0.25">
      <c r="A51" s="1195" t="s">
        <v>2234</v>
      </c>
      <c r="B51" s="1196"/>
      <c r="C51" s="1196"/>
      <c r="D51" s="1196"/>
      <c r="E51" s="1196"/>
      <c r="F51" s="1196"/>
      <c r="G51" s="1196"/>
      <c r="H51" s="258"/>
      <c r="I51" s="239" t="e">
        <f>I49+I50</f>
        <v>#REF!</v>
      </c>
    </row>
    <row r="52" spans="1:9" s="9" customFormat="1" ht="25.5" customHeight="1" thickTop="1" thickBot="1" x14ac:dyDescent="0.25">
      <c r="A52" s="1095" t="s">
        <v>10</v>
      </c>
      <c r="B52" s="1096"/>
      <c r="C52" s="1232"/>
      <c r="D52" s="1097">
        <f>+'Datos entrada'!B7</f>
        <v>0.3</v>
      </c>
      <c r="E52" s="1098"/>
      <c r="F52" s="1233" t="e">
        <f>I51*D52</f>
        <v>#REF!</v>
      </c>
      <c r="G52" s="1099"/>
      <c r="H52" s="1099"/>
      <c r="I52" s="1100"/>
    </row>
    <row r="53" spans="1:9" s="9" customFormat="1" ht="25.5" customHeight="1" thickTop="1" thickBot="1" x14ac:dyDescent="0.25">
      <c r="A53" s="1095" t="s">
        <v>2236</v>
      </c>
      <c r="B53" s="1096"/>
      <c r="C53" s="1096"/>
      <c r="D53" s="1096"/>
      <c r="E53" s="1096"/>
      <c r="F53" s="1096"/>
      <c r="G53" s="1096"/>
      <c r="H53" s="1191" t="e">
        <f>I51+F52</f>
        <v>#REF!</v>
      </c>
      <c r="I53" s="1192"/>
    </row>
    <row r="54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2">
    <mergeCell ref="A23:C23"/>
    <mergeCell ref="A1:C1"/>
    <mergeCell ref="H1:I1"/>
    <mergeCell ref="C5:I5"/>
    <mergeCell ref="A8:C8"/>
    <mergeCell ref="A9:C9"/>
    <mergeCell ref="A10:C10"/>
    <mergeCell ref="A12:C12"/>
    <mergeCell ref="A13:C13"/>
    <mergeCell ref="A21:C21"/>
    <mergeCell ref="A22:C22"/>
    <mergeCell ref="A39:I39"/>
    <mergeCell ref="A24:C24"/>
    <mergeCell ref="A25:C25"/>
    <mergeCell ref="A26:C26"/>
    <mergeCell ref="B31:C31"/>
    <mergeCell ref="A32:C32"/>
    <mergeCell ref="A33:C33"/>
    <mergeCell ref="A34:C34"/>
    <mergeCell ref="B35:C35"/>
    <mergeCell ref="A36:C36"/>
    <mergeCell ref="A37:C37"/>
    <mergeCell ref="A38:H38"/>
    <mergeCell ref="A40:I40"/>
    <mergeCell ref="A41:C41"/>
    <mergeCell ref="D41:E41"/>
    <mergeCell ref="F41:G41"/>
    <mergeCell ref="A42:C42"/>
    <mergeCell ref="D42:E42"/>
    <mergeCell ref="F42:G42"/>
    <mergeCell ref="A43:C43"/>
    <mergeCell ref="D43:E43"/>
    <mergeCell ref="F43:G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53:G53"/>
    <mergeCell ref="H53:I53"/>
    <mergeCell ref="A47:H47"/>
    <mergeCell ref="A48:I48"/>
    <mergeCell ref="A49:H49"/>
    <mergeCell ref="A50:H50"/>
    <mergeCell ref="A51:G51"/>
    <mergeCell ref="A52:C52"/>
    <mergeCell ref="D52:E52"/>
    <mergeCell ref="F52:I52"/>
  </mergeCells>
  <dataValidations disablePrompts="1" count="4">
    <dataValidation type="list" allowBlank="1" showInputMessage="1" showErrorMessage="1" sqref="A8:A16 B14:C16">
      <formula1>Descripción</formula1>
    </dataValidation>
    <dataValidation type="list" allowBlank="1" showInputMessage="1" showErrorMessage="1" sqref="A21:A26">
      <formula1>Descrip_equipos</formula1>
    </dataValidation>
    <dataValidation type="list" allowBlank="1" showInputMessage="1" showErrorMessage="1" sqref="A31:A37">
      <formula1>Descrip_transporte</formula1>
    </dataValidation>
    <dataValidation type="list" allowBlank="1" showInputMessage="1" showErrorMessage="1" sqref="A42:C46">
      <formula1>Descrip_cuadrillas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3">
    <tabColor rgb="FF74FCFC"/>
    <pageSetUpPr fitToPage="1"/>
  </sheetPr>
  <dimension ref="A1:J54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266</v>
      </c>
      <c r="B8" s="1216"/>
      <c r="C8" s="1217"/>
      <c r="D8" s="851" t="e">
        <f t="shared" ref="D8:D16" si="0">IF(A8&lt;&gt;0,VLOOKUP(A8,Materiales,2,FALSE),$J$1)</f>
        <v>#REF!</v>
      </c>
      <c r="E8" s="13">
        <v>0.05</v>
      </c>
      <c r="F8" s="21" t="e">
        <f t="shared" ref="F8:F13" si="1">IF(A8&lt;&gt;0,VLOOKUP(A8,Materiales,6,FALSE),$J$1)</f>
        <v>#REF!</v>
      </c>
      <c r="G8" s="22"/>
      <c r="H8" s="8" t="e">
        <f t="shared" ref="H8:H16" si="2">IF(A8&lt;&gt;0,ROUND(E8*F8,2),$J$1)</f>
        <v>#REF!</v>
      </c>
      <c r="I8" s="69"/>
    </row>
    <row r="9" spans="1:10" x14ac:dyDescent="0.2">
      <c r="A9" s="1215"/>
      <c r="B9" s="1216"/>
      <c r="C9" s="1217"/>
      <c r="D9" s="851" t="str">
        <f t="shared" si="0"/>
        <v>-</v>
      </c>
      <c r="E9" s="161"/>
      <c r="F9" s="21" t="str">
        <f t="shared" si="1"/>
        <v>-</v>
      </c>
      <c r="G9" s="22"/>
      <c r="H9" s="8" t="str">
        <f t="shared" si="2"/>
        <v>-</v>
      </c>
      <c r="I9" s="69"/>
    </row>
    <row r="10" spans="1:10" x14ac:dyDescent="0.2">
      <c r="A10" s="1215"/>
      <c r="B10" s="1216"/>
      <c r="C10" s="1217"/>
      <c r="D10" s="851" t="str">
        <f t="shared" si="0"/>
        <v>-</v>
      </c>
      <c r="E10" s="12"/>
      <c r="F10" s="21" t="str">
        <f t="shared" si="1"/>
        <v>-</v>
      </c>
      <c r="G10" s="22"/>
      <c r="H10" s="8" t="str">
        <f t="shared" si="2"/>
        <v>-</v>
      </c>
      <c r="I10" s="69"/>
    </row>
    <row r="11" spans="1:10" x14ac:dyDescent="0.2">
      <c r="A11" s="871"/>
      <c r="B11" s="872"/>
      <c r="C11" s="873"/>
      <c r="D11" s="851"/>
      <c r="E11" s="12"/>
      <c r="F11" s="21"/>
      <c r="G11" s="22"/>
      <c r="H11" s="8"/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 t="shared" si="1"/>
        <v>-</v>
      </c>
      <c r="G12" s="22"/>
      <c r="H12" s="8" t="str">
        <f t="shared" si="2"/>
        <v>-</v>
      </c>
      <c r="I12" s="69"/>
    </row>
    <row r="13" spans="1:10" x14ac:dyDescent="0.2">
      <c r="A13" s="1215"/>
      <c r="B13" s="1216"/>
      <c r="C13" s="1217"/>
      <c r="D13" s="851" t="str">
        <f t="shared" si="0"/>
        <v>-</v>
      </c>
      <c r="E13" s="12"/>
      <c r="F13" s="21" t="str">
        <f t="shared" si="1"/>
        <v>-</v>
      </c>
      <c r="G13" s="22"/>
      <c r="H13" s="8" t="str">
        <f t="shared" si="2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50" t="s">
        <v>2217</v>
      </c>
      <c r="B17" s="872"/>
      <c r="C17" s="872"/>
      <c r="D17" s="872"/>
      <c r="E17" s="872"/>
      <c r="F17" s="872"/>
      <c r="G17" s="872"/>
      <c r="H17" s="873"/>
      <c r="I17" s="241" t="e">
        <f>SUM(H8:H16)</f>
        <v>#REF!</v>
      </c>
    </row>
    <row r="18" spans="1:9" x14ac:dyDescent="0.2">
      <c r="A18" s="76"/>
      <c r="B18" s="27"/>
      <c r="C18" s="27"/>
      <c r="D18" s="27"/>
      <c r="E18" s="27"/>
      <c r="F18" s="27"/>
      <c r="G18" s="27"/>
      <c r="H18" s="27"/>
      <c r="I18" s="64"/>
    </row>
    <row r="19" spans="1:9" x14ac:dyDescent="0.2">
      <c r="A19" s="875" t="s">
        <v>454</v>
      </c>
      <c r="B19" s="876"/>
      <c r="C19" s="876"/>
      <c r="D19" s="876"/>
      <c r="E19" s="876"/>
      <c r="F19" s="876"/>
      <c r="G19" s="876"/>
      <c r="H19" s="876"/>
      <c r="I19" s="877"/>
    </row>
    <row r="20" spans="1:9" s="9" customFormat="1" ht="25.5" x14ac:dyDescent="0.2">
      <c r="A20" s="255" t="s">
        <v>26</v>
      </c>
      <c r="B20" s="256"/>
      <c r="C20" s="254"/>
      <c r="D20" s="253" t="s">
        <v>2218</v>
      </c>
      <c r="E20" s="254"/>
      <c r="F20" s="235" t="s">
        <v>2219</v>
      </c>
      <c r="G20" s="881" t="s">
        <v>2220</v>
      </c>
      <c r="H20" s="257" t="s">
        <v>2216</v>
      </c>
      <c r="I20" s="72"/>
    </row>
    <row r="21" spans="1:9" x14ac:dyDescent="0.2">
      <c r="A21" s="1303" t="s">
        <v>477</v>
      </c>
      <c r="B21" s="1304"/>
      <c r="C21" s="1305"/>
      <c r="D21" s="26">
        <v>14</v>
      </c>
      <c r="E21" s="28"/>
      <c r="F21" s="12">
        <f t="shared" ref="F21:F26" si="3">IF(A21&lt;&gt;0,VLOOKUP(A21,Equipos,6,FALSE),$J$1)</f>
        <v>3710</v>
      </c>
      <c r="G21" s="14">
        <v>0.5</v>
      </c>
      <c r="H21" s="8">
        <f>IF(A21&lt;&gt;0,ROUND((F21/D21)*G21,2),$J$1)</f>
        <v>132.5</v>
      </c>
      <c r="I21" s="69"/>
    </row>
    <row r="22" spans="1:9" x14ac:dyDescent="0.2">
      <c r="A22" s="1303"/>
      <c r="B22" s="1304"/>
      <c r="C22" s="1305"/>
      <c r="D22" s="26"/>
      <c r="E22" s="28"/>
      <c r="F22" s="12" t="str">
        <f>IF(A22&lt;&gt;0,VLOOKUP(A22,Equipos,6,FALSE),$J$1)</f>
        <v>-</v>
      </c>
      <c r="G22" s="14"/>
      <c r="H22" s="8" t="str">
        <f>IF(A22&lt;&gt;0,ROUND((F22/D22)*G22,2),$J$1)</f>
        <v>-</v>
      </c>
      <c r="I22" s="69"/>
    </row>
    <row r="23" spans="1:9" x14ac:dyDescent="0.2">
      <c r="A23" s="1303"/>
      <c r="B23" s="1304"/>
      <c r="C23" s="1305"/>
      <c r="D23" s="451"/>
      <c r="E23" s="28"/>
      <c r="F23" s="12" t="str">
        <f>IF(A23&lt;&gt;0,VLOOKUP(A23,Equipos,6,FALSE),$J$1)</f>
        <v>-</v>
      </c>
      <c r="G23" s="14"/>
      <c r="H23" s="8" t="str">
        <f>IF(A23&lt;&gt;0,ROUND((F23*D23)*G23,2),$J$1)</f>
        <v>-</v>
      </c>
      <c r="I23" s="69"/>
    </row>
    <row r="24" spans="1:9" ht="12.75" customHeight="1" x14ac:dyDescent="0.2">
      <c r="A24" s="1303"/>
      <c r="B24" s="1304"/>
      <c r="C24" s="1305"/>
      <c r="D24" s="451"/>
      <c r="E24" s="28"/>
      <c r="F24" s="12" t="str">
        <f>IF(A24&lt;&gt;0,VLOOKUP(A24,Equipos,6,FALSE),$J$1)</f>
        <v>-</v>
      </c>
      <c r="G24" s="14"/>
      <c r="H24" s="8" t="str">
        <f>IF(A24&lt;&gt;0,ROUND((F24*D24)*G24,2),$J$1)</f>
        <v>-</v>
      </c>
      <c r="I24" s="69"/>
    </row>
    <row r="25" spans="1:9" x14ac:dyDescent="0.2">
      <c r="A25" s="1299"/>
      <c r="B25" s="1300"/>
      <c r="C25" s="1301"/>
      <c r="D25" s="26"/>
      <c r="E25" s="28"/>
      <c r="F25" s="12" t="str">
        <f t="shared" si="3"/>
        <v>-</v>
      </c>
      <c r="G25" s="14"/>
      <c r="H25" s="8" t="str">
        <f>IF(A25&lt;&gt;0,ROUND((F25/D25)*G25,2),$J$1)</f>
        <v>-</v>
      </c>
      <c r="I25" s="69"/>
    </row>
    <row r="26" spans="1:9" x14ac:dyDescent="0.2">
      <c r="A26" s="1215"/>
      <c r="B26" s="1216"/>
      <c r="C26" s="1217"/>
      <c r="D26" s="26"/>
      <c r="E26" s="28"/>
      <c r="F26" s="12" t="str">
        <f t="shared" si="3"/>
        <v>-</v>
      </c>
      <c r="G26" s="14"/>
      <c r="H26" s="8" t="str">
        <f>IF(A26&lt;&gt;0,ROUND((F26/D26)*G26,2),$J$1)</f>
        <v>-</v>
      </c>
      <c r="I26" s="73"/>
    </row>
    <row r="27" spans="1:9" x14ac:dyDescent="0.2">
      <c r="A27" s="850" t="s">
        <v>2221</v>
      </c>
      <c r="B27" s="872"/>
      <c r="C27" s="872"/>
      <c r="D27" s="872"/>
      <c r="E27" s="872"/>
      <c r="F27" s="872"/>
      <c r="G27" s="872"/>
      <c r="H27" s="873"/>
      <c r="I27" s="241">
        <f>SUM(H21:H26)</f>
        <v>132.5</v>
      </c>
    </row>
    <row r="28" spans="1:9" x14ac:dyDescent="0.2">
      <c r="A28" s="76"/>
      <c r="B28" s="27"/>
      <c r="C28" s="27"/>
      <c r="D28" s="27"/>
      <c r="E28" s="27"/>
      <c r="F28" s="27"/>
      <c r="G28" s="27"/>
      <c r="H28" s="27"/>
      <c r="I28" s="64"/>
    </row>
    <row r="29" spans="1:9" x14ac:dyDescent="0.2">
      <c r="A29" s="875" t="s">
        <v>2222</v>
      </c>
      <c r="B29" s="876"/>
      <c r="C29" s="876"/>
      <c r="D29" s="876"/>
      <c r="E29" s="876"/>
      <c r="F29" s="876"/>
      <c r="G29" s="876"/>
      <c r="H29" s="876"/>
      <c r="I29" s="877"/>
    </row>
    <row r="30" spans="1:9" s="9" customFormat="1" ht="25.5" x14ac:dyDescent="0.2">
      <c r="A30" s="250" t="s">
        <v>26</v>
      </c>
      <c r="B30" s="251"/>
      <c r="C30" s="252"/>
      <c r="D30" s="253" t="s">
        <v>2223</v>
      </c>
      <c r="E30" s="254"/>
      <c r="F30" s="881" t="s">
        <v>2224</v>
      </c>
      <c r="G30" s="881" t="s">
        <v>2225</v>
      </c>
      <c r="H30" s="257" t="s">
        <v>2216</v>
      </c>
      <c r="I30" s="72"/>
    </row>
    <row r="31" spans="1:9" x14ac:dyDescent="0.2">
      <c r="A31" s="890"/>
      <c r="B31" s="1105" t="s">
        <v>2226</v>
      </c>
      <c r="C31" s="1104"/>
      <c r="D31" s="46"/>
      <c r="E31" s="47"/>
      <c r="F31" s="15"/>
      <c r="G31" s="12"/>
      <c r="H31" s="8"/>
      <c r="I31" s="343">
        <f>SUM(H32:H34)</f>
        <v>0</v>
      </c>
    </row>
    <row r="32" spans="1:9" x14ac:dyDescent="0.2">
      <c r="A32" s="1215"/>
      <c r="B32" s="1216"/>
      <c r="C32" s="1217"/>
      <c r="D32" s="46" t="str">
        <f>IF(A32&lt;&gt;0,VLOOKUP(A32,Transporte,8,FALSE),$J$1)</f>
        <v>-</v>
      </c>
      <c r="E32" s="47"/>
      <c r="F32" s="15" t="str">
        <f t="shared" ref="F32:F37" si="4">IF(A32&lt;&gt;0,VLOOKUP(A32,Transporte,2,FALSE),$J$1)</f>
        <v>-</v>
      </c>
      <c r="G32" s="12"/>
      <c r="H32" s="8" t="str">
        <f t="shared" ref="H32:H37" si="5">IF(A32&lt;&gt;0,D32/F32*G32,$J$1)</f>
        <v>-</v>
      </c>
      <c r="I32" s="344"/>
    </row>
    <row r="33" spans="1:9" x14ac:dyDescent="0.2">
      <c r="A33" s="1215"/>
      <c r="B33" s="1216"/>
      <c r="C33" s="1217"/>
      <c r="D33" s="46" t="str">
        <f>IF(A33&lt;&gt;0,VLOOKUP(A33,Transporte,8,FALSE),$J$1)</f>
        <v>-</v>
      </c>
      <c r="E33" s="47"/>
      <c r="F33" s="15" t="str">
        <f t="shared" si="4"/>
        <v>-</v>
      </c>
      <c r="G33" s="12"/>
      <c r="H33" s="8" t="str">
        <f t="shared" si="5"/>
        <v>-</v>
      </c>
      <c r="I33" s="344"/>
    </row>
    <row r="34" spans="1:9" x14ac:dyDescent="0.2">
      <c r="A34" s="1215"/>
      <c r="B34" s="1216"/>
      <c r="C34" s="1217"/>
      <c r="D34" s="46"/>
      <c r="E34" s="47"/>
      <c r="F34" s="15" t="str">
        <f t="shared" si="4"/>
        <v>-</v>
      </c>
      <c r="G34" s="12"/>
      <c r="H34" s="8" t="str">
        <f t="shared" si="5"/>
        <v>-</v>
      </c>
      <c r="I34" s="345"/>
    </row>
    <row r="35" spans="1:9" x14ac:dyDescent="0.2">
      <c r="A35" s="871"/>
      <c r="B35" s="1105" t="s">
        <v>2227</v>
      </c>
      <c r="C35" s="1104"/>
      <c r="D35" s="46"/>
      <c r="E35" s="47"/>
      <c r="F35" s="15"/>
      <c r="G35" s="12"/>
      <c r="H35" s="8"/>
      <c r="I35" s="343">
        <f>SUM(H36:H37)</f>
        <v>0</v>
      </c>
    </row>
    <row r="36" spans="1:9" x14ac:dyDescent="0.2">
      <c r="A36" s="1215"/>
      <c r="B36" s="1216"/>
      <c r="C36" s="1217"/>
      <c r="D36" s="46" t="str">
        <f>IF(A25&lt;&gt;0,VLOOKUP(A36,Transporte,8,FALSE),$J$1)</f>
        <v>-</v>
      </c>
      <c r="E36" s="47"/>
      <c r="F36" s="15" t="str">
        <f t="shared" si="4"/>
        <v>-</v>
      </c>
      <c r="G36" s="12"/>
      <c r="H36" s="8" t="str">
        <f t="shared" si="5"/>
        <v>-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>-</v>
      </c>
      <c r="E37" s="47"/>
      <c r="F37" s="15" t="str">
        <f t="shared" si="4"/>
        <v>-</v>
      </c>
      <c r="G37" s="12"/>
      <c r="H37" s="8" t="str">
        <f t="shared" si="5"/>
        <v>-</v>
      </c>
      <c r="I37" s="73"/>
    </row>
    <row r="38" spans="1:9" x14ac:dyDescent="0.2">
      <c r="A38" s="1084" t="s">
        <v>2228</v>
      </c>
      <c r="B38" s="1216"/>
      <c r="C38" s="1216"/>
      <c r="D38" s="1216"/>
      <c r="E38" s="1216"/>
      <c r="F38" s="1216"/>
      <c r="G38" s="1216"/>
      <c r="H38" s="1217"/>
      <c r="I38" s="241">
        <f>SUM(I31:I37)</f>
        <v>0</v>
      </c>
    </row>
    <row r="39" spans="1:9" x14ac:dyDescent="0.2">
      <c r="A39" s="1086"/>
      <c r="B39" s="1087"/>
      <c r="C39" s="1087"/>
      <c r="D39" s="1087"/>
      <c r="E39" s="1087"/>
      <c r="F39" s="1087"/>
      <c r="G39" s="1087"/>
      <c r="H39" s="1087"/>
      <c r="I39" s="1088"/>
    </row>
    <row r="40" spans="1:9" x14ac:dyDescent="0.2">
      <c r="A40" s="1200" t="s">
        <v>554</v>
      </c>
      <c r="B40" s="1201"/>
      <c r="C40" s="1201"/>
      <c r="D40" s="1201"/>
      <c r="E40" s="1201"/>
      <c r="F40" s="1201"/>
      <c r="G40" s="1201"/>
      <c r="H40" s="1201"/>
      <c r="I40" s="1202"/>
    </row>
    <row r="41" spans="1:9" s="9" customFormat="1" ht="25.5" x14ac:dyDescent="0.2">
      <c r="A41" s="1229" t="s">
        <v>2229</v>
      </c>
      <c r="B41" s="1230"/>
      <c r="C41" s="1231"/>
      <c r="D41" s="1223" t="s">
        <v>2230</v>
      </c>
      <c r="E41" s="1224"/>
      <c r="F41" s="1223" t="s">
        <v>2218</v>
      </c>
      <c r="G41" s="1224"/>
      <c r="H41" s="257" t="s">
        <v>2216</v>
      </c>
      <c r="I41" s="72"/>
    </row>
    <row r="42" spans="1:9" x14ac:dyDescent="0.2">
      <c r="A42" s="1215" t="s">
        <v>49</v>
      </c>
      <c r="B42" s="1216"/>
      <c r="C42" s="1217"/>
      <c r="D42" s="1225">
        <f>IF(A42&lt;&gt;0,VLOOKUP(A42,Cuadrillas,7,FALSE),$J$1)</f>
        <v>432095.84</v>
      </c>
      <c r="E42" s="1226"/>
      <c r="F42" s="1221">
        <v>100</v>
      </c>
      <c r="G42" s="1222"/>
      <c r="H42" s="8">
        <f>IF(A42&lt;&gt;0,ROUND(D42/F42,2),$J$1)</f>
        <v>4320.96</v>
      </c>
      <c r="I42" s="69"/>
    </row>
    <row r="43" spans="1:9" x14ac:dyDescent="0.2">
      <c r="A43" s="1215"/>
      <c r="B43" s="1216"/>
      <c r="C43" s="1217"/>
      <c r="D43" s="1225" t="str">
        <f>IF(A43&lt;&gt;0,VLOOKUP(A43,Cuadrillas,7,FALSE),$J$1)</f>
        <v>-</v>
      </c>
      <c r="E43" s="1226"/>
      <c r="F43" s="1221"/>
      <c r="G43" s="1222"/>
      <c r="H43" s="8" t="str">
        <f>IF(A43&lt;&gt;0,ROUND(D43/F43,2),$J$1)</f>
        <v>-</v>
      </c>
      <c r="I43" s="69"/>
    </row>
    <row r="44" spans="1:9" x14ac:dyDescent="0.2">
      <c r="A44" s="1215"/>
      <c r="B44" s="1216"/>
      <c r="C44" s="1217"/>
      <c r="D44" s="1225" t="str">
        <f>IF(A44&lt;&gt;0,VLOOKUP(A44,Cuadrillas,7,FALSE),$J$1)</f>
        <v>-</v>
      </c>
      <c r="E44" s="1226"/>
      <c r="F44" s="1221"/>
      <c r="G44" s="1222"/>
      <c r="H44" s="8" t="str">
        <f>IF(A44&lt;&gt;0,ROUND(D44/F44,2),$J$1)</f>
        <v>-</v>
      </c>
      <c r="I44" s="69"/>
    </row>
    <row r="45" spans="1:9" x14ac:dyDescent="0.2">
      <c r="A45" s="1215"/>
      <c r="B45" s="1216"/>
      <c r="C45" s="1217"/>
      <c r="D45" s="1225" t="str">
        <f>IF(A45&lt;&gt;0,VLOOKUP(A45,Cuadrillas,7,FALSE),$J$1)</f>
        <v>-</v>
      </c>
      <c r="E45" s="1226"/>
      <c r="F45" s="1221"/>
      <c r="G45" s="1222"/>
      <c r="H45" s="8" t="str">
        <f>IF(A45&lt;&gt;0,ROUND(D45/F45,2),$J$1)</f>
        <v>-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73"/>
    </row>
    <row r="47" spans="1:9" x14ac:dyDescent="0.2">
      <c r="A47" s="1084" t="s">
        <v>2231</v>
      </c>
      <c r="B47" s="1085"/>
      <c r="C47" s="1085"/>
      <c r="D47" s="1085"/>
      <c r="E47" s="1085"/>
      <c r="F47" s="1085"/>
      <c r="G47" s="1085"/>
      <c r="H47" s="1133"/>
      <c r="I47" s="240">
        <f>SUM(H42:H46)</f>
        <v>4320.96</v>
      </c>
    </row>
    <row r="48" spans="1:9" x14ac:dyDescent="0.2">
      <c r="A48" s="1086"/>
      <c r="B48" s="1087"/>
      <c r="C48" s="1087"/>
      <c r="D48" s="1087"/>
      <c r="E48" s="1087"/>
      <c r="F48" s="1087"/>
      <c r="G48" s="1087"/>
      <c r="H48" s="1087"/>
      <c r="I48" s="1088"/>
    </row>
    <row r="49" spans="1:9" x14ac:dyDescent="0.2">
      <c r="A49" s="1089" t="s">
        <v>2232</v>
      </c>
      <c r="B49" s="1090"/>
      <c r="C49" s="1090"/>
      <c r="D49" s="1090"/>
      <c r="E49" s="1090"/>
      <c r="F49" s="1090"/>
      <c r="G49" s="1090"/>
      <c r="H49" s="1090"/>
      <c r="I49" s="237" t="e">
        <f>I17+I27+I38</f>
        <v>#REF!</v>
      </c>
    </row>
    <row r="50" spans="1:9" ht="13.5" thickBot="1" x14ac:dyDescent="0.25">
      <c r="A50" s="1193" t="s">
        <v>2233</v>
      </c>
      <c r="B50" s="1194"/>
      <c r="C50" s="1194"/>
      <c r="D50" s="1194"/>
      <c r="E50" s="1194"/>
      <c r="F50" s="1194"/>
      <c r="G50" s="1194"/>
      <c r="H50" s="1194"/>
      <c r="I50" s="238">
        <f>I47</f>
        <v>4320.96</v>
      </c>
    </row>
    <row r="51" spans="1:9" s="9" customFormat="1" ht="25.5" customHeight="1" thickTop="1" thickBot="1" x14ac:dyDescent="0.25">
      <c r="A51" s="1195" t="s">
        <v>2234</v>
      </c>
      <c r="B51" s="1196"/>
      <c r="C51" s="1196"/>
      <c r="D51" s="1196"/>
      <c r="E51" s="1196"/>
      <c r="F51" s="1196"/>
      <c r="G51" s="1196"/>
      <c r="H51" s="258"/>
      <c r="I51" s="239" t="e">
        <f>I49+I50</f>
        <v>#REF!</v>
      </c>
    </row>
    <row r="52" spans="1:9" s="9" customFormat="1" ht="25.5" customHeight="1" thickTop="1" thickBot="1" x14ac:dyDescent="0.25">
      <c r="A52" s="1095" t="s">
        <v>10</v>
      </c>
      <c r="B52" s="1096"/>
      <c r="C52" s="1232"/>
      <c r="D52" s="1097">
        <f>+'Datos entrada'!B7</f>
        <v>0.3</v>
      </c>
      <c r="E52" s="1098"/>
      <c r="F52" s="1233" t="e">
        <f>I51*D52</f>
        <v>#REF!</v>
      </c>
      <c r="G52" s="1099"/>
      <c r="H52" s="1099"/>
      <c r="I52" s="1100"/>
    </row>
    <row r="53" spans="1:9" s="9" customFormat="1" ht="25.5" customHeight="1" thickTop="1" thickBot="1" x14ac:dyDescent="0.25">
      <c r="A53" s="1095" t="s">
        <v>2236</v>
      </c>
      <c r="B53" s="1096"/>
      <c r="C53" s="1096"/>
      <c r="D53" s="1096"/>
      <c r="E53" s="1096"/>
      <c r="F53" s="1096"/>
      <c r="G53" s="1096"/>
      <c r="H53" s="1191" t="e">
        <f>I51+F52</f>
        <v>#REF!</v>
      </c>
      <c r="I53" s="1192"/>
    </row>
    <row r="54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2">
    <mergeCell ref="A24:C24"/>
    <mergeCell ref="A1:C1"/>
    <mergeCell ref="H1:I1"/>
    <mergeCell ref="C5:I5"/>
    <mergeCell ref="A8:C8"/>
    <mergeCell ref="A9:C9"/>
    <mergeCell ref="A10:C10"/>
    <mergeCell ref="A12:C12"/>
    <mergeCell ref="A13:C13"/>
    <mergeCell ref="A21:C21"/>
    <mergeCell ref="A22:C22"/>
    <mergeCell ref="A23:C23"/>
    <mergeCell ref="A40:I40"/>
    <mergeCell ref="A25:C25"/>
    <mergeCell ref="A26:C26"/>
    <mergeCell ref="B31:C31"/>
    <mergeCell ref="A32:C32"/>
    <mergeCell ref="A33:C33"/>
    <mergeCell ref="A34:C34"/>
    <mergeCell ref="B35:C35"/>
    <mergeCell ref="A36:C36"/>
    <mergeCell ref="A37:C37"/>
    <mergeCell ref="A38:H38"/>
    <mergeCell ref="A39:I39"/>
    <mergeCell ref="A41:C41"/>
    <mergeCell ref="D41:E41"/>
    <mergeCell ref="F41:G41"/>
    <mergeCell ref="A42:C42"/>
    <mergeCell ref="D42:E42"/>
    <mergeCell ref="F42:G42"/>
    <mergeCell ref="A43:C43"/>
    <mergeCell ref="D43:E43"/>
    <mergeCell ref="F43:G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53:G53"/>
    <mergeCell ref="H53:I53"/>
    <mergeCell ref="A47:H47"/>
    <mergeCell ref="A48:I48"/>
    <mergeCell ref="A49:H49"/>
    <mergeCell ref="A50:H50"/>
    <mergeCell ref="A51:G51"/>
    <mergeCell ref="A52:C52"/>
    <mergeCell ref="D52:E52"/>
    <mergeCell ref="F52:I52"/>
  </mergeCells>
  <dataValidations count="4">
    <dataValidation type="list" allowBlank="1" showInputMessage="1" showErrorMessage="1" sqref="A42:C46">
      <formula1>Descrip_cuadrillas</formula1>
    </dataValidation>
    <dataValidation type="list" allowBlank="1" showInputMessage="1" showErrorMessage="1" sqref="A31:A37">
      <formula1>Descrip_transporte</formula1>
    </dataValidation>
    <dataValidation type="list" allowBlank="1" showInputMessage="1" showErrorMessage="1" sqref="A21:A26">
      <formula1>Descrip_equipos</formula1>
    </dataValidation>
    <dataValidation type="list" allowBlank="1" showInputMessage="1" showErrorMessage="1" sqref="A8:A16 B14:C16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4">
    <tabColor rgb="FF74FCFC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293</v>
      </c>
      <c r="B8" s="1081"/>
      <c r="C8" s="1081"/>
      <c r="D8" s="844" t="e">
        <f t="shared" ref="D8:D18" si="0">IF(A8&lt;&gt;0,VLOOKUP(A8,Materiales,2,FALSE),$J$1)</f>
        <v>#REF!</v>
      </c>
      <c r="E8" s="13">
        <v>0.04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281</v>
      </c>
      <c r="B9" s="1284"/>
      <c r="C9" s="1284"/>
      <c r="D9" s="844" t="e">
        <f t="shared" si="0"/>
        <v>#REF!</v>
      </c>
      <c r="E9" s="12">
        <v>1.05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0.5</v>
      </c>
      <c r="E23" s="33"/>
      <c r="F23" s="12">
        <f t="shared" ref="F23:F29" si="3">IF(A23&lt;&gt;0,VLOOKUP(A23,Equipos,6,FALSE),$J$1)</f>
        <v>3710</v>
      </c>
      <c r="G23" s="457">
        <v>1.4999999999999999E-2</v>
      </c>
      <c r="H23" s="7">
        <f t="shared" ref="H23:H29" si="4">IF(A23&lt;&gt;0,ROUND((F23/D23)*G23,2),$J$1)</f>
        <v>111.3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111.3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71"/>
      <c r="B35" s="872"/>
      <c r="C35" s="873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71"/>
      <c r="B36" s="872"/>
      <c r="C36" s="873"/>
      <c r="D36" s="46" t="str">
        <f>IF(A25&lt;&gt;0,VLOOKUP(A36,Transporte,8,FALSE),$J$1)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71"/>
      <c r="B37" s="872"/>
      <c r="C37" s="873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48</v>
      </c>
      <c r="B45" s="1081"/>
      <c r="C45" s="1081"/>
      <c r="D45" s="1082">
        <f>IF(A45&lt;&gt;0,VLOOKUP(A45,Cuadrillas,7,FALSE),$J$1)</f>
        <v>329249.03000000003</v>
      </c>
      <c r="E45" s="1082"/>
      <c r="F45" s="1083">
        <v>45</v>
      </c>
      <c r="G45" s="1083"/>
      <c r="H45" s="7">
        <f>IF(A45&lt;&gt;0,ROUND(D45/F45,2),$J$1)</f>
        <v>7316.65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2">
        <f>SUM(H45:H49)</f>
        <v>7316.65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7316.65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7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2337</v>
      </c>
      <c r="B8" s="1081"/>
      <c r="C8" s="1081"/>
      <c r="D8" s="844" t="e">
        <f t="shared" ref="D8:D18" si="0">IF(A8&lt;&gt;0,VLOOKUP(A8,Materiales,2,FALSE),$J$1)</f>
        <v>#REF!</v>
      </c>
      <c r="E8" s="12">
        <v>1.01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157</v>
      </c>
      <c r="B9" s="1284"/>
      <c r="C9" s="1284"/>
      <c r="D9" s="844" t="e">
        <f t="shared" si="0"/>
        <v>#REF!</v>
      </c>
      <c r="E9" s="12">
        <v>0.16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214</v>
      </c>
      <c r="B10" s="1081"/>
      <c r="C10" s="1081"/>
      <c r="D10" s="844" t="e">
        <f t="shared" si="0"/>
        <v>#REF!</v>
      </c>
      <c r="E10" s="12">
        <v>1.1000000000000001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 t="s">
        <v>496</v>
      </c>
      <c r="B24" s="1081"/>
      <c r="C24" s="1081"/>
      <c r="D24" s="33">
        <v>1</v>
      </c>
      <c r="E24" s="33"/>
      <c r="F24" s="12">
        <f t="shared" si="3"/>
        <v>63600</v>
      </c>
      <c r="G24" s="14">
        <v>0.05</v>
      </c>
      <c r="H24" s="7">
        <f t="shared" si="4"/>
        <v>3180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3375.26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40</v>
      </c>
      <c r="G45" s="1083"/>
      <c r="H45" s="7">
        <f>IF(A45&lt;&gt;0,ROUND(D45/F45,2),$J$1)</f>
        <v>5234.25</v>
      </c>
      <c r="I45" s="69"/>
    </row>
    <row r="46" spans="1:9" x14ac:dyDescent="0.2">
      <c r="A46" s="1080" t="s">
        <v>39</v>
      </c>
      <c r="B46" s="1081"/>
      <c r="C46" s="1081"/>
      <c r="D46" s="1082">
        <f>IF(A46&lt;&gt;0,VLOOKUP(A46,Cuadrillas,7,FALSE),$J$1)</f>
        <v>154270.22</v>
      </c>
      <c r="E46" s="1082"/>
      <c r="F46" s="1083">
        <v>30</v>
      </c>
      <c r="G46" s="1083"/>
      <c r="H46" s="7">
        <f>IF(A46&lt;&gt;0,ROUND(D46/F46,2),$J$1)</f>
        <v>5142.34</v>
      </c>
      <c r="I46" s="69"/>
    </row>
    <row r="47" spans="1:9" x14ac:dyDescent="0.2">
      <c r="A47" s="1080" t="s">
        <v>42</v>
      </c>
      <c r="B47" s="1081"/>
      <c r="C47" s="1081"/>
      <c r="D47" s="1082">
        <f>IF(A47&lt;&gt;0,VLOOKUP(A47,Cuadrillas,7,FALSE),$J$1)</f>
        <v>51423.41</v>
      </c>
      <c r="E47" s="1082"/>
      <c r="F47" s="1083">
        <v>15</v>
      </c>
      <c r="G47" s="1083"/>
      <c r="H47" s="7">
        <f>IF(A47&lt;&gt;0,ROUND(D47/F47,2),$J$1)</f>
        <v>3428.23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13804.82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13804.82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6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2338</v>
      </c>
      <c r="B8" s="1081"/>
      <c r="C8" s="1081"/>
      <c r="D8" s="844" t="e">
        <f t="shared" ref="D8:D18" si="0">IF(A8&lt;&gt;0,VLOOKUP(A8,Materiales,2,FALSE),$J$1)</f>
        <v>#REF!</v>
      </c>
      <c r="E8" s="12">
        <v>1.01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157</v>
      </c>
      <c r="B9" s="1284"/>
      <c r="C9" s="1284"/>
      <c r="D9" s="844" t="e">
        <f t="shared" si="0"/>
        <v>#REF!</v>
      </c>
      <c r="E9" s="12">
        <v>0.16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214</v>
      </c>
      <c r="B10" s="1081"/>
      <c r="C10" s="1081"/>
      <c r="D10" s="844" t="e">
        <f t="shared" si="0"/>
        <v>#REF!</v>
      </c>
      <c r="E10" s="12">
        <v>1.1000000000000001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 t="s">
        <v>496</v>
      </c>
      <c r="B24" s="1081"/>
      <c r="C24" s="1081"/>
      <c r="D24" s="33">
        <v>1</v>
      </c>
      <c r="E24" s="33"/>
      <c r="F24" s="12">
        <f t="shared" si="3"/>
        <v>63600</v>
      </c>
      <c r="G24" s="14">
        <v>0.05</v>
      </c>
      <c r="H24" s="7">
        <f t="shared" si="4"/>
        <v>3180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3375.26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40</v>
      </c>
      <c r="G45" s="1083"/>
      <c r="H45" s="7">
        <f>IF(A45&lt;&gt;0,ROUND(D45/F45,2),$J$1)</f>
        <v>5234.25</v>
      </c>
      <c r="I45" s="69"/>
    </row>
    <row r="46" spans="1:9" x14ac:dyDescent="0.2">
      <c r="A46" s="1080" t="s">
        <v>39</v>
      </c>
      <c r="B46" s="1081"/>
      <c r="C46" s="1081"/>
      <c r="D46" s="1082">
        <f>IF(A46&lt;&gt;0,VLOOKUP(A46,Cuadrillas,7,FALSE),$J$1)</f>
        <v>154270.22</v>
      </c>
      <c r="E46" s="1082"/>
      <c r="F46" s="1083">
        <v>30</v>
      </c>
      <c r="G46" s="1083"/>
      <c r="H46" s="7">
        <f>IF(A46&lt;&gt;0,ROUND(D46/F46,2),$J$1)</f>
        <v>5142.34</v>
      </c>
      <c r="I46" s="69"/>
    </row>
    <row r="47" spans="1:9" x14ac:dyDescent="0.2">
      <c r="A47" s="1080" t="s">
        <v>42</v>
      </c>
      <c r="B47" s="1081"/>
      <c r="C47" s="1081"/>
      <c r="D47" s="1082">
        <f>IF(A47&lt;&gt;0,VLOOKUP(A47,Cuadrillas,7,FALSE),$J$1)</f>
        <v>51423.41</v>
      </c>
      <c r="E47" s="1082"/>
      <c r="F47" s="1083">
        <v>15</v>
      </c>
      <c r="G47" s="1083"/>
      <c r="H47" s="7">
        <f>IF(A47&lt;&gt;0,ROUND(D47/F47,2),$J$1)</f>
        <v>3428.23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13804.82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13804.82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7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2339</v>
      </c>
      <c r="B8" s="1081"/>
      <c r="C8" s="1081"/>
      <c r="D8" s="844" t="e">
        <f t="shared" ref="D8:D18" si="0">IF(A8&lt;&gt;0,VLOOKUP(A8,Materiales,2,FALSE),$J$1)</f>
        <v>#REF!</v>
      </c>
      <c r="E8" s="12">
        <v>1.01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157</v>
      </c>
      <c r="B9" s="1284"/>
      <c r="C9" s="1284"/>
      <c r="D9" s="844" t="e">
        <f t="shared" si="0"/>
        <v>#REF!</v>
      </c>
      <c r="E9" s="12">
        <v>0.2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214</v>
      </c>
      <c r="B10" s="1081"/>
      <c r="C10" s="1081"/>
      <c r="D10" s="844" t="e">
        <f t="shared" si="0"/>
        <v>#REF!</v>
      </c>
      <c r="E10" s="12">
        <v>1.1000000000000001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 t="s">
        <v>496</v>
      </c>
      <c r="B24" s="1081"/>
      <c r="C24" s="1081"/>
      <c r="D24" s="33">
        <v>1</v>
      </c>
      <c r="E24" s="33"/>
      <c r="F24" s="12">
        <f t="shared" si="3"/>
        <v>63600</v>
      </c>
      <c r="G24" s="14">
        <v>0.05</v>
      </c>
      <c r="H24" s="7">
        <f t="shared" si="4"/>
        <v>3180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3375.26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40</v>
      </c>
      <c r="G45" s="1083"/>
      <c r="H45" s="7">
        <f>IF(A45&lt;&gt;0,ROUND(D45/F45,2),$J$1)</f>
        <v>5234.25</v>
      </c>
      <c r="I45" s="69"/>
    </row>
    <row r="46" spans="1:9" x14ac:dyDescent="0.2">
      <c r="A46" s="1080" t="s">
        <v>39</v>
      </c>
      <c r="B46" s="1081"/>
      <c r="C46" s="1081"/>
      <c r="D46" s="1082">
        <f>IF(A46&lt;&gt;0,VLOOKUP(A46,Cuadrillas,7,FALSE),$J$1)</f>
        <v>154270.22</v>
      </c>
      <c r="E46" s="1082"/>
      <c r="F46" s="1083">
        <v>28</v>
      </c>
      <c r="G46" s="1083"/>
      <c r="H46" s="7">
        <f>IF(A46&lt;&gt;0,ROUND(D46/F46,2),$J$1)</f>
        <v>5509.65</v>
      </c>
      <c r="I46" s="69"/>
    </row>
    <row r="47" spans="1:9" x14ac:dyDescent="0.2">
      <c r="A47" s="1080" t="s">
        <v>42</v>
      </c>
      <c r="B47" s="1081"/>
      <c r="C47" s="1081"/>
      <c r="D47" s="1082">
        <f>IF(A47&lt;&gt;0,VLOOKUP(A47,Cuadrillas,7,FALSE),$J$1)</f>
        <v>51423.41</v>
      </c>
      <c r="E47" s="1082"/>
      <c r="F47" s="1083">
        <v>14</v>
      </c>
      <c r="G47" s="1083"/>
      <c r="H47" s="7">
        <f>IF(A47&lt;&gt;0,ROUND(D47/F47,2),$J$1)</f>
        <v>3673.1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14417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14417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8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2340</v>
      </c>
      <c r="B8" s="1081"/>
      <c r="C8" s="1081"/>
      <c r="D8" s="844" t="e">
        <f t="shared" ref="D8:D18" si="0">IF(A8&lt;&gt;0,VLOOKUP(A8,Materiales,2,FALSE),$J$1)</f>
        <v>#REF!</v>
      </c>
      <c r="E8" s="12">
        <v>1.01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157</v>
      </c>
      <c r="B9" s="1284"/>
      <c r="C9" s="1284"/>
      <c r="D9" s="844" t="e">
        <f t="shared" si="0"/>
        <v>#REF!</v>
      </c>
      <c r="E9" s="12">
        <v>0.25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214</v>
      </c>
      <c r="B10" s="1081"/>
      <c r="C10" s="1081"/>
      <c r="D10" s="844" t="e">
        <f t="shared" si="0"/>
        <v>#REF!</v>
      </c>
      <c r="E10" s="12">
        <v>1.1000000000000001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 t="s">
        <v>496</v>
      </c>
      <c r="B24" s="1081"/>
      <c r="C24" s="1081"/>
      <c r="D24" s="33">
        <v>1</v>
      </c>
      <c r="E24" s="33"/>
      <c r="F24" s="12">
        <f t="shared" si="3"/>
        <v>63600</v>
      </c>
      <c r="G24" s="14">
        <v>0.05</v>
      </c>
      <c r="H24" s="7">
        <f t="shared" si="4"/>
        <v>3180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3375.26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35</v>
      </c>
      <c r="G45" s="1083"/>
      <c r="H45" s="7">
        <f>IF(A45&lt;&gt;0,ROUND(D45/F45,2),$J$1)</f>
        <v>5982</v>
      </c>
      <c r="I45" s="69"/>
    </row>
    <row r="46" spans="1:9" x14ac:dyDescent="0.2">
      <c r="A46" s="1080" t="s">
        <v>39</v>
      </c>
      <c r="B46" s="1081"/>
      <c r="C46" s="1081"/>
      <c r="D46" s="1082">
        <f>IF(A46&lt;&gt;0,VLOOKUP(A46,Cuadrillas,7,FALSE),$J$1)</f>
        <v>154270.22</v>
      </c>
      <c r="E46" s="1082"/>
      <c r="F46" s="1083">
        <v>25</v>
      </c>
      <c r="G46" s="1083"/>
      <c r="H46" s="7">
        <f>IF(A46&lt;&gt;0,ROUND(D46/F46,2),$J$1)</f>
        <v>6170.81</v>
      </c>
      <c r="I46" s="69"/>
    </row>
    <row r="47" spans="1:9" x14ac:dyDescent="0.2">
      <c r="A47" s="1080" t="s">
        <v>42</v>
      </c>
      <c r="B47" s="1081"/>
      <c r="C47" s="1081"/>
      <c r="D47" s="1082">
        <f>IF(A47&lt;&gt;0,VLOOKUP(A47,Cuadrillas,7,FALSE),$J$1)</f>
        <v>51423.41</v>
      </c>
      <c r="E47" s="1082"/>
      <c r="F47" s="1083">
        <v>10</v>
      </c>
      <c r="G47" s="1083"/>
      <c r="H47" s="7">
        <f>IF(A47&lt;&gt;0,ROUND(D47/F47,2),$J$1)</f>
        <v>5142.34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17295.150000000001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17295.150000000001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9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112</v>
      </c>
      <c r="B8" s="1081"/>
      <c r="C8" s="1081"/>
      <c r="D8" s="844" t="e">
        <f t="shared" ref="D8:D18" si="0">IF(A8&lt;&gt;0,VLOOKUP(A8,Materiales,2,FALSE),$J$1)</f>
        <v>#REF!</v>
      </c>
      <c r="E8" s="12">
        <v>1.01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/>
      <c r="B9" s="1284"/>
      <c r="C9" s="1284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0.5</v>
      </c>
      <c r="H23" s="7">
        <f t="shared" ref="H23:H29" si="4">IF(A23&lt;&gt;0,ROUND((F23/D23)*G23,2),$J$1)</f>
        <v>97.63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97.63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40</v>
      </c>
      <c r="G45" s="1083"/>
      <c r="H45" s="7">
        <f>IF(A45&lt;&gt;0,ROUND(D45/F45,2),$J$1)</f>
        <v>5234.25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5234.25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5234.25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2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2338</v>
      </c>
      <c r="B8" s="1081"/>
      <c r="C8" s="1081"/>
      <c r="D8" s="844" t="e">
        <f t="shared" ref="D8:D18" si="0">IF(A8&lt;&gt;0,VLOOKUP(A8,Materiales,2,FALSE),$J$1)</f>
        <v>#REF!</v>
      </c>
      <c r="E8" s="12">
        <v>1.01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157</v>
      </c>
      <c r="B9" s="1284"/>
      <c r="C9" s="1284"/>
      <c r="D9" s="844" t="e">
        <f t="shared" si="0"/>
        <v>#REF!</v>
      </c>
      <c r="E9" s="12">
        <v>0.16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214</v>
      </c>
      <c r="B10" s="1081"/>
      <c r="C10" s="1081"/>
      <c r="D10" s="844" t="e">
        <f t="shared" si="0"/>
        <v>#REF!</v>
      </c>
      <c r="E10" s="12">
        <v>1.1000000000000001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 t="s">
        <v>496</v>
      </c>
      <c r="B24" s="1081"/>
      <c r="C24" s="1081"/>
      <c r="D24" s="33">
        <v>1</v>
      </c>
      <c r="E24" s="33"/>
      <c r="F24" s="12">
        <f t="shared" si="3"/>
        <v>63600</v>
      </c>
      <c r="G24" s="14">
        <v>0.05</v>
      </c>
      <c r="H24" s="7">
        <f t="shared" si="4"/>
        <v>3180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3375.26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40</v>
      </c>
      <c r="G45" s="1083"/>
      <c r="H45" s="7">
        <f>IF(A45&lt;&gt;0,ROUND(D45/F45,2),$J$1)</f>
        <v>5234.25</v>
      </c>
      <c r="I45" s="69"/>
    </row>
    <row r="46" spans="1:9" x14ac:dyDescent="0.2">
      <c r="A46" s="1080" t="s">
        <v>39</v>
      </c>
      <c r="B46" s="1081"/>
      <c r="C46" s="1081"/>
      <c r="D46" s="1082">
        <f>IF(A46&lt;&gt;0,VLOOKUP(A46,Cuadrillas,7,FALSE),$J$1)</f>
        <v>154270.22</v>
      </c>
      <c r="E46" s="1082"/>
      <c r="F46" s="1083">
        <v>30</v>
      </c>
      <c r="G46" s="1083"/>
      <c r="H46" s="7">
        <f>IF(A46&lt;&gt;0,ROUND(D46/F46,2),$J$1)</f>
        <v>5142.34</v>
      </c>
      <c r="I46" s="69"/>
    </row>
    <row r="47" spans="1:9" x14ac:dyDescent="0.2">
      <c r="A47" s="1080" t="s">
        <v>42</v>
      </c>
      <c r="B47" s="1081"/>
      <c r="C47" s="1081"/>
      <c r="D47" s="1082">
        <f>IF(A47&lt;&gt;0,VLOOKUP(A47,Cuadrillas,7,FALSE),$J$1)</f>
        <v>51423.41</v>
      </c>
      <c r="E47" s="1082"/>
      <c r="F47" s="1083">
        <v>15</v>
      </c>
      <c r="G47" s="1083"/>
      <c r="H47" s="7">
        <f>IF(A47&lt;&gt;0,ROUND(D47/F47,2),$J$1)</f>
        <v>3428.23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13804.82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13804.82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3EDA00"/>
  </sheetPr>
  <dimension ref="A1:P28"/>
  <sheetViews>
    <sheetView view="pageBreakPreview" topLeftCell="A8" zoomScale="115" zoomScaleNormal="100" zoomScaleSheetLayoutView="115" workbookViewId="0">
      <selection activeCell="D22" sqref="D22:G22"/>
    </sheetView>
  </sheetViews>
  <sheetFormatPr baseColWidth="10" defaultColWidth="9.140625" defaultRowHeight="12.75" x14ac:dyDescent="0.2"/>
  <cols>
    <col min="1" max="1" width="29.140625" style="1" bestFit="1" customWidth="1"/>
    <col min="2" max="2" width="14.140625" style="1" customWidth="1"/>
    <col min="3" max="3" width="6.28515625" style="1" customWidth="1"/>
    <col min="4" max="4" width="3.28515625" style="1" customWidth="1"/>
    <col min="5" max="5" width="8" style="1" customWidth="1"/>
    <col min="6" max="6" width="2.5703125" style="1" customWidth="1"/>
    <col min="7" max="7" width="3.28515625" style="1" customWidth="1"/>
    <col min="8" max="8" width="12.28515625" style="1" customWidth="1"/>
    <col min="9" max="9" width="14.28515625" style="1" customWidth="1"/>
    <col min="10" max="16384" width="9.140625" style="1"/>
  </cols>
  <sheetData>
    <row r="1" spans="1:13" customFormat="1" x14ac:dyDescent="0.2">
      <c r="A1" s="166"/>
      <c r="B1" s="167"/>
      <c r="C1" s="167"/>
      <c r="D1" s="135"/>
      <c r="E1" s="168"/>
      <c r="F1" s="168"/>
      <c r="G1" s="168"/>
      <c r="H1" s="168"/>
      <c r="I1" s="135"/>
      <c r="J1" s="168"/>
      <c r="K1" s="168"/>
      <c r="L1" s="168"/>
      <c r="M1" s="169"/>
    </row>
    <row r="2" spans="1:13" customFormat="1" x14ac:dyDescent="0.2">
      <c r="A2" s="166"/>
      <c r="B2" s="167"/>
      <c r="C2" s="167"/>
      <c r="D2" s="135"/>
      <c r="E2" s="168"/>
      <c r="F2" s="168"/>
      <c r="G2" s="168"/>
      <c r="H2" s="168"/>
      <c r="I2" s="135"/>
      <c r="J2" s="168"/>
      <c r="K2" s="168"/>
      <c r="L2" s="168"/>
      <c r="M2" s="169"/>
    </row>
    <row r="3" spans="1:13" customFormat="1" x14ac:dyDescent="0.2">
      <c r="A3" s="986" t="str">
        <f>+'Datos entrada'!B8</f>
        <v>CORREGIMIENTO DE LAS MESAS-MUNICIPIO DETABLON DE GOMES (N)</v>
      </c>
      <c r="B3" s="986"/>
      <c r="C3" s="986"/>
      <c r="D3" s="986"/>
      <c r="E3" s="986"/>
      <c r="F3" s="986"/>
      <c r="G3" s="986"/>
      <c r="H3" s="986"/>
      <c r="I3" s="986"/>
      <c r="J3" s="1"/>
      <c r="K3" s="168"/>
      <c r="L3" s="168"/>
      <c r="M3" s="169"/>
    </row>
    <row r="4" spans="1:13" customFormat="1" x14ac:dyDescent="0.2">
      <c r="A4" s="187"/>
      <c r="B4" s="188"/>
      <c r="C4" s="188"/>
      <c r="D4" s="839"/>
      <c r="E4" s="839"/>
      <c r="F4" s="185"/>
      <c r="G4" s="187"/>
      <c r="H4" s="189"/>
      <c r="I4" s="189"/>
      <c r="J4" s="1"/>
      <c r="K4" s="168"/>
      <c r="L4" s="168"/>
      <c r="M4" s="169"/>
    </row>
    <row r="5" spans="1:13" customFormat="1" ht="39" customHeight="1" x14ac:dyDescent="0.2">
      <c r="A5" s="987" t="str">
        <f>+'Datos entrada'!B3</f>
        <v>OPTIMIZACIÓN Y AMPLIACIÓN DE LA RED ALCANTARILLADO DEL CORREGIMIENTO DE LAS MESAS, MUNICIPIO DE EL TABLON DE GOMEZ – DEPARTAMENTO DE NARIÑO.</v>
      </c>
      <c r="B5" s="987"/>
      <c r="C5" s="987"/>
      <c r="D5" s="987"/>
      <c r="E5" s="987"/>
      <c r="F5" s="987"/>
      <c r="G5" s="987"/>
      <c r="H5" s="987"/>
      <c r="I5" s="987"/>
      <c r="J5" s="168"/>
      <c r="K5" s="168"/>
      <c r="L5" s="168"/>
      <c r="M5" s="169"/>
    </row>
    <row r="6" spans="1:13" x14ac:dyDescent="0.2">
      <c r="A6" s="186"/>
      <c r="B6" s="186"/>
      <c r="C6" s="186"/>
      <c r="D6" s="186"/>
      <c r="E6" s="186"/>
      <c r="F6" s="186"/>
      <c r="G6" s="186"/>
      <c r="H6" s="186"/>
      <c r="I6" s="186"/>
    </row>
    <row r="7" spans="1:13" x14ac:dyDescent="0.2">
      <c r="A7" s="994" t="s">
        <v>555</v>
      </c>
      <c r="B7" s="994"/>
      <c r="C7" s="994"/>
      <c r="D7" s="994"/>
      <c r="E7" s="994"/>
      <c r="F7" s="994"/>
      <c r="G7" s="994"/>
      <c r="H7" s="994"/>
      <c r="I7" s="994"/>
    </row>
    <row r="9" spans="1:13" x14ac:dyDescent="0.2">
      <c r="A9" s="127" t="s">
        <v>2066</v>
      </c>
      <c r="B9" s="35"/>
      <c r="C9" s="35"/>
      <c r="D9" s="27"/>
      <c r="E9" s="27"/>
      <c r="F9" s="27"/>
      <c r="G9" s="27"/>
      <c r="H9" s="27"/>
      <c r="I9" s="28"/>
    </row>
    <row r="10" spans="1:13" x14ac:dyDescent="0.2">
      <c r="A10" s="127" t="s">
        <v>456</v>
      </c>
      <c r="B10" s="35"/>
      <c r="C10" s="35"/>
      <c r="D10" s="27"/>
      <c r="E10" s="28"/>
      <c r="F10" s="26">
        <v>8</v>
      </c>
      <c r="G10" s="27"/>
      <c r="H10" s="27"/>
      <c r="I10" s="851" t="s">
        <v>2067</v>
      </c>
    </row>
    <row r="11" spans="1:13" x14ac:dyDescent="0.2">
      <c r="A11" s="134" t="s">
        <v>26</v>
      </c>
      <c r="B11" s="133" t="s">
        <v>2068</v>
      </c>
      <c r="C11" s="133"/>
      <c r="D11" s="131" t="s">
        <v>2069</v>
      </c>
      <c r="E11" s="129"/>
      <c r="F11" s="129"/>
      <c r="G11" s="130"/>
      <c r="H11" s="128" t="s">
        <v>2070</v>
      </c>
      <c r="I11" s="130"/>
    </row>
    <row r="12" spans="1:13" x14ac:dyDescent="0.2">
      <c r="A12" s="33"/>
      <c r="B12" s="38" t="s">
        <v>2071</v>
      </c>
      <c r="C12" s="43" t="s">
        <v>111</v>
      </c>
      <c r="D12" s="39"/>
      <c r="E12" s="40"/>
      <c r="F12" s="40"/>
      <c r="G12" s="41"/>
      <c r="H12" s="42"/>
      <c r="I12" s="41"/>
    </row>
    <row r="13" spans="1:13" ht="27.75" customHeight="1" x14ac:dyDescent="0.2">
      <c r="A13" s="163" t="s">
        <v>2072</v>
      </c>
      <c r="B13" s="4">
        <v>6</v>
      </c>
      <c r="C13" s="49" t="s">
        <v>155</v>
      </c>
      <c r="D13" s="1074">
        <v>32000</v>
      </c>
      <c r="E13" s="1075"/>
      <c r="F13" s="1075"/>
      <c r="G13" s="1076"/>
      <c r="H13" s="1077">
        <f t="shared" ref="H13" si="0">D13*8</f>
        <v>256000</v>
      </c>
      <c r="I13" s="1078"/>
    </row>
    <row r="14" spans="1:13" ht="25.5" x14ac:dyDescent="0.2">
      <c r="A14" s="163" t="s">
        <v>2073</v>
      </c>
      <c r="B14" s="4">
        <v>5.5</v>
      </c>
      <c r="C14" s="49" t="s">
        <v>155</v>
      </c>
      <c r="D14" s="1074"/>
      <c r="E14" s="1075"/>
      <c r="F14" s="1075"/>
      <c r="G14" s="1076"/>
      <c r="H14" s="1077">
        <f t="shared" ref="H14" si="1">D14*8</f>
        <v>0</v>
      </c>
      <c r="I14" s="1078"/>
    </row>
    <row r="15" spans="1:13" x14ac:dyDescent="0.2">
      <c r="A15" s="163" t="s">
        <v>2074</v>
      </c>
      <c r="B15" s="37">
        <v>4</v>
      </c>
      <c r="C15" s="49" t="s">
        <v>2075</v>
      </c>
      <c r="D15" s="1074">
        <v>18000</v>
      </c>
      <c r="E15" s="1075"/>
      <c r="F15" s="1075"/>
      <c r="G15" s="1076"/>
      <c r="H15" s="1077">
        <f t="shared" ref="H15:H20" si="2">D15*8</f>
        <v>144000</v>
      </c>
      <c r="I15" s="1078"/>
    </row>
    <row r="16" spans="1:13" x14ac:dyDescent="0.2">
      <c r="A16" s="163" t="s">
        <v>2076</v>
      </c>
      <c r="B16" s="37">
        <v>8</v>
      </c>
      <c r="C16" s="49" t="s">
        <v>2075</v>
      </c>
      <c r="D16" s="1074">
        <v>35000</v>
      </c>
      <c r="E16" s="1075"/>
      <c r="F16" s="1075"/>
      <c r="G16" s="1076"/>
      <c r="H16" s="1077">
        <f t="shared" si="2"/>
        <v>280000</v>
      </c>
      <c r="I16" s="1078"/>
    </row>
    <row r="17" spans="1:16" x14ac:dyDescent="0.2">
      <c r="A17" s="163" t="s">
        <v>2077</v>
      </c>
      <c r="B17" s="37">
        <v>15</v>
      </c>
      <c r="C17" s="49" t="s">
        <v>2075</v>
      </c>
      <c r="D17" s="1074">
        <v>70000</v>
      </c>
      <c r="E17" s="1075"/>
      <c r="F17" s="1075"/>
      <c r="G17" s="1076"/>
      <c r="H17" s="1077">
        <f t="shared" si="2"/>
        <v>560000</v>
      </c>
      <c r="I17" s="1078"/>
    </row>
    <row r="18" spans="1:16" x14ac:dyDescent="0.2">
      <c r="A18" s="163" t="s">
        <v>2078</v>
      </c>
      <c r="B18" s="37">
        <v>1.5</v>
      </c>
      <c r="C18" s="49" t="s">
        <v>2075</v>
      </c>
      <c r="D18" s="1074">
        <v>15000</v>
      </c>
      <c r="E18" s="1075"/>
      <c r="F18" s="1075"/>
      <c r="G18" s="1076"/>
      <c r="H18" s="1077">
        <f t="shared" si="2"/>
        <v>120000</v>
      </c>
      <c r="I18" s="1078"/>
    </row>
    <row r="19" spans="1:16" x14ac:dyDescent="0.2">
      <c r="A19" s="163" t="s">
        <v>2079</v>
      </c>
      <c r="B19" s="50">
        <v>0.5</v>
      </c>
      <c r="C19" s="49" t="s">
        <v>2075</v>
      </c>
      <c r="D19" s="1074">
        <v>25000</v>
      </c>
      <c r="E19" s="1075"/>
      <c r="F19" s="1075"/>
      <c r="G19" s="1076"/>
      <c r="H19" s="1077">
        <f t="shared" si="2"/>
        <v>200000</v>
      </c>
      <c r="I19" s="1078"/>
    </row>
    <row r="20" spans="1:16" x14ac:dyDescent="0.2">
      <c r="A20" s="2" t="s">
        <v>2080</v>
      </c>
      <c r="B20" s="4">
        <v>1</v>
      </c>
      <c r="C20" s="904" t="s">
        <v>111</v>
      </c>
      <c r="D20" s="1074">
        <v>6500</v>
      </c>
      <c r="E20" s="1075"/>
      <c r="F20" s="1075"/>
      <c r="G20" s="1076"/>
      <c r="H20" s="1077">
        <f t="shared" si="2"/>
        <v>52000</v>
      </c>
      <c r="I20" s="1078"/>
    </row>
    <row r="21" spans="1:16" x14ac:dyDescent="0.2">
      <c r="A21" s="163" t="s">
        <v>2081</v>
      </c>
      <c r="B21" s="37">
        <v>71</v>
      </c>
      <c r="C21" s="49" t="s">
        <v>147</v>
      </c>
      <c r="D21" s="1074">
        <v>3000</v>
      </c>
      <c r="E21" s="1075"/>
      <c r="F21" s="1075"/>
      <c r="G21" s="1076"/>
      <c r="H21" s="1077">
        <f>D21*8</f>
        <v>24000</v>
      </c>
      <c r="I21" s="1078"/>
      <c r="K21" s="1">
        <v>5000</v>
      </c>
      <c r="L21" s="1">
        <v>8</v>
      </c>
    </row>
    <row r="22" spans="1:16" x14ac:dyDescent="0.2">
      <c r="A22" s="163"/>
      <c r="B22" s="37"/>
      <c r="C22" s="49"/>
      <c r="D22" s="1074"/>
      <c r="E22" s="1075"/>
      <c r="F22" s="1075"/>
      <c r="G22" s="1076"/>
      <c r="H22" s="29">
        <f>D22*2</f>
        <v>0</v>
      </c>
      <c r="I22" s="28"/>
      <c r="K22" s="1">
        <f>+K21/L21</f>
        <v>625</v>
      </c>
      <c r="L22" s="1">
        <v>1</v>
      </c>
    </row>
    <row r="23" spans="1:16" x14ac:dyDescent="0.2">
      <c r="A23" s="163"/>
      <c r="B23" s="37"/>
      <c r="C23" s="49"/>
      <c r="D23" s="23"/>
      <c r="E23" s="24"/>
      <c r="F23" s="24"/>
      <c r="G23" s="25"/>
      <c r="H23" s="29">
        <f>D23*2</f>
        <v>0</v>
      </c>
      <c r="I23" s="28"/>
    </row>
    <row r="24" spans="1:16" x14ac:dyDescent="0.2">
      <c r="A24" s="163"/>
      <c r="B24" s="37"/>
      <c r="C24" s="49"/>
      <c r="D24" s="23"/>
      <c r="E24" s="24"/>
      <c r="F24" s="24"/>
      <c r="G24" s="25"/>
      <c r="H24" s="29">
        <f>D24*2</f>
        <v>0</v>
      </c>
      <c r="I24" s="28"/>
    </row>
    <row r="25" spans="1:16" ht="12.75" customHeight="1" x14ac:dyDescent="0.2">
      <c r="A25" s="1020" t="str">
        <f>+'Datos entrada'!$B$5</f>
        <v>INGENIERO CIVIL HEBER EDUARDO YEPES VILLOTA</v>
      </c>
      <c r="B25" s="1020"/>
      <c r="C25" s="1020"/>
      <c r="D25" s="1020"/>
      <c r="E25" s="1020"/>
      <c r="F25" s="1020"/>
      <c r="G25" s="1020"/>
      <c r="H25" s="1020"/>
      <c r="I25" s="1020"/>
      <c r="J25" s="808"/>
      <c r="K25" s="808"/>
      <c r="L25" s="808"/>
      <c r="M25" s="808"/>
      <c r="N25" s="808"/>
      <c r="O25" s="808"/>
      <c r="P25" s="808"/>
    </row>
    <row r="26" spans="1:16" x14ac:dyDescent="0.2">
      <c r="A26" s="997"/>
      <c r="B26" s="997"/>
      <c r="C26" s="997"/>
      <c r="D26" s="997"/>
      <c r="E26" s="997"/>
      <c r="F26" s="997"/>
      <c r="G26" s="997"/>
      <c r="H26" s="997"/>
      <c r="I26" s="997"/>
      <c r="J26" s="808"/>
      <c r="K26" s="808"/>
      <c r="L26" s="808"/>
      <c r="M26" s="808"/>
      <c r="N26" s="808"/>
      <c r="O26" s="808"/>
      <c r="P26" s="808"/>
    </row>
    <row r="27" spans="1:16" x14ac:dyDescent="0.2">
      <c r="A27" s="997"/>
      <c r="B27" s="997"/>
      <c r="C27" s="997"/>
      <c r="D27" s="997"/>
      <c r="E27" s="997"/>
      <c r="F27" s="997"/>
      <c r="G27" s="997"/>
      <c r="H27" s="997"/>
      <c r="I27" s="997"/>
      <c r="J27" s="808"/>
      <c r="K27" s="808"/>
      <c r="L27" s="808"/>
      <c r="M27" s="808"/>
      <c r="N27" s="808"/>
      <c r="O27" s="808"/>
      <c r="P27" s="808"/>
    </row>
    <row r="28" spans="1:16" x14ac:dyDescent="0.2">
      <c r="A28" s="997"/>
      <c r="B28" s="997"/>
      <c r="C28" s="997"/>
      <c r="D28" s="997"/>
      <c r="E28" s="997"/>
      <c r="F28" s="997"/>
      <c r="G28" s="997"/>
      <c r="H28" s="997"/>
      <c r="I28" s="997"/>
      <c r="J28" s="808"/>
      <c r="K28" s="808"/>
      <c r="L28" s="808"/>
      <c r="M28" s="808"/>
      <c r="N28" s="808"/>
      <c r="O28" s="808"/>
      <c r="P28" s="808"/>
    </row>
  </sheetData>
  <customSheetViews>
    <customSheetView guid="{93F324B6-F965-4669-93FF-DBB148734A46}">
      <selection activeCell="H21" sqref="H21"/>
      <pageMargins left="0" right="0" top="0" bottom="0" header="0" footer="0"/>
      <printOptions horizontalCentered="1"/>
      <pageSetup orientation="landscape" errors="blank" horizontalDpi="300" verticalDpi="300" r:id="rId1"/>
      <headerFooter alignWithMargins="0"/>
    </customSheetView>
  </customSheetViews>
  <mergeCells count="23">
    <mergeCell ref="A7:I7"/>
    <mergeCell ref="A3:I3"/>
    <mergeCell ref="A5:I5"/>
    <mergeCell ref="A25:I28"/>
    <mergeCell ref="D13:G13"/>
    <mergeCell ref="H13:I13"/>
    <mergeCell ref="H21:I21"/>
    <mergeCell ref="H15:I15"/>
    <mergeCell ref="H16:I16"/>
    <mergeCell ref="H17:I17"/>
    <mergeCell ref="H18:I18"/>
    <mergeCell ref="H19:I19"/>
    <mergeCell ref="H20:I20"/>
    <mergeCell ref="H14:I14"/>
    <mergeCell ref="D14:G14"/>
    <mergeCell ref="D15:G15"/>
    <mergeCell ref="D21:G21"/>
    <mergeCell ref="D22:G22"/>
    <mergeCell ref="D16:G16"/>
    <mergeCell ref="D17:G17"/>
    <mergeCell ref="D18:G18"/>
    <mergeCell ref="D19:G19"/>
    <mergeCell ref="D20:G20"/>
  </mergeCells>
  <phoneticPr fontId="0" type="noConversion"/>
  <printOptions horizontalCentered="1"/>
  <pageMargins left="0.78740157480314965" right="0.78740157480314965" top="0.98425196850393704" bottom="0.98425196850393704" header="0" footer="0"/>
  <pageSetup orientation="landscape" errors="blank" horizontalDpi="300" verticalDpi="300" r:id="rId2"/>
  <headerFooter alignWithMargins="0"/>
  <rowBreaks count="1" manualBreakCount="1">
    <brk id="28" max="8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3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2339</v>
      </c>
      <c r="B8" s="1081"/>
      <c r="C8" s="1081"/>
      <c r="D8" s="844" t="e">
        <f t="shared" ref="D8:D18" si="0">IF(A8&lt;&gt;0,VLOOKUP(A8,Materiales,2,FALSE),$J$1)</f>
        <v>#REF!</v>
      </c>
      <c r="E8" s="12">
        <v>1.01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157</v>
      </c>
      <c r="B9" s="1284"/>
      <c r="C9" s="1284"/>
      <c r="D9" s="844" t="e">
        <f t="shared" si="0"/>
        <v>#REF!</v>
      </c>
      <c r="E9" s="12">
        <v>0.2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214</v>
      </c>
      <c r="B10" s="1081"/>
      <c r="C10" s="1081"/>
      <c r="D10" s="844" t="e">
        <f t="shared" si="0"/>
        <v>#REF!</v>
      </c>
      <c r="E10" s="12">
        <v>1.1000000000000001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 t="s">
        <v>496</v>
      </c>
      <c r="B24" s="1081"/>
      <c r="C24" s="1081"/>
      <c r="D24" s="33">
        <v>1</v>
      </c>
      <c r="E24" s="33"/>
      <c r="F24" s="12">
        <f t="shared" si="3"/>
        <v>63600</v>
      </c>
      <c r="G24" s="14">
        <v>0.05</v>
      </c>
      <c r="H24" s="7">
        <f t="shared" si="4"/>
        <v>3180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3375.26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40</v>
      </c>
      <c r="G45" s="1083"/>
      <c r="H45" s="7">
        <f>IF(A45&lt;&gt;0,ROUND(D45/F45,2),$J$1)</f>
        <v>5234.25</v>
      </c>
      <c r="I45" s="69"/>
    </row>
    <row r="46" spans="1:9" x14ac:dyDescent="0.2">
      <c r="A46" s="1080" t="s">
        <v>39</v>
      </c>
      <c r="B46" s="1081"/>
      <c r="C46" s="1081"/>
      <c r="D46" s="1082">
        <f>IF(A46&lt;&gt;0,VLOOKUP(A46,Cuadrillas,7,FALSE),$J$1)</f>
        <v>154270.22</v>
      </c>
      <c r="E46" s="1082"/>
      <c r="F46" s="1083">
        <v>28</v>
      </c>
      <c r="G46" s="1083"/>
      <c r="H46" s="7">
        <f>IF(A46&lt;&gt;0,ROUND(D46/F46,2),$J$1)</f>
        <v>5509.65</v>
      </c>
      <c r="I46" s="69"/>
    </row>
    <row r="47" spans="1:9" x14ac:dyDescent="0.2">
      <c r="A47" s="1080" t="s">
        <v>42</v>
      </c>
      <c r="B47" s="1081"/>
      <c r="C47" s="1081"/>
      <c r="D47" s="1082">
        <f>IF(A47&lt;&gt;0,VLOOKUP(A47,Cuadrillas,7,FALSE),$J$1)</f>
        <v>51423.41</v>
      </c>
      <c r="E47" s="1082"/>
      <c r="F47" s="1083">
        <v>14</v>
      </c>
      <c r="G47" s="1083"/>
      <c r="H47" s="7">
        <f>IF(A47&lt;&gt;0,ROUND(D47/F47,2),$J$1)</f>
        <v>3673.1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14417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14417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4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2340</v>
      </c>
      <c r="B8" s="1081"/>
      <c r="C8" s="1081"/>
      <c r="D8" s="844" t="e">
        <f t="shared" ref="D8:D18" si="0">IF(A8&lt;&gt;0,VLOOKUP(A8,Materiales,2,FALSE),$J$1)</f>
        <v>#REF!</v>
      </c>
      <c r="E8" s="12">
        <v>1.01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157</v>
      </c>
      <c r="B9" s="1284"/>
      <c r="C9" s="1284"/>
      <c r="D9" s="844" t="e">
        <f t="shared" si="0"/>
        <v>#REF!</v>
      </c>
      <c r="E9" s="12">
        <v>0.25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214</v>
      </c>
      <c r="B10" s="1081"/>
      <c r="C10" s="1081"/>
      <c r="D10" s="844" t="e">
        <f t="shared" si="0"/>
        <v>#REF!</v>
      </c>
      <c r="E10" s="12">
        <v>1.1000000000000001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 t="s">
        <v>496</v>
      </c>
      <c r="B24" s="1081"/>
      <c r="C24" s="1081"/>
      <c r="D24" s="33">
        <v>1</v>
      </c>
      <c r="E24" s="33"/>
      <c r="F24" s="12">
        <f t="shared" si="3"/>
        <v>63600</v>
      </c>
      <c r="G24" s="14">
        <v>0.05</v>
      </c>
      <c r="H24" s="7">
        <f t="shared" si="4"/>
        <v>3180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3375.26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35</v>
      </c>
      <c r="G45" s="1083"/>
      <c r="H45" s="7">
        <f>IF(A45&lt;&gt;0,ROUND(D45/F45,2),$J$1)</f>
        <v>5982</v>
      </c>
      <c r="I45" s="69"/>
    </row>
    <row r="46" spans="1:9" x14ac:dyDescent="0.2">
      <c r="A46" s="1080" t="s">
        <v>39</v>
      </c>
      <c r="B46" s="1081"/>
      <c r="C46" s="1081"/>
      <c r="D46" s="1082">
        <f>IF(A46&lt;&gt;0,VLOOKUP(A46,Cuadrillas,7,FALSE),$J$1)</f>
        <v>154270.22</v>
      </c>
      <c r="E46" s="1082"/>
      <c r="F46" s="1083">
        <v>25</v>
      </c>
      <c r="G46" s="1083"/>
      <c r="H46" s="7">
        <f>IF(A46&lt;&gt;0,ROUND(D46/F46,2),$J$1)</f>
        <v>6170.81</v>
      </c>
      <c r="I46" s="69"/>
    </row>
    <row r="47" spans="1:9" x14ac:dyDescent="0.2">
      <c r="A47" s="1080" t="s">
        <v>42</v>
      </c>
      <c r="B47" s="1081"/>
      <c r="C47" s="1081"/>
      <c r="D47" s="1082">
        <f>IF(A47&lt;&gt;0,VLOOKUP(A47,Cuadrillas,7,FALSE),$J$1)</f>
        <v>51423.41</v>
      </c>
      <c r="E47" s="1082"/>
      <c r="F47" s="1083">
        <v>10</v>
      </c>
      <c r="G47" s="1083"/>
      <c r="H47" s="7">
        <f>IF(A47&lt;&gt;0,ROUND(D47/F47,2),$J$1)</f>
        <v>5142.34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17295.150000000001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17295.150000000001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5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112</v>
      </c>
      <c r="B8" s="1081"/>
      <c r="C8" s="1081"/>
      <c r="D8" s="844" t="e">
        <f t="shared" ref="D8:D18" si="0">IF(A8&lt;&gt;0,VLOOKUP(A8,Materiales,2,FALSE),$J$1)</f>
        <v>#REF!</v>
      </c>
      <c r="E8" s="12">
        <v>1.01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/>
      <c r="B9" s="1284"/>
      <c r="C9" s="1284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0.5</v>
      </c>
      <c r="H23" s="7">
        <f t="shared" ref="H23:H29" si="4">IF(A23&lt;&gt;0,ROUND((F23/D23)*G23,2),$J$1)</f>
        <v>97.63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97.63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40</v>
      </c>
      <c r="G45" s="1083"/>
      <c r="H45" s="7">
        <f>IF(A45&lt;&gt;0,ROUND(D45/F45,2),$J$1)</f>
        <v>5234.25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5234.25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5234.25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6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422</v>
      </c>
      <c r="B8" s="1081"/>
      <c r="C8" s="108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438</v>
      </c>
      <c r="B9" s="1284"/>
      <c r="C9" s="1284"/>
      <c r="D9" s="844" t="e">
        <f t="shared" si="0"/>
        <v>#REF!</v>
      </c>
      <c r="E9" s="12">
        <v>0.2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274</v>
      </c>
      <c r="B10" s="1081"/>
      <c r="C10" s="1081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355</v>
      </c>
      <c r="B11" s="1081"/>
      <c r="C11" s="1081"/>
      <c r="D11" s="844" t="e">
        <f t="shared" si="0"/>
        <v>#REF!</v>
      </c>
      <c r="E11" s="12">
        <v>0.01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261</v>
      </c>
      <c r="B12" s="1081"/>
      <c r="C12" s="1081"/>
      <c r="D12" s="844" t="e">
        <f t="shared" si="0"/>
        <v>#REF!</v>
      </c>
      <c r="E12" s="12">
        <v>0.16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214</v>
      </c>
      <c r="B13" s="1081"/>
      <c r="C13" s="1081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 t="s">
        <v>517</v>
      </c>
      <c r="B24" s="1081"/>
      <c r="C24" s="1081"/>
      <c r="D24" s="33">
        <v>1</v>
      </c>
      <c r="E24" s="33"/>
      <c r="F24" s="12">
        <f t="shared" si="3"/>
        <v>58300</v>
      </c>
      <c r="G24" s="14">
        <v>0.02</v>
      </c>
      <c r="H24" s="7">
        <f t="shared" si="4"/>
        <v>1166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1361.26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65</v>
      </c>
      <c r="G45" s="1083"/>
      <c r="H45" s="7">
        <f>IF(A45&lt;&gt;0,ROUND(D45/F45,2),$J$1)</f>
        <v>3221.07</v>
      </c>
      <c r="I45" s="69"/>
    </row>
    <row r="46" spans="1:9" x14ac:dyDescent="0.2">
      <c r="A46" s="1080" t="s">
        <v>39</v>
      </c>
      <c r="B46" s="1081"/>
      <c r="C46" s="1081"/>
      <c r="D46" s="1082">
        <f>IF(A46&lt;&gt;0,VLOOKUP(A46,Cuadrillas,7,FALSE),$J$1)</f>
        <v>154270.22</v>
      </c>
      <c r="E46" s="1082"/>
      <c r="F46" s="1083">
        <v>30</v>
      </c>
      <c r="G46" s="1083"/>
      <c r="H46" s="7">
        <f>IF(A46&lt;&gt;0,ROUND(D46/F46,2),$J$1)</f>
        <v>5142.34</v>
      </c>
      <c r="I46" s="69"/>
    </row>
    <row r="47" spans="1:9" x14ac:dyDescent="0.2">
      <c r="A47" s="1080" t="s">
        <v>42</v>
      </c>
      <c r="B47" s="1081"/>
      <c r="C47" s="1081"/>
      <c r="D47" s="1082">
        <f>IF(A47&lt;&gt;0,VLOOKUP(A47,Cuadrillas,7,FALSE),$J$1)</f>
        <v>51423.41</v>
      </c>
      <c r="E47" s="1082"/>
      <c r="F47" s="1083">
        <v>20</v>
      </c>
      <c r="G47" s="1083"/>
      <c r="H47" s="7">
        <f>IF(A47&lt;&gt;0,ROUND(D47/F47,2),$J$1)</f>
        <v>2571.17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10934.58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10934.58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7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423</v>
      </c>
      <c r="B8" s="1081"/>
      <c r="C8" s="108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439</v>
      </c>
      <c r="B9" s="1284"/>
      <c r="C9" s="1284"/>
      <c r="D9" s="844" t="e">
        <f t="shared" si="0"/>
        <v>#REF!</v>
      </c>
      <c r="E9" s="12">
        <v>0.2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274</v>
      </c>
      <c r="B10" s="1081"/>
      <c r="C10" s="1081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355</v>
      </c>
      <c r="B11" s="1081"/>
      <c r="C11" s="1081"/>
      <c r="D11" s="844" t="e">
        <f t="shared" si="0"/>
        <v>#REF!</v>
      </c>
      <c r="E11" s="12">
        <v>0.01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261</v>
      </c>
      <c r="B12" s="1081"/>
      <c r="C12" s="1081"/>
      <c r="D12" s="844" t="e">
        <f t="shared" si="0"/>
        <v>#REF!</v>
      </c>
      <c r="E12" s="12">
        <v>0.16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214</v>
      </c>
      <c r="B13" s="1081"/>
      <c r="C13" s="1081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 t="s">
        <v>517</v>
      </c>
      <c r="B24" s="1081"/>
      <c r="C24" s="1081"/>
      <c r="D24" s="33">
        <v>1</v>
      </c>
      <c r="E24" s="33"/>
      <c r="F24" s="12">
        <f t="shared" si="3"/>
        <v>58300</v>
      </c>
      <c r="G24" s="14">
        <v>0.02</v>
      </c>
      <c r="H24" s="7">
        <f t="shared" si="4"/>
        <v>1166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1361.26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65</v>
      </c>
      <c r="G45" s="1083"/>
      <c r="H45" s="7">
        <f>IF(A45&lt;&gt;0,ROUND(D45/F45,2),$J$1)</f>
        <v>3221.07</v>
      </c>
      <c r="I45" s="69"/>
    </row>
    <row r="46" spans="1:9" x14ac:dyDescent="0.2">
      <c r="A46" s="1080" t="s">
        <v>39</v>
      </c>
      <c r="B46" s="1081"/>
      <c r="C46" s="1081"/>
      <c r="D46" s="1082">
        <f>IF(A46&lt;&gt;0,VLOOKUP(A46,Cuadrillas,7,FALSE),$J$1)</f>
        <v>154270.22</v>
      </c>
      <c r="E46" s="1082"/>
      <c r="F46" s="1083">
        <v>30</v>
      </c>
      <c r="G46" s="1083"/>
      <c r="H46" s="7">
        <f>IF(A46&lt;&gt;0,ROUND(D46/F46,2),$J$1)</f>
        <v>5142.34</v>
      </c>
      <c r="I46" s="69"/>
    </row>
    <row r="47" spans="1:9" x14ac:dyDescent="0.2">
      <c r="A47" s="1080" t="s">
        <v>42</v>
      </c>
      <c r="B47" s="1081"/>
      <c r="C47" s="1081"/>
      <c r="D47" s="1082">
        <f>IF(A47&lt;&gt;0,VLOOKUP(A47,Cuadrillas,7,FALSE),$J$1)</f>
        <v>51423.41</v>
      </c>
      <c r="E47" s="1082"/>
      <c r="F47" s="1083">
        <v>20</v>
      </c>
      <c r="G47" s="1083"/>
      <c r="H47" s="7">
        <f>IF(A47&lt;&gt;0,ROUND(D47/F47,2),$J$1)</f>
        <v>2571.17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10934.58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10934.58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8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12.75" customHeight="1" x14ac:dyDescent="0.2">
      <c r="A8" s="1283" t="s">
        <v>438</v>
      </c>
      <c r="B8" s="1284"/>
      <c r="C8" s="1284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080" t="s">
        <v>274</v>
      </c>
      <c r="B9" s="1081"/>
      <c r="C9" s="1081"/>
      <c r="D9" s="844" t="e">
        <f t="shared" si="0"/>
        <v>#REF!</v>
      </c>
      <c r="E9" s="12">
        <v>0.01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355</v>
      </c>
      <c r="B10" s="1081"/>
      <c r="C10" s="1081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/>
      <c r="E14" s="12"/>
      <c r="F14" s="58" t="str">
        <f>IF(A14&lt;&gt;0,VLOOKUP(A14,Materiales,6,FALSE),$J$1)</f>
        <v>-</v>
      </c>
      <c r="G14" s="58"/>
      <c r="H14" s="7"/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4"/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195.26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65</v>
      </c>
      <c r="G45" s="1083"/>
      <c r="H45" s="7">
        <f>IF(A45&lt;&gt;0,ROUND(D45/F45,2),$J$1)</f>
        <v>3221.07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3221.07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3221.07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F49:G49"/>
    <mergeCell ref="A46:C46"/>
    <mergeCell ref="D46:E46"/>
    <mergeCell ref="F46:G46"/>
    <mergeCell ref="A47:C47"/>
    <mergeCell ref="D47:E47"/>
    <mergeCell ref="F47:G47"/>
    <mergeCell ref="A56:G56"/>
    <mergeCell ref="H56:I56"/>
    <mergeCell ref="A14:C14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</mergeCells>
  <dataValidations count="4">
    <dataValidation type="list" allowBlank="1" showInputMessage="1" showErrorMessage="1" sqref="A8:A1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9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ht="12.75" customHeight="1" x14ac:dyDescent="0.2">
      <c r="A8" s="1283" t="s">
        <v>423</v>
      </c>
      <c r="B8" s="1284"/>
      <c r="C8" s="1284"/>
      <c r="D8" s="844" t="e">
        <f t="shared" ref="D8:D18" si="0">IF(A8&lt;&gt;0,VLOOKUP(A8,Materiales,2,FALSE),$J$1)</f>
        <v>#REF!</v>
      </c>
      <c r="E8" s="12">
        <v>1</v>
      </c>
      <c r="F8" s="58" t="e">
        <f t="shared" ref="F8:F14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x14ac:dyDescent="0.2">
      <c r="A9" s="1080" t="s">
        <v>439</v>
      </c>
      <c r="B9" s="1081"/>
      <c r="C9" s="1081"/>
      <c r="D9" s="844" t="e">
        <f t="shared" si="0"/>
        <v>#REF!</v>
      </c>
      <c r="E9" s="12">
        <v>0.01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355</v>
      </c>
      <c r="B10" s="1081"/>
      <c r="C10" s="1081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274</v>
      </c>
      <c r="B11" s="1081"/>
      <c r="C11" s="1081"/>
      <c r="D11" s="844" t="e">
        <f t="shared" si="0"/>
        <v>#REF!</v>
      </c>
      <c r="E11" s="12">
        <v>0.01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261</v>
      </c>
      <c r="B12" s="1081"/>
      <c r="C12" s="1081"/>
      <c r="D12" s="844" t="e">
        <f t="shared" si="0"/>
        <v>#REF!</v>
      </c>
      <c r="E12" s="12">
        <v>0.15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256</v>
      </c>
      <c r="B13" s="1081"/>
      <c r="C13" s="1081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/>
      <c r="E15" s="12"/>
      <c r="F15" s="58" t="str">
        <f>IF(A15&lt;&gt;0,VLOOKUP(A15,Materiales,6,FALSE),$J$1)</f>
        <v>-</v>
      </c>
      <c r="G15" s="58"/>
      <c r="H15" s="7"/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 t="s">
        <v>517</v>
      </c>
      <c r="B24" s="1081"/>
      <c r="C24" s="1081"/>
      <c r="D24" s="33">
        <v>1</v>
      </c>
      <c r="E24" s="33"/>
      <c r="F24" s="12">
        <f t="shared" si="3"/>
        <v>58300</v>
      </c>
      <c r="G24" s="14">
        <v>0.02</v>
      </c>
      <c r="H24" s="7">
        <f t="shared" si="4"/>
        <v>1166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1361.26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20</v>
      </c>
      <c r="G45" s="1083"/>
      <c r="H45" s="7">
        <f>IF(A45&lt;&gt;0,ROUND(D45/F45,2),$J$1)</f>
        <v>10468.49</v>
      </c>
      <c r="I45" s="69"/>
    </row>
    <row r="46" spans="1:9" x14ac:dyDescent="0.2">
      <c r="A46" s="1080" t="s">
        <v>39</v>
      </c>
      <c r="B46" s="1081"/>
      <c r="C46" s="1081"/>
      <c r="D46" s="1082">
        <f>IF(A46&lt;&gt;0,VLOOKUP(A46,Cuadrillas,7,FALSE),$J$1)</f>
        <v>154270.22</v>
      </c>
      <c r="E46" s="1082"/>
      <c r="F46" s="1083">
        <v>30</v>
      </c>
      <c r="G46" s="1083"/>
      <c r="H46" s="7">
        <f>IF(A46&lt;&gt;0,ROUND(D46/F46,2),$J$1)</f>
        <v>5142.34</v>
      </c>
      <c r="I46" s="69"/>
    </row>
    <row r="47" spans="1:9" x14ac:dyDescent="0.2">
      <c r="A47" s="1080" t="s">
        <v>42</v>
      </c>
      <c r="B47" s="1081"/>
      <c r="C47" s="1081"/>
      <c r="D47" s="1082">
        <f>IF(A47&lt;&gt;0,VLOOKUP(A47,Cuadrillas,7,FALSE),$J$1)</f>
        <v>51423.41</v>
      </c>
      <c r="E47" s="1082"/>
      <c r="F47" s="1083">
        <v>15</v>
      </c>
      <c r="G47" s="1083"/>
      <c r="H47" s="7">
        <f>IF(A47&lt;&gt;0,ROUND(D47/F47,2),$J$1)</f>
        <v>3428.23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19039.060000000001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19039.060000000001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F49:G49"/>
    <mergeCell ref="A46:C46"/>
    <mergeCell ref="D46:E46"/>
    <mergeCell ref="F46:G46"/>
    <mergeCell ref="A47:C47"/>
    <mergeCell ref="D47:E47"/>
    <mergeCell ref="F47:G47"/>
    <mergeCell ref="A56:G56"/>
    <mergeCell ref="H56:I56"/>
    <mergeCell ref="A15:C15"/>
    <mergeCell ref="A50:H50"/>
    <mergeCell ref="A51:I51"/>
    <mergeCell ref="A52:H52"/>
    <mergeCell ref="A53:H53"/>
    <mergeCell ref="A54:G54"/>
    <mergeCell ref="A55:C55"/>
    <mergeCell ref="D55:E55"/>
    <mergeCell ref="F55:I55"/>
    <mergeCell ref="A48:C48"/>
    <mergeCell ref="D48:E48"/>
    <mergeCell ref="F48:G48"/>
    <mergeCell ref="A49:C49"/>
    <mergeCell ref="D49:E49"/>
  </mergeCells>
  <dataValidations disablePrompts="1" count="4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8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0">
    <tabColor indexed="26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66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2302</v>
      </c>
      <c r="G7" s="225"/>
      <c r="H7" s="858" t="s">
        <v>2216</v>
      </c>
      <c r="I7" s="72"/>
    </row>
    <row r="8" spans="1:10" x14ac:dyDescent="0.2">
      <c r="A8" s="1080" t="s">
        <v>423</v>
      </c>
      <c r="B8" s="1081"/>
      <c r="C8" s="1081"/>
      <c r="D8" s="844" t="e">
        <f t="shared" ref="D8:D18" si="0">IF(A8&lt;&gt;0,VLOOKUP(A8,Materiales,2,FALSE),$J$1)</f>
        <v>#REF!</v>
      </c>
      <c r="E8" s="12">
        <v>1</v>
      </c>
      <c r="F8" s="58" t="e">
        <f t="shared" ref="F8:F15" si="1">IF(A8&lt;&gt;0,VLOOKUP(A8,Materiales,6,FALSE),$J$1)</f>
        <v>#REF!</v>
      </c>
      <c r="G8" s="58"/>
      <c r="H8" s="7" t="e">
        <f t="shared" ref="H8:H18" si="2">IF(A8&lt;&gt;0,ROUND(E8*F8,2),$J$1)</f>
        <v>#REF!</v>
      </c>
      <c r="I8" s="69"/>
    </row>
    <row r="9" spans="1:10" ht="12.75" customHeight="1" x14ac:dyDescent="0.2">
      <c r="A9" s="1283" t="s">
        <v>439</v>
      </c>
      <c r="B9" s="1284"/>
      <c r="C9" s="1284"/>
      <c r="D9" s="844" t="e">
        <f t="shared" si="0"/>
        <v>#REF!</v>
      </c>
      <c r="E9" s="12">
        <v>0.3</v>
      </c>
      <c r="F9" s="58" t="e">
        <f t="shared" si="1"/>
        <v>#REF!</v>
      </c>
      <c r="G9" s="58"/>
      <c r="H9" s="7" t="e">
        <f t="shared" si="2"/>
        <v>#REF!</v>
      </c>
      <c r="I9" s="69"/>
    </row>
    <row r="10" spans="1:10" x14ac:dyDescent="0.2">
      <c r="A10" s="1080" t="s">
        <v>274</v>
      </c>
      <c r="B10" s="1081"/>
      <c r="C10" s="1081"/>
      <c r="D10" s="844" t="e">
        <f t="shared" si="0"/>
        <v>#REF!</v>
      </c>
      <c r="E10" s="12">
        <v>0.01</v>
      </c>
      <c r="F10" s="58" t="e">
        <f t="shared" si="1"/>
        <v>#REF!</v>
      </c>
      <c r="G10" s="58"/>
      <c r="H10" s="7" t="e">
        <f t="shared" si="2"/>
        <v>#REF!</v>
      </c>
      <c r="I10" s="69"/>
    </row>
    <row r="11" spans="1:10" x14ac:dyDescent="0.2">
      <c r="A11" s="1080" t="s">
        <v>355</v>
      </c>
      <c r="B11" s="1081"/>
      <c r="C11" s="1081"/>
      <c r="D11" s="844" t="e">
        <f t="shared" si="0"/>
        <v>#REF!</v>
      </c>
      <c r="E11" s="12">
        <v>0.01</v>
      </c>
      <c r="F11" s="58" t="e">
        <f t="shared" si="1"/>
        <v>#REF!</v>
      </c>
      <c r="G11" s="58"/>
      <c r="H11" s="7" t="e">
        <f t="shared" si="2"/>
        <v>#REF!</v>
      </c>
      <c r="I11" s="69"/>
    </row>
    <row r="12" spans="1:10" x14ac:dyDescent="0.2">
      <c r="A12" s="1080" t="s">
        <v>261</v>
      </c>
      <c r="B12" s="1081"/>
      <c r="C12" s="1081"/>
      <c r="D12" s="844" t="e">
        <f t="shared" si="0"/>
        <v>#REF!</v>
      </c>
      <c r="E12" s="12">
        <v>0.25</v>
      </c>
      <c r="F12" s="58" t="e">
        <f t="shared" si="1"/>
        <v>#REF!</v>
      </c>
      <c r="G12" s="58"/>
      <c r="H12" s="7" t="e">
        <f t="shared" si="2"/>
        <v>#REF!</v>
      </c>
      <c r="I12" s="69"/>
    </row>
    <row r="13" spans="1:10" x14ac:dyDescent="0.2">
      <c r="A13" s="1080" t="s">
        <v>256</v>
      </c>
      <c r="B13" s="1081"/>
      <c r="C13" s="1081"/>
      <c r="D13" s="844" t="e">
        <f t="shared" si="0"/>
        <v>#REF!</v>
      </c>
      <c r="E13" s="12">
        <v>1</v>
      </c>
      <c r="F13" s="58" t="e">
        <f t="shared" si="1"/>
        <v>#REF!</v>
      </c>
      <c r="G13" s="58"/>
      <c r="H13" s="7" t="e">
        <f t="shared" si="2"/>
        <v>#REF!</v>
      </c>
      <c r="I13" s="69"/>
    </row>
    <row r="14" spans="1:10" x14ac:dyDescent="0.2">
      <c r="A14" s="1080" t="s">
        <v>157</v>
      </c>
      <c r="B14" s="1081"/>
      <c r="C14" s="1081"/>
      <c r="D14" s="844" t="e">
        <f t="shared" si="0"/>
        <v>#REF!</v>
      </c>
      <c r="E14" s="12">
        <v>0.1</v>
      </c>
      <c r="F14" s="58" t="e">
        <f t="shared" si="1"/>
        <v>#REF!</v>
      </c>
      <c r="G14" s="58"/>
      <c r="H14" s="7" t="e">
        <f t="shared" si="2"/>
        <v>#REF!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2219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19</v>
      </c>
      <c r="E23" s="33"/>
      <c r="F23" s="12">
        <f t="shared" ref="F23:F29" si="3">IF(A23&lt;&gt;0,VLOOKUP(A23,Equipos,6,FALSE),$J$1)</f>
        <v>3710</v>
      </c>
      <c r="G23" s="14">
        <v>1</v>
      </c>
      <c r="H23" s="7">
        <f t="shared" ref="H23:H29" si="4">IF(A23&lt;&gt;0,ROUND((F23/D23)*G23,2),$J$1)</f>
        <v>195.26</v>
      </c>
      <c r="I23" s="69"/>
    </row>
    <row r="24" spans="1:9" x14ac:dyDescent="0.2">
      <c r="A24" s="1080" t="s">
        <v>517</v>
      </c>
      <c r="B24" s="1081"/>
      <c r="C24" s="1081"/>
      <c r="D24" s="33">
        <v>1</v>
      </c>
      <c r="E24" s="33"/>
      <c r="F24" s="12">
        <f t="shared" si="3"/>
        <v>58300</v>
      </c>
      <c r="G24" s="14">
        <v>0.02</v>
      </c>
      <c r="H24" s="7">
        <f t="shared" si="4"/>
        <v>1166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1361.26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848"/>
      <c r="B35" s="849"/>
      <c r="C35" s="849"/>
      <c r="D35" s="61" t="str">
        <f>IF(A35&lt;&gt;0,VLOOKUP(A35,Transporte,8,FALSE),$J$1)</f>
        <v>-</v>
      </c>
      <c r="E35" s="61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848"/>
      <c r="B36" s="849"/>
      <c r="C36" s="849"/>
      <c r="D36" s="61" t="str">
        <f>IF(A36&lt;&gt;0,VLOOKUP(A36,Transporte,8,FALSE),$J$1)</f>
        <v>-</v>
      </c>
      <c r="E36" s="61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848"/>
      <c r="B37" s="849"/>
      <c r="C37" s="849"/>
      <c r="D37" s="61" t="str">
        <f>IF(A37&lt;&gt;0,VLOOKUP(A37,Transporte,8,FALSE),$J$1)</f>
        <v>-</v>
      </c>
      <c r="E37" s="61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848"/>
      <c r="B39" s="849"/>
      <c r="C39" s="849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848"/>
      <c r="B40" s="849"/>
      <c r="C40" s="849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56</v>
      </c>
      <c r="B45" s="1081"/>
      <c r="C45" s="1081"/>
      <c r="D45" s="1082">
        <f>IF(A45&lt;&gt;0,VLOOKUP(A45,Cuadrillas,7,FALSE),$J$1)</f>
        <v>209369.84</v>
      </c>
      <c r="E45" s="1082"/>
      <c r="F45" s="1083">
        <v>20</v>
      </c>
      <c r="G45" s="1083"/>
      <c r="H45" s="7">
        <f>IF(A45&lt;&gt;0,ROUND(D45/F45,2),$J$1)</f>
        <v>10468.49</v>
      </c>
      <c r="I45" s="69"/>
    </row>
    <row r="46" spans="1:9" x14ac:dyDescent="0.2">
      <c r="A46" s="1080" t="s">
        <v>39</v>
      </c>
      <c r="B46" s="1081"/>
      <c r="C46" s="1081"/>
      <c r="D46" s="1082">
        <f>IF(A46&lt;&gt;0,VLOOKUP(A46,Cuadrillas,7,FALSE),$J$1)</f>
        <v>154270.22</v>
      </c>
      <c r="E46" s="1082"/>
      <c r="F46" s="1083">
        <v>30</v>
      </c>
      <c r="G46" s="1083"/>
      <c r="H46" s="7">
        <f>IF(A46&lt;&gt;0,ROUND(D46/F46,2),$J$1)</f>
        <v>5142.34</v>
      </c>
      <c r="I46" s="69"/>
    </row>
    <row r="47" spans="1:9" x14ac:dyDescent="0.2">
      <c r="A47" s="1080" t="s">
        <v>42</v>
      </c>
      <c r="B47" s="1081"/>
      <c r="C47" s="1081"/>
      <c r="D47" s="1082">
        <f>IF(A47&lt;&gt;0,VLOOKUP(A47,Cuadrillas,7,FALSE),$J$1)</f>
        <v>51423.41</v>
      </c>
      <c r="E47" s="1082"/>
      <c r="F47" s="1083">
        <v>15</v>
      </c>
      <c r="G47" s="1083"/>
      <c r="H47" s="7">
        <f>IF(A47&lt;&gt;0,ROUND(D47/F47,2),$J$1)</f>
        <v>3428.23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19039.060000000001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19039.060000000001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disablePrompts="1"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>
    <tabColor rgb="FFC00000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268</v>
      </c>
      <c r="B8" s="1216"/>
      <c r="C8" s="1217"/>
      <c r="D8" s="851" t="e">
        <f t="shared" ref="D8:D18" si="0">IF(A8&lt;&gt;0,VLOOKUP(A8,Materiales,2,FALSE),$J$1)</f>
        <v>#REF!</v>
      </c>
      <c r="E8" s="12">
        <v>168</v>
      </c>
      <c r="F8" s="21" t="e">
        <f t="shared" ref="F8:F15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118</v>
      </c>
      <c r="B9" s="1216"/>
      <c r="C9" s="1217"/>
      <c r="D9" s="851" t="e">
        <f t="shared" si="0"/>
        <v>#REF!</v>
      </c>
      <c r="E9" s="13">
        <v>3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145</v>
      </c>
      <c r="B10" s="1216"/>
      <c r="C10" s="1217"/>
      <c r="D10" s="851" t="e">
        <f t="shared" si="0"/>
        <v>#REF!</v>
      </c>
      <c r="E10" s="13">
        <v>0.06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229</v>
      </c>
      <c r="B11" s="1216"/>
      <c r="C11" s="1217"/>
      <c r="D11" s="851" t="e">
        <f t="shared" si="0"/>
        <v>#REF!</v>
      </c>
      <c r="E11" s="12">
        <v>0.27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292</v>
      </c>
      <c r="B12" s="1216"/>
      <c r="C12" s="1217"/>
      <c r="D12" s="851" t="e">
        <f t="shared" si="0"/>
        <v>#REF!</v>
      </c>
      <c r="E12" s="12">
        <v>0.14000000000000001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148</v>
      </c>
      <c r="B13" s="1216"/>
      <c r="C13" s="1217"/>
      <c r="D13" s="851" t="e">
        <f t="shared" si="0"/>
        <v>#REF!</v>
      </c>
      <c r="E13" s="12">
        <v>3.2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1215" t="s">
        <v>2320</v>
      </c>
      <c r="B14" s="1216"/>
      <c r="C14" s="1217"/>
      <c r="D14" s="851" t="e">
        <f t="shared" si="0"/>
        <v>#REF!</v>
      </c>
      <c r="E14" s="12">
        <v>0.04</v>
      </c>
      <c r="F14" s="21" t="e">
        <f t="shared" si="1"/>
        <v>#REF!</v>
      </c>
      <c r="G14" s="22"/>
      <c r="H14" s="8" t="e">
        <f t="shared" si="2"/>
        <v>#REF!</v>
      </c>
      <c r="I14" s="69"/>
    </row>
    <row r="15" spans="1:10" x14ac:dyDescent="0.2">
      <c r="A15" s="1215"/>
      <c r="B15" s="1216"/>
      <c r="C15" s="1217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3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1236.67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1236.67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0"/>
      <c r="B35" s="1211"/>
      <c r="C35" s="1212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0"/>
      <c r="B36" s="1211"/>
      <c r="C36" s="1212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0"/>
      <c r="B37" s="1211"/>
      <c r="C37" s="1212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0"/>
      <c r="B39" s="1211"/>
      <c r="C39" s="1212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0"/>
      <c r="B40" s="1211"/>
      <c r="C40" s="1212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48</v>
      </c>
      <c r="B45" s="1216"/>
      <c r="C45" s="1217"/>
      <c r="D45" s="1225">
        <f>IF(A45&lt;&gt;0,VLOOKUP(A45,Cuadrillas,7,FALSE),$J$1)</f>
        <v>329249.03000000003</v>
      </c>
      <c r="E45" s="1226"/>
      <c r="F45" s="1221">
        <v>5</v>
      </c>
      <c r="G45" s="1222"/>
      <c r="H45" s="8">
        <f>IF(A45&lt;&gt;0,ROUND(D45/F45,2),$J$1)</f>
        <v>65849.81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65849.81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65849.81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2">
    <mergeCell ref="A1:C1"/>
    <mergeCell ref="B34:C34"/>
    <mergeCell ref="B38:C38"/>
    <mergeCell ref="D45:E45"/>
    <mergeCell ref="D46:E46"/>
    <mergeCell ref="A41:H41"/>
    <mergeCell ref="A42:I42"/>
    <mergeCell ref="A23:C23"/>
    <mergeCell ref="A9:C9"/>
    <mergeCell ref="A10:C10"/>
    <mergeCell ref="A24:C24"/>
    <mergeCell ref="A25:C25"/>
    <mergeCell ref="A11:C11"/>
    <mergeCell ref="A12:C12"/>
    <mergeCell ref="A13:C13"/>
    <mergeCell ref="A14:C14"/>
    <mergeCell ref="H1:I1"/>
    <mergeCell ref="A48:C48"/>
    <mergeCell ref="F48:G48"/>
    <mergeCell ref="A43:I43"/>
    <mergeCell ref="F46:G46"/>
    <mergeCell ref="D47:E47"/>
    <mergeCell ref="D48:E48"/>
    <mergeCell ref="A47:C47"/>
    <mergeCell ref="F45:G45"/>
    <mergeCell ref="F44:G44"/>
    <mergeCell ref="A46:C46"/>
    <mergeCell ref="A45:C45"/>
    <mergeCell ref="C5:I5"/>
    <mergeCell ref="A8:C8"/>
    <mergeCell ref="D44:E44"/>
    <mergeCell ref="A44:C44"/>
    <mergeCell ref="A56:G56"/>
    <mergeCell ref="H56:I56"/>
    <mergeCell ref="F47:G47"/>
    <mergeCell ref="A49:C49"/>
    <mergeCell ref="A52:H52"/>
    <mergeCell ref="A51:I51"/>
    <mergeCell ref="A50:H50"/>
    <mergeCell ref="A54:G54"/>
    <mergeCell ref="F49:G49"/>
    <mergeCell ref="A55:C55"/>
    <mergeCell ref="D55:E55"/>
    <mergeCell ref="F55:I55"/>
    <mergeCell ref="A53:H53"/>
    <mergeCell ref="D49:E49"/>
    <mergeCell ref="A40:C40"/>
    <mergeCell ref="A15:C15"/>
    <mergeCell ref="A35:C35"/>
    <mergeCell ref="A36:C36"/>
    <mergeCell ref="A37:C37"/>
    <mergeCell ref="A39:C39"/>
  </mergeCells>
  <phoneticPr fontId="0" type="noConversion"/>
  <dataValidations count="5">
    <dataValidation type="list" allowBlank="1" showInputMessage="1" showErrorMessage="1" sqref="A9:A18 B16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6:C29 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C00000"/>
    <pageSetUpPr fitToPage="1"/>
  </sheetPr>
  <dimension ref="A1:J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268</v>
      </c>
      <c r="B8" s="1216"/>
      <c r="C8" s="1217"/>
      <c r="D8" s="851" t="e">
        <f t="shared" ref="D8:D18" si="0">IF(A8&lt;&gt;0,VLOOKUP(A8,Materiales,2,FALSE),$J$1)</f>
        <v>#REF!</v>
      </c>
      <c r="E8" s="12">
        <v>216</v>
      </c>
      <c r="F8" s="21" t="e">
        <f t="shared" ref="F8:F15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118</v>
      </c>
      <c r="B9" s="1216"/>
      <c r="C9" s="1217"/>
      <c r="D9" s="851" t="e">
        <f t="shared" si="0"/>
        <v>#REF!</v>
      </c>
      <c r="E9" s="13">
        <v>3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145</v>
      </c>
      <c r="B10" s="1216"/>
      <c r="C10" s="1217"/>
      <c r="D10" s="851" t="e">
        <f t="shared" si="0"/>
        <v>#REF!</v>
      </c>
      <c r="E10" s="13">
        <v>0.06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229</v>
      </c>
      <c r="B11" s="1216"/>
      <c r="C11" s="1217"/>
      <c r="D11" s="851" t="e">
        <f t="shared" si="0"/>
        <v>#REF!</v>
      </c>
      <c r="E11" s="12">
        <v>0.32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292</v>
      </c>
      <c r="B12" s="1216"/>
      <c r="C12" s="1217"/>
      <c r="D12" s="851" t="e">
        <f t="shared" si="0"/>
        <v>#REF!</v>
      </c>
      <c r="E12" s="12">
        <v>0.2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148</v>
      </c>
      <c r="B13" s="1216"/>
      <c r="C13" s="1217"/>
      <c r="D13" s="851" t="e">
        <f t="shared" si="0"/>
        <v>#REF!</v>
      </c>
      <c r="E13" s="12">
        <v>4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1215" t="s">
        <v>2320</v>
      </c>
      <c r="B14" s="1216"/>
      <c r="C14" s="1217"/>
      <c r="D14" s="851" t="e">
        <f t="shared" si="0"/>
        <v>#REF!</v>
      </c>
      <c r="E14" s="12">
        <v>0.08</v>
      </c>
      <c r="F14" s="21" t="e">
        <f t="shared" si="1"/>
        <v>#REF!</v>
      </c>
      <c r="G14" s="22"/>
      <c r="H14" s="8" t="e">
        <f t="shared" si="2"/>
        <v>#REF!</v>
      </c>
      <c r="I14" s="69"/>
    </row>
    <row r="15" spans="1:10" x14ac:dyDescent="0.2">
      <c r="A15" s="1215"/>
      <c r="B15" s="1216"/>
      <c r="C15" s="1217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3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1236.67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1236.67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0"/>
      <c r="B35" s="1211"/>
      <c r="C35" s="1212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0"/>
      <c r="B36" s="1211"/>
      <c r="C36" s="1212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0"/>
      <c r="B37" s="1211"/>
      <c r="C37" s="1212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0"/>
      <c r="B39" s="1211"/>
      <c r="C39" s="1212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0"/>
      <c r="B40" s="1211"/>
      <c r="C40" s="1212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48</v>
      </c>
      <c r="B45" s="1216"/>
      <c r="C45" s="1217"/>
      <c r="D45" s="1225">
        <f>IF(A45&lt;&gt;0,VLOOKUP(A45,Cuadrillas,7,FALSE),$J$1)</f>
        <v>329249.03000000003</v>
      </c>
      <c r="E45" s="1226"/>
      <c r="F45" s="1221">
        <v>5</v>
      </c>
      <c r="G45" s="1222"/>
      <c r="H45" s="8">
        <f>IF(A45&lt;&gt;0,ROUND(D45/F45,2),$J$1)</f>
        <v>65849.81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65849.81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65849.81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2">
    <mergeCell ref="A1:C1"/>
    <mergeCell ref="B34:C34"/>
    <mergeCell ref="B38:C38"/>
    <mergeCell ref="A41:H41"/>
    <mergeCell ref="A42:I42"/>
    <mergeCell ref="A23:C23"/>
    <mergeCell ref="A9:C9"/>
    <mergeCell ref="A10:C10"/>
    <mergeCell ref="A24:C24"/>
    <mergeCell ref="A25:C25"/>
    <mergeCell ref="A11:C11"/>
    <mergeCell ref="A12:C12"/>
    <mergeCell ref="A13:C13"/>
    <mergeCell ref="A14:C14"/>
    <mergeCell ref="A15:C15"/>
    <mergeCell ref="A35:C35"/>
    <mergeCell ref="A56:G56"/>
    <mergeCell ref="H56:I56"/>
    <mergeCell ref="F47:G47"/>
    <mergeCell ref="A49:C49"/>
    <mergeCell ref="A52:H52"/>
    <mergeCell ref="A51:I51"/>
    <mergeCell ref="A50:H50"/>
    <mergeCell ref="A54:G54"/>
    <mergeCell ref="F49:G49"/>
    <mergeCell ref="A55:C55"/>
    <mergeCell ref="D55:E55"/>
    <mergeCell ref="F55:I55"/>
    <mergeCell ref="A53:H53"/>
    <mergeCell ref="D49:E49"/>
    <mergeCell ref="D46:E46"/>
    <mergeCell ref="H1:I1"/>
    <mergeCell ref="A48:C48"/>
    <mergeCell ref="F48:G48"/>
    <mergeCell ref="A43:I43"/>
    <mergeCell ref="F46:G46"/>
    <mergeCell ref="D47:E47"/>
    <mergeCell ref="D48:E48"/>
    <mergeCell ref="A47:C47"/>
    <mergeCell ref="F45:G45"/>
    <mergeCell ref="F44:G44"/>
    <mergeCell ref="A46:C46"/>
    <mergeCell ref="A45:C45"/>
    <mergeCell ref="C5:I5"/>
    <mergeCell ref="A8:C8"/>
    <mergeCell ref="D44:E44"/>
    <mergeCell ref="A36:C36"/>
    <mergeCell ref="A37:C37"/>
    <mergeCell ref="A39:C39"/>
    <mergeCell ref="A40:C40"/>
    <mergeCell ref="D45:E45"/>
    <mergeCell ref="A44:C44"/>
  </mergeCells>
  <phoneticPr fontId="0" type="noConversion"/>
  <dataValidations count="5">
    <dataValidation type="list" allowBlank="1" showInputMessage="1" showErrorMessage="1" sqref="A9:A18 B16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6:C29 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G38"/>
  <sheetViews>
    <sheetView view="pageBreakPreview" zoomScale="55" zoomScaleNormal="50" zoomScaleSheetLayoutView="55" workbookViewId="0">
      <selection activeCell="B53" sqref="B53"/>
    </sheetView>
  </sheetViews>
  <sheetFormatPr baseColWidth="10" defaultColWidth="11.42578125" defaultRowHeight="15" x14ac:dyDescent="0.2"/>
  <cols>
    <col min="1" max="1" width="8" style="1522" customWidth="1"/>
    <col min="2" max="2" width="48.5703125" style="1523" customWidth="1"/>
    <col min="3" max="3" width="10.7109375" style="1524" customWidth="1"/>
    <col min="4" max="4" width="13.42578125" style="1517" customWidth="1"/>
    <col min="5" max="5" width="18.7109375" style="721" customWidth="1"/>
    <col min="6" max="6" width="21.5703125" style="1519" customWidth="1"/>
    <col min="7" max="7" width="21" style="1525" customWidth="1"/>
    <col min="8" max="16384" width="11.42578125" style="1486"/>
  </cols>
  <sheetData>
    <row r="1" spans="1:7" s="1479" customFormat="1" ht="15.75" x14ac:dyDescent="0.25">
      <c r="A1" s="1079" t="s">
        <v>2082</v>
      </c>
      <c r="B1" s="1079"/>
      <c r="C1" s="1079"/>
      <c r="D1" s="1079"/>
      <c r="E1" s="1079"/>
      <c r="F1" s="1079"/>
      <c r="G1" s="1079"/>
    </row>
    <row r="2" spans="1:7" s="1479" customFormat="1" ht="18" customHeight="1" x14ac:dyDescent="0.25">
      <c r="A2" s="1079" t="s">
        <v>2420</v>
      </c>
      <c r="B2" s="1079"/>
      <c r="C2" s="1079"/>
      <c r="D2" s="1079"/>
      <c r="E2" s="1079"/>
      <c r="F2" s="1079"/>
      <c r="G2" s="1079"/>
    </row>
    <row r="3" spans="1:7" s="1479" customFormat="1" ht="39" customHeight="1" x14ac:dyDescent="0.2">
      <c r="A3" s="1477" t="s">
        <v>4</v>
      </c>
      <c r="B3" s="1477"/>
      <c r="C3" s="1477"/>
      <c r="D3" s="1477"/>
      <c r="E3" s="1477"/>
      <c r="F3" s="1477"/>
      <c r="G3" s="1477"/>
    </row>
    <row r="4" spans="1:7" s="1479" customFormat="1" ht="18" customHeight="1" x14ac:dyDescent="0.2">
      <c r="A4" s="1481" t="s">
        <v>2083</v>
      </c>
      <c r="B4" s="1482"/>
      <c r="C4" s="1482"/>
      <c r="D4" s="1482"/>
      <c r="E4" s="1482"/>
      <c r="F4" s="1482"/>
      <c r="G4" s="1483"/>
    </row>
    <row r="6" spans="1:7" ht="34.5" customHeight="1" x14ac:dyDescent="0.2">
      <c r="A6" s="1439" t="s">
        <v>533</v>
      </c>
      <c r="B6" s="1440" t="s">
        <v>534</v>
      </c>
      <c r="C6" s="1440" t="s">
        <v>2406</v>
      </c>
      <c r="D6" s="1441" t="s">
        <v>536</v>
      </c>
      <c r="E6" s="1526" t="s">
        <v>2405</v>
      </c>
      <c r="F6" s="1527" t="s">
        <v>2287</v>
      </c>
      <c r="G6" s="1527" t="s">
        <v>2404</v>
      </c>
    </row>
    <row r="7" spans="1:7" ht="12.75" x14ac:dyDescent="0.2">
      <c r="A7" s="1461">
        <v>3</v>
      </c>
      <c r="B7" s="1462" t="s">
        <v>2109</v>
      </c>
      <c r="C7" s="1463"/>
      <c r="D7" s="1464"/>
      <c r="E7" s="1528"/>
      <c r="F7" s="1529"/>
      <c r="G7" s="1530"/>
    </row>
    <row r="8" spans="1:7" s="1489" customFormat="1" ht="12.75" x14ac:dyDescent="0.2">
      <c r="A8" s="1465">
        <v>3.01</v>
      </c>
      <c r="B8" s="1466" t="s">
        <v>2110</v>
      </c>
      <c r="C8" s="1466"/>
      <c r="D8" s="1466"/>
      <c r="E8" s="1531"/>
      <c r="F8" s="1532"/>
      <c r="G8" s="1533"/>
    </row>
    <row r="9" spans="1:7" ht="12.75" x14ac:dyDescent="0.2">
      <c r="A9" s="1467" t="s">
        <v>2111</v>
      </c>
      <c r="B9" s="1468" t="s">
        <v>2112</v>
      </c>
      <c r="C9" s="1469" t="s">
        <v>114</v>
      </c>
      <c r="D9" s="1470">
        <v>5537.94</v>
      </c>
      <c r="E9" s="1534"/>
      <c r="F9" s="1535"/>
      <c r="G9" s="1536"/>
    </row>
    <row r="10" spans="1:7" ht="12.75" x14ac:dyDescent="0.2">
      <c r="A10" s="1467" t="s">
        <v>2113</v>
      </c>
      <c r="B10" s="1468" t="s">
        <v>2114</v>
      </c>
      <c r="C10" s="1469" t="s">
        <v>114</v>
      </c>
      <c r="D10" s="1470">
        <v>1355.23</v>
      </c>
      <c r="E10" s="1534"/>
      <c r="F10" s="1535"/>
      <c r="G10" s="1536"/>
    </row>
    <row r="11" spans="1:7" ht="12.75" x14ac:dyDescent="0.2">
      <c r="A11" s="1467" t="s">
        <v>2115</v>
      </c>
      <c r="B11" s="1468" t="s">
        <v>2116</v>
      </c>
      <c r="C11" s="1469" t="s">
        <v>114</v>
      </c>
      <c r="D11" s="1470">
        <v>564.16</v>
      </c>
      <c r="E11" s="1534"/>
      <c r="F11" s="1535"/>
      <c r="G11" s="1536"/>
    </row>
    <row r="12" spans="1:7" ht="12.75" x14ac:dyDescent="0.2">
      <c r="A12" s="1467" t="s">
        <v>2117</v>
      </c>
      <c r="B12" s="1468" t="s">
        <v>2118</v>
      </c>
      <c r="C12" s="1469" t="s">
        <v>114</v>
      </c>
      <c r="D12" s="1470">
        <v>504.72</v>
      </c>
      <c r="E12" s="1534"/>
      <c r="F12" s="1535"/>
      <c r="G12" s="1536"/>
    </row>
    <row r="13" spans="1:7" ht="12.75" x14ac:dyDescent="0.2">
      <c r="A13" s="1467" t="s">
        <v>2119</v>
      </c>
      <c r="B13" s="1468" t="s">
        <v>2120</v>
      </c>
      <c r="C13" s="1469" t="s">
        <v>114</v>
      </c>
      <c r="D13" s="1470">
        <v>601.01</v>
      </c>
      <c r="E13" s="1534"/>
      <c r="F13" s="1535"/>
      <c r="G13" s="1536"/>
    </row>
    <row r="14" spans="1:7" ht="12.75" x14ac:dyDescent="0.2">
      <c r="A14" s="1467" t="s">
        <v>2121</v>
      </c>
      <c r="B14" s="1468" t="s">
        <v>2122</v>
      </c>
      <c r="C14" s="1469" t="s">
        <v>114</v>
      </c>
      <c r="D14" s="1470">
        <v>223.18</v>
      </c>
      <c r="E14" s="1534"/>
      <c r="F14" s="1535"/>
      <c r="G14" s="1536"/>
    </row>
    <row r="15" spans="1:7" ht="12.75" x14ac:dyDescent="0.2">
      <c r="A15" s="1467" t="s">
        <v>2123</v>
      </c>
      <c r="B15" s="1468" t="s">
        <v>2124</v>
      </c>
      <c r="C15" s="1469" t="s">
        <v>114</v>
      </c>
      <c r="D15" s="1470">
        <v>196.43</v>
      </c>
      <c r="E15" s="1534"/>
      <c r="F15" s="1535"/>
      <c r="G15" s="1536"/>
    </row>
    <row r="16" spans="1:7" ht="15" customHeight="1" x14ac:dyDescent="0.2">
      <c r="A16" s="1467" t="s">
        <v>2125</v>
      </c>
      <c r="B16" s="1468" t="s">
        <v>2126</v>
      </c>
      <c r="C16" s="1469" t="s">
        <v>2127</v>
      </c>
      <c r="D16" s="1470">
        <v>447</v>
      </c>
      <c r="E16" s="1534"/>
      <c r="F16" s="1535"/>
      <c r="G16" s="1536"/>
    </row>
    <row r="17" spans="1:7" ht="15" customHeight="1" x14ac:dyDescent="0.2">
      <c r="A17" s="1467" t="s">
        <v>2128</v>
      </c>
      <c r="B17" s="1468" t="s">
        <v>2129</v>
      </c>
      <c r="C17" s="1469" t="s">
        <v>2127</v>
      </c>
      <c r="D17" s="1470">
        <v>160</v>
      </c>
      <c r="E17" s="1534"/>
      <c r="F17" s="1535"/>
      <c r="G17" s="1536"/>
    </row>
    <row r="18" spans="1:7" ht="15" customHeight="1" x14ac:dyDescent="0.2">
      <c r="A18" s="1467" t="s">
        <v>2130</v>
      </c>
      <c r="B18" s="1468" t="s">
        <v>2131</v>
      </c>
      <c r="C18" s="1469" t="s">
        <v>2127</v>
      </c>
      <c r="D18" s="1470">
        <v>38</v>
      </c>
      <c r="E18" s="1534"/>
      <c r="F18" s="1535"/>
      <c r="G18" s="1536"/>
    </row>
    <row r="19" spans="1:7" ht="15" customHeight="1" x14ac:dyDescent="0.2">
      <c r="A19" s="1467" t="s">
        <v>2132</v>
      </c>
      <c r="B19" s="1468" t="s">
        <v>2133</v>
      </c>
      <c r="C19" s="1469" t="s">
        <v>2127</v>
      </c>
      <c r="D19" s="1470">
        <v>57</v>
      </c>
      <c r="E19" s="1534"/>
      <c r="F19" s="1535"/>
      <c r="G19" s="1536"/>
    </row>
    <row r="20" spans="1:7" ht="15" customHeight="1" x14ac:dyDescent="0.2">
      <c r="A20" s="1467" t="s">
        <v>2134</v>
      </c>
      <c r="B20" s="1468" t="s">
        <v>2135</v>
      </c>
      <c r="C20" s="1469" t="s">
        <v>2127</v>
      </c>
      <c r="D20" s="1470">
        <v>33</v>
      </c>
      <c r="E20" s="1534"/>
      <c r="F20" s="1535"/>
      <c r="G20" s="1536"/>
    </row>
    <row r="21" spans="1:7" ht="15" customHeight="1" x14ac:dyDescent="0.2">
      <c r="A21" s="1467" t="s">
        <v>2136</v>
      </c>
      <c r="B21" s="1468" t="s">
        <v>2137</v>
      </c>
      <c r="C21" s="1469" t="s">
        <v>2127</v>
      </c>
      <c r="D21" s="1470">
        <v>25</v>
      </c>
      <c r="E21" s="1534"/>
      <c r="F21" s="1535"/>
      <c r="G21" s="1536"/>
    </row>
    <row r="22" spans="1:7" ht="15" customHeight="1" x14ac:dyDescent="0.2">
      <c r="A22" s="1467" t="s">
        <v>2138</v>
      </c>
      <c r="B22" s="1468" t="s">
        <v>2139</v>
      </c>
      <c r="C22" s="1469" t="s">
        <v>2127</v>
      </c>
      <c r="D22" s="1470">
        <v>29</v>
      </c>
      <c r="E22" s="1534"/>
      <c r="F22" s="1535"/>
      <c r="G22" s="1536"/>
    </row>
    <row r="23" spans="1:7" x14ac:dyDescent="0.2">
      <c r="A23" s="1502"/>
      <c r="B23" s="1503"/>
      <c r="C23" s="1504"/>
      <c r="D23" s="1505"/>
      <c r="E23" s="1506"/>
      <c r="F23" s="1506"/>
      <c r="G23" s="1507"/>
    </row>
    <row r="24" spans="1:7" s="1508" customFormat="1" x14ac:dyDescent="0.2">
      <c r="A24" s="1502"/>
      <c r="B24" s="1503"/>
      <c r="C24" s="1504"/>
      <c r="D24" s="1505"/>
      <c r="E24" s="1506"/>
      <c r="F24" s="1506"/>
      <c r="G24" s="1507"/>
    </row>
    <row r="25" spans="1:7" ht="18" customHeight="1" x14ac:dyDescent="0.2">
      <c r="A25" s="1471" t="s">
        <v>2208</v>
      </c>
      <c r="B25" s="1472"/>
      <c r="C25" s="1472"/>
      <c r="D25" s="1472"/>
      <c r="E25" s="1472"/>
      <c r="F25" s="1509"/>
      <c r="G25" s="1511"/>
    </row>
    <row r="26" spans="1:7" s="1537" customFormat="1" ht="18" customHeight="1" x14ac:dyDescent="0.2">
      <c r="A26" s="1471" t="s">
        <v>2413</v>
      </c>
      <c r="B26" s="1472"/>
      <c r="C26" s="1472"/>
      <c r="D26" s="1472"/>
      <c r="E26" s="1473"/>
      <c r="F26" s="1510"/>
      <c r="G26" s="1511"/>
    </row>
    <row r="27" spans="1:7" s="1537" customFormat="1" ht="18" customHeight="1" x14ac:dyDescent="0.2">
      <c r="A27" s="1471" t="s">
        <v>2211</v>
      </c>
      <c r="B27" s="1472"/>
      <c r="C27" s="1472"/>
      <c r="D27" s="1472"/>
      <c r="E27" s="1472"/>
      <c r="F27" s="1509"/>
      <c r="G27" s="1511"/>
    </row>
    <row r="28" spans="1:7" s="1537" customFormat="1" ht="12.75" x14ac:dyDescent="0.2">
      <c r="A28" s="1538"/>
      <c r="B28" s="1538"/>
      <c r="C28" s="1538"/>
      <c r="D28" s="1538"/>
      <c r="E28" s="1538"/>
      <c r="F28" s="1538"/>
      <c r="G28" s="1538"/>
    </row>
    <row r="29" spans="1:7" s="1537" customFormat="1" ht="12.75" x14ac:dyDescent="0.2">
      <c r="A29" s="1513"/>
      <c r="B29" s="1513"/>
      <c r="C29" s="1513"/>
      <c r="D29" s="1513"/>
      <c r="E29" s="1513"/>
      <c r="F29" s="1513"/>
      <c r="G29" s="1513"/>
    </row>
    <row r="30" spans="1:7" s="1537" customFormat="1" ht="12.75" x14ac:dyDescent="0.2">
      <c r="A30" s="1513"/>
      <c r="B30" s="1513"/>
      <c r="C30" s="1513"/>
      <c r="D30" s="1513"/>
      <c r="E30" s="1513"/>
      <c r="F30" s="1513"/>
      <c r="G30" s="1513"/>
    </row>
    <row r="31" spans="1:7" s="1537" customFormat="1" ht="12.75" x14ac:dyDescent="0.2">
      <c r="A31" s="1513"/>
      <c r="B31" s="1513"/>
      <c r="C31" s="1513"/>
      <c r="D31" s="1513"/>
      <c r="E31" s="1513"/>
      <c r="F31" s="1513"/>
      <c r="G31" s="1513"/>
    </row>
    <row r="32" spans="1:7" s="1537" customFormat="1" ht="12.75" x14ac:dyDescent="0.2">
      <c r="A32" s="1513"/>
      <c r="B32" s="1513"/>
      <c r="C32" s="1513"/>
      <c r="D32" s="1513"/>
      <c r="E32" s="1513"/>
      <c r="F32" s="1513"/>
      <c r="G32" s="1513"/>
    </row>
    <row r="33" spans="1:7" s="1537" customFormat="1" ht="12.75" x14ac:dyDescent="0.2">
      <c r="A33" s="1513"/>
      <c r="B33" s="1513"/>
      <c r="C33" s="1513"/>
      <c r="D33" s="1513"/>
      <c r="E33" s="1513"/>
      <c r="F33" s="1513"/>
      <c r="G33" s="1513"/>
    </row>
    <row r="36" spans="1:7" s="1539" customFormat="1" ht="15.75" x14ac:dyDescent="0.25">
      <c r="A36" s="1514"/>
      <c r="B36" s="1515"/>
      <c r="C36" s="1516"/>
      <c r="D36" s="1517"/>
      <c r="E36" s="1518"/>
      <c r="F36" s="1519"/>
      <c r="G36" s="1520"/>
    </row>
    <row r="38" spans="1:7" s="1539" customFormat="1" ht="15.75" x14ac:dyDescent="0.25">
      <c r="A38" s="1514"/>
      <c r="B38" s="1515"/>
      <c r="C38" s="1516"/>
      <c r="D38" s="1517"/>
      <c r="E38" s="1521"/>
      <c r="F38" s="1519"/>
      <c r="G38" s="1520"/>
    </row>
  </sheetData>
  <sheetProtection algorithmName="SHA-512" hashValue="DD/kMfEpP4DLKLAqun3nY8vnBqyOo2UncSTIF9zcHxS8/7MoqfAFS7GCiXuy093ApFJdrSZkruAeuJplQfta1Q==" saltValue="coLBMDLKEIBgfjTbmDwXqg==" spinCount="100000" sheet="1" formatCells="0" formatColumns="0" formatRows="0" insertColumns="0" insertRows="0" insertHyperlinks="0" deleteColumns="0" deleteRows="0" sort="0" autoFilter="0" pivotTables="0"/>
  <autoFilter ref="A6:G27"/>
  <mergeCells count="6">
    <mergeCell ref="A1:G1"/>
    <mergeCell ref="A2:G2"/>
    <mergeCell ref="A3:G3"/>
    <mergeCell ref="A25:E25"/>
    <mergeCell ref="A26:E26"/>
    <mergeCell ref="A27:E27"/>
  </mergeCells>
  <conditionalFormatting sqref="D9:D15">
    <cfRule type="cellIs" dxfId="13" priority="24" operator="equal">
      <formula>0</formula>
    </cfRule>
  </conditionalFormatting>
  <conditionalFormatting sqref="D22">
    <cfRule type="cellIs" dxfId="12" priority="21" operator="equal">
      <formula>0</formula>
    </cfRule>
  </conditionalFormatting>
  <conditionalFormatting sqref="D20:D21">
    <cfRule type="cellIs" dxfId="11" priority="18" operator="equal">
      <formula>0</formula>
    </cfRule>
  </conditionalFormatting>
  <conditionalFormatting sqref="D18:D19">
    <cfRule type="cellIs" dxfId="10" priority="15" operator="equal">
      <formula>0</formula>
    </cfRule>
  </conditionalFormatting>
  <conditionalFormatting sqref="D16:D17">
    <cfRule type="cellIs" dxfId="9" priority="12" operator="equal">
      <formula>0</formula>
    </cfRule>
  </conditionalFormatting>
  <printOptions horizontalCentered="1"/>
  <pageMargins left="0.39370078740157483" right="0.19685039370078741" top="0.59055118110236227" bottom="0.39370078740157483" header="0" footer="0"/>
  <pageSetup scale="62" fitToHeight="10" orientation="landscape" errors="blank" r:id="rId1"/>
  <headerFooter alignWithMargins="0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1">
    <tabColor rgb="FFC00000"/>
    <pageSetUpPr fitToPage="1"/>
  </sheetPr>
  <dimension ref="A1:M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1" width="9.140625" style="1"/>
    <col min="12" max="12" width="15" style="1" bestFit="1" customWidth="1"/>
    <col min="13" max="13" width="16.5703125" style="1" customWidth="1"/>
    <col min="14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268</v>
      </c>
      <c r="B8" s="1216"/>
      <c r="C8" s="1217"/>
      <c r="D8" s="851" t="e">
        <f t="shared" ref="D8:D18" si="0">IF(A8&lt;&gt;0,VLOOKUP(A8,Materiales,2,FALSE),$J$1)</f>
        <v>#REF!</v>
      </c>
      <c r="E8" s="12">
        <v>70</v>
      </c>
      <c r="F8" s="21" t="e">
        <f t="shared" ref="F8:F15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118</v>
      </c>
      <c r="B9" s="1216"/>
      <c r="C9" s="1217"/>
      <c r="D9" s="851" t="e">
        <f t="shared" si="0"/>
        <v>#REF!</v>
      </c>
      <c r="E9" s="13">
        <v>2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145</v>
      </c>
      <c r="B10" s="1216"/>
      <c r="C10" s="1217"/>
      <c r="D10" s="851" t="e">
        <f t="shared" si="0"/>
        <v>#REF!</v>
      </c>
      <c r="E10" s="13">
        <v>0.06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229</v>
      </c>
      <c r="B11" s="1216"/>
      <c r="C11" s="1217"/>
      <c r="D11" s="851" t="e">
        <f t="shared" si="0"/>
        <v>#REF!</v>
      </c>
      <c r="E11" s="12">
        <v>0.08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292</v>
      </c>
      <c r="B12" s="1216"/>
      <c r="C12" s="1217"/>
      <c r="D12" s="851" t="e">
        <f t="shared" si="0"/>
        <v>#REF!</v>
      </c>
      <c r="E12" s="12">
        <v>0.05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148</v>
      </c>
      <c r="B13" s="1216"/>
      <c r="C13" s="1217"/>
      <c r="D13" s="851" t="e">
        <f t="shared" si="0"/>
        <v>#REF!</v>
      </c>
      <c r="E13" s="12">
        <v>3.2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1215" t="s">
        <v>2320</v>
      </c>
      <c r="B14" s="1216"/>
      <c r="C14" s="1217"/>
      <c r="D14" s="851" t="e">
        <f t="shared" si="0"/>
        <v>#REF!</v>
      </c>
      <c r="E14" s="12">
        <v>0.04</v>
      </c>
      <c r="F14" s="21" t="e">
        <f t="shared" si="1"/>
        <v>#REF!</v>
      </c>
      <c r="G14" s="22"/>
      <c r="H14" s="8" t="e">
        <f t="shared" si="2"/>
        <v>#REF!</v>
      </c>
      <c r="I14" s="69"/>
    </row>
    <row r="15" spans="1:10" x14ac:dyDescent="0.2">
      <c r="A15" s="1215"/>
      <c r="B15" s="1216"/>
      <c r="C15" s="1217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13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13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13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13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13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13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13" x14ac:dyDescent="0.2">
      <c r="A23" s="1215" t="s">
        <v>477</v>
      </c>
      <c r="B23" s="1216"/>
      <c r="C23" s="1217"/>
      <c r="D23" s="26">
        <v>3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1236.67</v>
      </c>
      <c r="I23" s="69"/>
      <c r="L23" s="455"/>
      <c r="M23" s="455"/>
    </row>
    <row r="24" spans="1:13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  <c r="L24" s="455"/>
      <c r="M24" s="455"/>
    </row>
    <row r="25" spans="1:13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  <c r="L25" s="455"/>
      <c r="M25" s="455"/>
    </row>
    <row r="26" spans="1:13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  <c r="L26" s="455"/>
      <c r="M26" s="455"/>
    </row>
    <row r="27" spans="1:13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  <c r="L27" s="455"/>
    </row>
    <row r="28" spans="1:13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  <c r="L28" s="455"/>
    </row>
    <row r="29" spans="1:13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  <c r="L29" s="455"/>
    </row>
    <row r="30" spans="1:13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1236.67</v>
      </c>
      <c r="L30" s="455"/>
    </row>
    <row r="31" spans="1:13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13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0"/>
      <c r="B35" s="1211"/>
      <c r="C35" s="1212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0"/>
      <c r="B36" s="1211"/>
      <c r="C36" s="1212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0"/>
      <c r="B37" s="1211"/>
      <c r="C37" s="1212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0"/>
      <c r="B39" s="1211"/>
      <c r="C39" s="1212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0"/>
      <c r="B40" s="1211"/>
      <c r="C40" s="1212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48</v>
      </c>
      <c r="B45" s="1216"/>
      <c r="C45" s="1217"/>
      <c r="D45" s="1225">
        <f>IF(A45&lt;&gt;0,VLOOKUP(A45,Cuadrillas,7,FALSE),$J$1)</f>
        <v>329249.03000000003</v>
      </c>
      <c r="E45" s="1226"/>
      <c r="F45" s="1221">
        <v>5</v>
      </c>
      <c r="G45" s="1222"/>
      <c r="H45" s="8">
        <f>IF(A45&lt;&gt;0,ROUND(D45/F45,2),$J$1)</f>
        <v>65849.81</v>
      </c>
      <c r="I45" s="69"/>
    </row>
    <row r="46" spans="1:9" x14ac:dyDescent="0.2">
      <c r="A46" s="1215" t="s">
        <v>39</v>
      </c>
      <c r="B46" s="1216"/>
      <c r="C46" s="1217"/>
      <c r="D46" s="1225">
        <f>IF(A46&lt;&gt;0,VLOOKUP(A46,Cuadrillas,7,FALSE),$J$1)</f>
        <v>154270.22</v>
      </c>
      <c r="E46" s="1226"/>
      <c r="F46" s="1221">
        <v>20</v>
      </c>
      <c r="G46" s="1222"/>
      <c r="H46" s="8">
        <f>IF(A46&lt;&gt;0,ROUND(D46/F46,2),$J$1)</f>
        <v>7713.51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73563.319999999992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73563.319999999992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2">
    <mergeCell ref="A23:C23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14:C14"/>
    <mergeCell ref="A15:C15"/>
    <mergeCell ref="A43:I43"/>
    <mergeCell ref="A24:C24"/>
    <mergeCell ref="A25:C25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6:C29 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6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2">
    <tabColor rgb="FFC00000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268</v>
      </c>
      <c r="B8" s="1216"/>
      <c r="C8" s="1217"/>
      <c r="D8" s="851" t="e">
        <f t="shared" ref="D8:D19" si="0">IF(A8&lt;&gt;0,VLOOKUP(A8,Materiales,2,FALSE),$J$1)</f>
        <v>#REF!</v>
      </c>
      <c r="E8" s="12">
        <v>110</v>
      </c>
      <c r="F8" s="21" t="e">
        <f t="shared" ref="F8:F16" si="1">IF(A8&lt;&gt;0,VLOOKUP(A8,Materiales,6,FALSE),$J$1)</f>
        <v>#REF!</v>
      </c>
      <c r="G8" s="22"/>
      <c r="H8" s="8" t="e">
        <f t="shared" ref="H8:H19" si="2">IF(A8&lt;&gt;0,ROUND(E8*F8,2),$J$1)</f>
        <v>#REF!</v>
      </c>
      <c r="I8" s="69"/>
    </row>
    <row r="9" spans="1:10" x14ac:dyDescent="0.2">
      <c r="A9" s="1215" t="s">
        <v>118</v>
      </c>
      <c r="B9" s="1216"/>
      <c r="C9" s="1217"/>
      <c r="D9" s="851" t="e">
        <f t="shared" si="0"/>
        <v>#REF!</v>
      </c>
      <c r="E9" s="13">
        <v>3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145</v>
      </c>
      <c r="B10" s="1216"/>
      <c r="C10" s="1217"/>
      <c r="D10" s="851" t="e">
        <f t="shared" si="0"/>
        <v>#REF!</v>
      </c>
      <c r="E10" s="13">
        <v>0.06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229</v>
      </c>
      <c r="B11" s="1216"/>
      <c r="C11" s="1217"/>
      <c r="D11" s="851" t="e">
        <f t="shared" si="0"/>
        <v>#REF!</v>
      </c>
      <c r="E11" s="12">
        <v>0.15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292</v>
      </c>
      <c r="B12" s="1216"/>
      <c r="C12" s="1217"/>
      <c r="D12" s="851" t="e">
        <f t="shared" si="0"/>
        <v>#REF!</v>
      </c>
      <c r="E12" s="12">
        <v>0.1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148</v>
      </c>
      <c r="B13" s="1216"/>
      <c r="C13" s="1217"/>
      <c r="D13" s="851" t="e">
        <f t="shared" si="0"/>
        <v>#REF!</v>
      </c>
      <c r="E13" s="12">
        <v>5.6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1215" t="s">
        <v>122</v>
      </c>
      <c r="B14" s="1216"/>
      <c r="C14" s="1217"/>
      <c r="D14" s="851" t="s">
        <v>119</v>
      </c>
      <c r="E14" s="12">
        <v>23.64</v>
      </c>
      <c r="F14" s="21" t="e">
        <f>IF(A14&lt;&gt;0,VLOOKUP(A14,Materiales,6,FALSE),$J$1)</f>
        <v>#REF!</v>
      </c>
      <c r="G14" s="22"/>
      <c r="H14" s="8" t="e">
        <f t="shared" si="2"/>
        <v>#REF!</v>
      </c>
      <c r="I14" s="69"/>
    </row>
    <row r="15" spans="1:10" x14ac:dyDescent="0.2">
      <c r="A15" s="1215" t="s">
        <v>2320</v>
      </c>
      <c r="B15" s="1216"/>
      <c r="C15" s="1217"/>
      <c r="D15" s="851" t="e">
        <f t="shared" si="0"/>
        <v>#REF!</v>
      </c>
      <c r="E15" s="12">
        <v>0.04</v>
      </c>
      <c r="F15" s="21" t="e">
        <f t="shared" si="1"/>
        <v>#REF!</v>
      </c>
      <c r="G15" s="22"/>
      <c r="H15" s="8" t="e">
        <f t="shared" si="2"/>
        <v>#REF!</v>
      </c>
      <c r="I15" s="69"/>
    </row>
    <row r="16" spans="1:10" x14ac:dyDescent="0.2">
      <c r="A16" s="1215"/>
      <c r="B16" s="1216"/>
      <c r="C16" s="1217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69"/>
    </row>
    <row r="19" spans="1:9" x14ac:dyDescent="0.2">
      <c r="A19" s="871"/>
      <c r="B19" s="872"/>
      <c r="C19" s="873"/>
      <c r="D19" s="851" t="str">
        <f t="shared" si="0"/>
        <v>-</v>
      </c>
      <c r="E19" s="12"/>
      <c r="F19" s="21" t="str">
        <f>IF(A19&lt;&gt;0,VLOOKUP(A19,Materiales,5,FALSE),$J$1)</f>
        <v>-</v>
      </c>
      <c r="G19" s="22"/>
      <c r="H19" s="8" t="str">
        <f t="shared" si="2"/>
        <v>-</v>
      </c>
      <c r="I19" s="73"/>
    </row>
    <row r="20" spans="1:9" x14ac:dyDescent="0.2">
      <c r="A20" s="850" t="s">
        <v>2217</v>
      </c>
      <c r="B20" s="872"/>
      <c r="C20" s="872"/>
      <c r="D20" s="872"/>
      <c r="E20" s="872"/>
      <c r="F20" s="872"/>
      <c r="G20" s="872"/>
      <c r="H20" s="873"/>
      <c r="I20" s="241" t="e">
        <f>SUM(H8:H19)</f>
        <v>#REF!</v>
      </c>
    </row>
    <row r="21" spans="1:9" x14ac:dyDescent="0.2">
      <c r="A21" s="76"/>
      <c r="B21" s="27"/>
      <c r="C21" s="27"/>
      <c r="D21" s="27"/>
      <c r="E21" s="27"/>
      <c r="F21" s="27"/>
      <c r="G21" s="27"/>
      <c r="H21" s="27"/>
      <c r="I21" s="64"/>
    </row>
    <row r="22" spans="1:9" x14ac:dyDescent="0.2">
      <c r="A22" s="875" t="s">
        <v>454</v>
      </c>
      <c r="B22" s="876"/>
      <c r="C22" s="876"/>
      <c r="D22" s="876"/>
      <c r="E22" s="876"/>
      <c r="F22" s="876"/>
      <c r="G22" s="876"/>
      <c r="H22" s="876"/>
      <c r="I22" s="877"/>
    </row>
    <row r="23" spans="1:9" s="9" customFormat="1" ht="25.5" x14ac:dyDescent="0.2">
      <c r="A23" s="255" t="s">
        <v>26</v>
      </c>
      <c r="B23" s="256"/>
      <c r="C23" s="254"/>
      <c r="D23" s="253" t="s">
        <v>2218</v>
      </c>
      <c r="E23" s="254"/>
      <c r="F23" s="235" t="s">
        <v>2219</v>
      </c>
      <c r="G23" s="881" t="s">
        <v>2220</v>
      </c>
      <c r="H23" s="257" t="s">
        <v>2216</v>
      </c>
      <c r="I23" s="72"/>
    </row>
    <row r="24" spans="1:9" x14ac:dyDescent="0.2">
      <c r="A24" s="1215" t="s">
        <v>477</v>
      </c>
      <c r="B24" s="1216"/>
      <c r="C24" s="1217"/>
      <c r="D24" s="26">
        <v>3</v>
      </c>
      <c r="E24" s="28"/>
      <c r="F24" s="12">
        <f t="shared" ref="F24:F30" si="3">IF(A24&lt;&gt;0,VLOOKUP(A24,Equipos,6,FALSE),$J$1)</f>
        <v>3710</v>
      </c>
      <c r="G24" s="14">
        <v>1</v>
      </c>
      <c r="H24" s="8">
        <f t="shared" ref="H24:H30" si="4">IF(A24&lt;&gt;0,ROUND((F24/D24)*G24,2),$J$1)</f>
        <v>1236.67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1215"/>
      <c r="B26" s="1216"/>
      <c r="C26" s="1217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69"/>
    </row>
    <row r="30" spans="1:9" x14ac:dyDescent="0.2">
      <c r="A30" s="871"/>
      <c r="B30" s="872"/>
      <c r="C30" s="873"/>
      <c r="D30" s="26"/>
      <c r="E30" s="28"/>
      <c r="F30" s="12" t="str">
        <f t="shared" si="3"/>
        <v>-</v>
      </c>
      <c r="G30" s="14"/>
      <c r="H30" s="8" t="str">
        <f t="shared" si="4"/>
        <v>-</v>
      </c>
      <c r="I30" s="73"/>
    </row>
    <row r="31" spans="1:9" x14ac:dyDescent="0.2">
      <c r="A31" s="850" t="s">
        <v>2221</v>
      </c>
      <c r="B31" s="872"/>
      <c r="C31" s="872"/>
      <c r="D31" s="872"/>
      <c r="E31" s="872"/>
      <c r="F31" s="872"/>
      <c r="G31" s="872"/>
      <c r="H31" s="873"/>
      <c r="I31" s="241">
        <f>SUM(H24:H30)</f>
        <v>1236.67</v>
      </c>
    </row>
    <row r="32" spans="1:9" x14ac:dyDescent="0.2">
      <c r="A32" s="76"/>
      <c r="B32" s="27"/>
      <c r="C32" s="27"/>
      <c r="D32" s="27"/>
      <c r="E32" s="27"/>
      <c r="F32" s="27"/>
      <c r="G32" s="27"/>
      <c r="H32" s="27"/>
      <c r="I32" s="64"/>
    </row>
    <row r="33" spans="1:9" x14ac:dyDescent="0.2">
      <c r="A33" s="875" t="s">
        <v>2222</v>
      </c>
      <c r="B33" s="876"/>
      <c r="C33" s="876"/>
      <c r="D33" s="876"/>
      <c r="E33" s="876"/>
      <c r="F33" s="876"/>
      <c r="G33" s="876"/>
      <c r="H33" s="876"/>
      <c r="I33" s="877"/>
    </row>
    <row r="34" spans="1:9" s="9" customFormat="1" ht="25.5" x14ac:dyDescent="0.2">
      <c r="A34" s="250" t="s">
        <v>26</v>
      </c>
      <c r="B34" s="251"/>
      <c r="C34" s="252"/>
      <c r="D34" s="253" t="s">
        <v>2223</v>
      </c>
      <c r="E34" s="254"/>
      <c r="F34" s="881" t="s">
        <v>2224</v>
      </c>
      <c r="G34" s="881" t="s">
        <v>2225</v>
      </c>
      <c r="H34" s="257" t="s">
        <v>2216</v>
      </c>
      <c r="I34" s="72"/>
    </row>
    <row r="35" spans="1:9" x14ac:dyDescent="0.2">
      <c r="A35" s="890"/>
      <c r="B35" s="1105" t="s">
        <v>2226</v>
      </c>
      <c r="C35" s="1104"/>
      <c r="D35" s="46"/>
      <c r="E35" s="47"/>
      <c r="F35" s="15"/>
      <c r="G35" s="12"/>
      <c r="H35" s="8"/>
      <c r="I35" s="343">
        <f>SUM(H36:H38)</f>
        <v>0</v>
      </c>
    </row>
    <row r="36" spans="1:9" x14ac:dyDescent="0.2">
      <c r="A36" s="1210"/>
      <c r="B36" s="1211"/>
      <c r="C36" s="1212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8" t="str">
        <f t="shared" ref="H36:H41" si="6">IF(A36&lt;&gt;0,D36/F36*G36,$J$1)</f>
        <v>-</v>
      </c>
      <c r="I36" s="344"/>
    </row>
    <row r="37" spans="1:9" x14ac:dyDescent="0.2">
      <c r="A37" s="1210"/>
      <c r="B37" s="1211"/>
      <c r="C37" s="1212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4"/>
    </row>
    <row r="38" spans="1:9" x14ac:dyDescent="0.2">
      <c r="A38" s="1210"/>
      <c r="B38" s="1211"/>
      <c r="C38" s="1212"/>
      <c r="D38" s="46" t="str">
        <f>IF(A27&lt;&gt;0,VLOOKUP(A38,Transporte,8,FALSE),$J$1)</f>
        <v>-</v>
      </c>
      <c r="E38" s="47"/>
      <c r="F38" s="15" t="str">
        <f t="shared" si="5"/>
        <v>-</v>
      </c>
      <c r="G38" s="12"/>
      <c r="H38" s="8" t="str">
        <f t="shared" si="6"/>
        <v>-</v>
      </c>
      <c r="I38" s="345"/>
    </row>
    <row r="39" spans="1:9" x14ac:dyDescent="0.2">
      <c r="A39" s="871"/>
      <c r="B39" s="1105" t="s">
        <v>2227</v>
      </c>
      <c r="C39" s="1104"/>
      <c r="D39" s="46"/>
      <c r="E39" s="47"/>
      <c r="F39" s="15"/>
      <c r="G39" s="12"/>
      <c r="H39" s="8"/>
      <c r="I39" s="343">
        <f>SUM(H40:H41)</f>
        <v>0</v>
      </c>
    </row>
    <row r="40" spans="1:9" x14ac:dyDescent="0.2">
      <c r="A40" s="1210"/>
      <c r="B40" s="1211"/>
      <c r="C40" s="1212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4"/>
    </row>
    <row r="41" spans="1:9" x14ac:dyDescent="0.2">
      <c r="A41" s="1210"/>
      <c r="B41" s="1211"/>
      <c r="C41" s="1212"/>
      <c r="D41" s="46" t="str">
        <f>IF(A30&lt;&gt;0,VLOOKUP(A41,Transporte,8,FALSE),$J$1)</f>
        <v>-</v>
      </c>
      <c r="E41" s="47"/>
      <c r="F41" s="15" t="str">
        <f t="shared" si="5"/>
        <v>-</v>
      </c>
      <c r="G41" s="12"/>
      <c r="H41" s="8" t="str">
        <f t="shared" si="6"/>
        <v>-</v>
      </c>
      <c r="I41" s="346"/>
    </row>
    <row r="42" spans="1:9" x14ac:dyDescent="0.2">
      <c r="A42" s="1084" t="s">
        <v>2228</v>
      </c>
      <c r="B42" s="1216"/>
      <c r="C42" s="1216"/>
      <c r="D42" s="1216"/>
      <c r="E42" s="1216"/>
      <c r="F42" s="1216"/>
      <c r="G42" s="1216"/>
      <c r="H42" s="1217"/>
      <c r="I42" s="347">
        <f>SUM(I35:I41)</f>
        <v>0</v>
      </c>
    </row>
    <row r="43" spans="1:9" x14ac:dyDescent="0.2">
      <c r="A43" s="1086"/>
      <c r="B43" s="1087"/>
      <c r="C43" s="1087"/>
      <c r="D43" s="1087"/>
      <c r="E43" s="1087"/>
      <c r="F43" s="1087"/>
      <c r="G43" s="1087"/>
      <c r="H43" s="1087"/>
      <c r="I43" s="1088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29" t="s">
        <v>2229</v>
      </c>
      <c r="B45" s="1230"/>
      <c r="C45" s="1231"/>
      <c r="D45" s="1223" t="s">
        <v>2230</v>
      </c>
      <c r="E45" s="1224"/>
      <c r="F45" s="1223" t="s">
        <v>2218</v>
      </c>
      <c r="G45" s="1224"/>
      <c r="H45" s="257" t="s">
        <v>2216</v>
      </c>
      <c r="I45" s="72"/>
    </row>
    <row r="46" spans="1:9" x14ac:dyDescent="0.2">
      <c r="A46" s="1215" t="s">
        <v>48</v>
      </c>
      <c r="B46" s="1216"/>
      <c r="C46" s="1217"/>
      <c r="D46" s="1225">
        <f>IF(A46&lt;&gt;0,VLOOKUP(A46,Cuadrillas,7,FALSE),$J$1)</f>
        <v>329249.03000000003</v>
      </c>
      <c r="E46" s="1226"/>
      <c r="F46" s="1221">
        <v>4</v>
      </c>
      <c r="G46" s="1222"/>
      <c r="H46" s="8">
        <f>IF(A46&lt;&gt;0,ROUND(D46/F46,2),$J$1)</f>
        <v>82312.259999999995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69"/>
    </row>
    <row r="50" spans="1:9" x14ac:dyDescent="0.2">
      <c r="A50" s="1215"/>
      <c r="B50" s="1216"/>
      <c r="C50" s="1217"/>
      <c r="D50" s="1225" t="str">
        <f>IF(A50&lt;&gt;0,VLOOKUP(A50,Cuadrillas,7,FALSE),$J$1)</f>
        <v>-</v>
      </c>
      <c r="E50" s="1226"/>
      <c r="F50" s="1221"/>
      <c r="G50" s="1222"/>
      <c r="H50" s="8" t="str">
        <f>IF(A50&lt;&gt;0,ROUND(D50/F50,2),$J$1)</f>
        <v>-</v>
      </c>
      <c r="I50" s="73"/>
    </row>
    <row r="51" spans="1:9" x14ac:dyDescent="0.2">
      <c r="A51" s="1084" t="s">
        <v>2231</v>
      </c>
      <c r="B51" s="1085"/>
      <c r="C51" s="1085"/>
      <c r="D51" s="1085"/>
      <c r="E51" s="1085"/>
      <c r="F51" s="1085"/>
      <c r="G51" s="1085"/>
      <c r="H51" s="1133"/>
      <c r="I51" s="240">
        <f>SUM(H46:H50)</f>
        <v>82312.259999999995</v>
      </c>
    </row>
    <row r="52" spans="1:9" x14ac:dyDescent="0.2">
      <c r="A52" s="1086"/>
      <c r="B52" s="1087"/>
      <c r="C52" s="1087"/>
      <c r="D52" s="1087"/>
      <c r="E52" s="1087"/>
      <c r="F52" s="1087"/>
      <c r="G52" s="1087"/>
      <c r="H52" s="1087"/>
      <c r="I52" s="1088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193" t="s">
        <v>2233</v>
      </c>
      <c r="B54" s="1194"/>
      <c r="C54" s="1194"/>
      <c r="D54" s="1194"/>
      <c r="E54" s="1194"/>
      <c r="F54" s="1194"/>
      <c r="G54" s="1194"/>
      <c r="H54" s="1194"/>
      <c r="I54" s="238">
        <f>I51</f>
        <v>82312.259999999995</v>
      </c>
    </row>
    <row r="55" spans="1:9" s="9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232"/>
      <c r="D56" s="1097">
        <f>+'Datos entrada'!B7</f>
        <v>0.3</v>
      </c>
      <c r="E56" s="1098"/>
      <c r="F56" s="1233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24:C24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15:C15"/>
    <mergeCell ref="A16:C16"/>
    <mergeCell ref="A44:I44"/>
    <mergeCell ref="A25:C25"/>
    <mergeCell ref="A26:C26"/>
    <mergeCell ref="B35:C35"/>
    <mergeCell ref="A36:C36"/>
    <mergeCell ref="A37:C37"/>
    <mergeCell ref="A38:C38"/>
    <mergeCell ref="B39:C39"/>
    <mergeCell ref="A40:C40"/>
    <mergeCell ref="A41:C41"/>
    <mergeCell ref="A42:H42"/>
    <mergeCell ref="A43:I43"/>
    <mergeCell ref="A45:C45"/>
    <mergeCell ref="D45:E45"/>
    <mergeCell ref="F45:G45"/>
    <mergeCell ref="A46:C46"/>
    <mergeCell ref="D46:E46"/>
    <mergeCell ref="F46:G46"/>
    <mergeCell ref="F50:G50"/>
    <mergeCell ref="A47:C47"/>
    <mergeCell ref="D47:E47"/>
    <mergeCell ref="F47:G47"/>
    <mergeCell ref="A48:C48"/>
    <mergeCell ref="D48:E48"/>
    <mergeCell ref="F48:G48"/>
    <mergeCell ref="A57:G57"/>
    <mergeCell ref="H57:I57"/>
    <mergeCell ref="A14:C14"/>
    <mergeCell ref="A51:H51"/>
    <mergeCell ref="A52:I52"/>
    <mergeCell ref="A53:H53"/>
    <mergeCell ref="A54:H54"/>
    <mergeCell ref="A55:G55"/>
    <mergeCell ref="A56:C56"/>
    <mergeCell ref="D56:E56"/>
    <mergeCell ref="F56:I56"/>
    <mergeCell ref="A49:C49"/>
    <mergeCell ref="D49:E49"/>
    <mergeCell ref="F49:G49"/>
    <mergeCell ref="A50:C50"/>
    <mergeCell ref="D50:E50"/>
  </mergeCells>
  <dataValidations count="5">
    <dataValidation type="list" allowBlank="1" showInputMessage="1" showErrorMessage="1" sqref="A35:A41">
      <formula1>Descrip_transporte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B27:C30 A24:A3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9 B17:C19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3">
    <tabColor rgb="FFC00000"/>
    <pageSetUpPr fitToPage="1"/>
  </sheetPr>
  <dimension ref="A1:J58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268</v>
      </c>
      <c r="B8" s="1216"/>
      <c r="C8" s="1217"/>
      <c r="D8" s="851" t="e">
        <f t="shared" ref="D8:D19" si="0">IF(A8&lt;&gt;0,VLOOKUP(A8,Materiales,2,FALSE),$J$1)</f>
        <v>#REF!</v>
      </c>
      <c r="E8" s="12">
        <v>380</v>
      </c>
      <c r="F8" s="21" t="e">
        <f t="shared" ref="F8:F16" si="1">IF(A8&lt;&gt;0,VLOOKUP(A8,Materiales,6,FALSE),$J$1)</f>
        <v>#REF!</v>
      </c>
      <c r="G8" s="22"/>
      <c r="H8" s="8" t="e">
        <f t="shared" ref="H8:H19" si="2">IF(A8&lt;&gt;0,ROUND(E8*F8,2),$J$1)</f>
        <v>#REF!</v>
      </c>
      <c r="I8" s="69"/>
    </row>
    <row r="9" spans="1:10" x14ac:dyDescent="0.2">
      <c r="A9" s="1215" t="s">
        <v>118</v>
      </c>
      <c r="B9" s="1216"/>
      <c r="C9" s="1217"/>
      <c r="D9" s="851" t="e">
        <f t="shared" si="0"/>
        <v>#REF!</v>
      </c>
      <c r="E9" s="13">
        <v>3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145</v>
      </c>
      <c r="B10" s="1216"/>
      <c r="C10" s="1217"/>
      <c r="D10" s="851" t="e">
        <f t="shared" si="0"/>
        <v>#REF!</v>
      </c>
      <c r="E10" s="13">
        <v>0.06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229</v>
      </c>
      <c r="B11" s="1216"/>
      <c r="C11" s="1217"/>
      <c r="D11" s="851" t="e">
        <f t="shared" si="0"/>
        <v>#REF!</v>
      </c>
      <c r="E11" s="12">
        <v>0.18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292</v>
      </c>
      <c r="B12" s="1216"/>
      <c r="C12" s="1217"/>
      <c r="D12" s="851" t="e">
        <f t="shared" si="0"/>
        <v>#REF!</v>
      </c>
      <c r="E12" s="12">
        <v>0.55000000000000004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148</v>
      </c>
      <c r="B13" s="1216"/>
      <c r="C13" s="1217"/>
      <c r="D13" s="851" t="e">
        <f t="shared" si="0"/>
        <v>#REF!</v>
      </c>
      <c r="E13" s="12">
        <v>2.8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1215"/>
      <c r="B14" s="1216"/>
      <c r="C14" s="1217"/>
      <c r="D14" s="851"/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1215"/>
      <c r="B15" s="1216"/>
      <c r="C15" s="1217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1215"/>
      <c r="B16" s="1216"/>
      <c r="C16" s="1217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69"/>
    </row>
    <row r="19" spans="1:9" x14ac:dyDescent="0.2">
      <c r="A19" s="871"/>
      <c r="B19" s="872"/>
      <c r="C19" s="873"/>
      <c r="D19" s="851" t="str">
        <f t="shared" si="0"/>
        <v>-</v>
      </c>
      <c r="E19" s="12"/>
      <c r="F19" s="21" t="str">
        <f>IF(A19&lt;&gt;0,VLOOKUP(A19,Materiales,5,FALSE),$J$1)</f>
        <v>-</v>
      </c>
      <c r="G19" s="22"/>
      <c r="H19" s="8" t="str">
        <f t="shared" si="2"/>
        <v>-</v>
      </c>
      <c r="I19" s="73"/>
    </row>
    <row r="20" spans="1:9" x14ac:dyDescent="0.2">
      <c r="A20" s="850" t="s">
        <v>2217</v>
      </c>
      <c r="B20" s="872"/>
      <c r="C20" s="872"/>
      <c r="D20" s="872"/>
      <c r="E20" s="872"/>
      <c r="F20" s="872"/>
      <c r="G20" s="872"/>
      <c r="H20" s="873"/>
      <c r="I20" s="241" t="e">
        <f>SUM(H8:H19)</f>
        <v>#REF!</v>
      </c>
    </row>
    <row r="21" spans="1:9" x14ac:dyDescent="0.2">
      <c r="A21" s="76"/>
      <c r="B21" s="27"/>
      <c r="C21" s="27"/>
      <c r="D21" s="27"/>
      <c r="E21" s="27"/>
      <c r="F21" s="27"/>
      <c r="G21" s="27"/>
      <c r="H21" s="27"/>
      <c r="I21" s="64"/>
    </row>
    <row r="22" spans="1:9" x14ac:dyDescent="0.2">
      <c r="A22" s="875" t="s">
        <v>454</v>
      </c>
      <c r="B22" s="876"/>
      <c r="C22" s="876"/>
      <c r="D22" s="876"/>
      <c r="E22" s="876"/>
      <c r="F22" s="876"/>
      <c r="G22" s="876"/>
      <c r="H22" s="876"/>
      <c r="I22" s="877"/>
    </row>
    <row r="23" spans="1:9" s="9" customFormat="1" ht="25.5" x14ac:dyDescent="0.2">
      <c r="A23" s="255" t="s">
        <v>26</v>
      </c>
      <c r="B23" s="256"/>
      <c r="C23" s="254"/>
      <c r="D23" s="253" t="s">
        <v>2218</v>
      </c>
      <c r="E23" s="254"/>
      <c r="F23" s="235" t="s">
        <v>2219</v>
      </c>
      <c r="G23" s="881" t="s">
        <v>2220</v>
      </c>
      <c r="H23" s="257" t="s">
        <v>2216</v>
      </c>
      <c r="I23" s="72"/>
    </row>
    <row r="24" spans="1:9" x14ac:dyDescent="0.2">
      <c r="A24" s="1215" t="s">
        <v>477</v>
      </c>
      <c r="B24" s="1216"/>
      <c r="C24" s="1217"/>
      <c r="D24" s="26">
        <v>3</v>
      </c>
      <c r="E24" s="28"/>
      <c r="F24" s="12">
        <f t="shared" ref="F24:F30" si="3">IF(A24&lt;&gt;0,VLOOKUP(A24,Equipos,6,FALSE),$J$1)</f>
        <v>3710</v>
      </c>
      <c r="G24" s="14">
        <v>1</v>
      </c>
      <c r="H24" s="8">
        <f t="shared" ref="H24:H30" si="4">IF(A24&lt;&gt;0,ROUND((F24/D24)*G24,2),$J$1)</f>
        <v>1236.67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</row>
    <row r="26" spans="1:9" x14ac:dyDescent="0.2">
      <c r="A26" s="1215"/>
      <c r="B26" s="1216"/>
      <c r="C26" s="1217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69"/>
    </row>
    <row r="30" spans="1:9" x14ac:dyDescent="0.2">
      <c r="A30" s="871"/>
      <c r="B30" s="872"/>
      <c r="C30" s="873"/>
      <c r="D30" s="26"/>
      <c r="E30" s="28"/>
      <c r="F30" s="12" t="str">
        <f t="shared" si="3"/>
        <v>-</v>
      </c>
      <c r="G30" s="14"/>
      <c r="H30" s="8" t="str">
        <f t="shared" si="4"/>
        <v>-</v>
      </c>
      <c r="I30" s="73"/>
    </row>
    <row r="31" spans="1:9" x14ac:dyDescent="0.2">
      <c r="A31" s="850" t="s">
        <v>2221</v>
      </c>
      <c r="B31" s="872"/>
      <c r="C31" s="872"/>
      <c r="D31" s="872"/>
      <c r="E31" s="872"/>
      <c r="F31" s="872"/>
      <c r="G31" s="872"/>
      <c r="H31" s="873"/>
      <c r="I31" s="241">
        <f>SUM(H24:H30)</f>
        <v>1236.67</v>
      </c>
    </row>
    <row r="32" spans="1:9" x14ac:dyDescent="0.2">
      <c r="A32" s="76"/>
      <c r="B32" s="27"/>
      <c r="C32" s="27"/>
      <c r="D32" s="27"/>
      <c r="E32" s="27"/>
      <c r="F32" s="27"/>
      <c r="G32" s="27"/>
      <c r="H32" s="27"/>
      <c r="I32" s="64"/>
    </row>
    <row r="33" spans="1:9" x14ac:dyDescent="0.2">
      <c r="A33" s="875" t="s">
        <v>2222</v>
      </c>
      <c r="B33" s="876"/>
      <c r="C33" s="876"/>
      <c r="D33" s="876"/>
      <c r="E33" s="876"/>
      <c r="F33" s="876"/>
      <c r="G33" s="876"/>
      <c r="H33" s="876"/>
      <c r="I33" s="877"/>
    </row>
    <row r="34" spans="1:9" s="9" customFormat="1" ht="25.5" x14ac:dyDescent="0.2">
      <c r="A34" s="250" t="s">
        <v>26</v>
      </c>
      <c r="B34" s="251"/>
      <c r="C34" s="252"/>
      <c r="D34" s="253" t="s">
        <v>2223</v>
      </c>
      <c r="E34" s="254"/>
      <c r="F34" s="881" t="s">
        <v>2224</v>
      </c>
      <c r="G34" s="881" t="s">
        <v>2225</v>
      </c>
      <c r="H34" s="257" t="s">
        <v>2216</v>
      </c>
      <c r="I34" s="72"/>
    </row>
    <row r="35" spans="1:9" x14ac:dyDescent="0.2">
      <c r="A35" s="890"/>
      <c r="B35" s="1105" t="s">
        <v>2226</v>
      </c>
      <c r="C35" s="1104"/>
      <c r="D35" s="46"/>
      <c r="E35" s="47"/>
      <c r="F35" s="15"/>
      <c r="G35" s="12"/>
      <c r="H35" s="8"/>
      <c r="I35" s="343">
        <f>SUM(H36:H38)</f>
        <v>0</v>
      </c>
    </row>
    <row r="36" spans="1:9" x14ac:dyDescent="0.2">
      <c r="A36" s="1210"/>
      <c r="B36" s="1211"/>
      <c r="C36" s="1212"/>
      <c r="D36" s="46" t="str">
        <f>IF(A36&lt;&gt;0,VLOOKUP(A36,Transporte,8,FALSE),$J$1)</f>
        <v>-</v>
      </c>
      <c r="E36" s="47"/>
      <c r="F36" s="15" t="str">
        <f t="shared" ref="F36:F41" si="5">IF(A36&lt;&gt;0,VLOOKUP(A36,Transporte,2,FALSE),$J$1)</f>
        <v>-</v>
      </c>
      <c r="G36" s="12"/>
      <c r="H36" s="8" t="str">
        <f t="shared" ref="H36:H41" si="6">IF(A36&lt;&gt;0,D36/F36*G36,$J$1)</f>
        <v>-</v>
      </c>
      <c r="I36" s="344"/>
    </row>
    <row r="37" spans="1:9" x14ac:dyDescent="0.2">
      <c r="A37" s="1210"/>
      <c r="B37" s="1211"/>
      <c r="C37" s="1212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4"/>
    </row>
    <row r="38" spans="1:9" x14ac:dyDescent="0.2">
      <c r="A38" s="1210"/>
      <c r="B38" s="1211"/>
      <c r="C38" s="1212"/>
      <c r="D38" s="46" t="str">
        <f>IF(A27&lt;&gt;0,VLOOKUP(A38,Transporte,8,FALSE),$J$1)</f>
        <v>-</v>
      </c>
      <c r="E38" s="47"/>
      <c r="F38" s="15" t="str">
        <f t="shared" si="5"/>
        <v>-</v>
      </c>
      <c r="G38" s="12"/>
      <c r="H38" s="8" t="str">
        <f t="shared" si="6"/>
        <v>-</v>
      </c>
      <c r="I38" s="345"/>
    </row>
    <row r="39" spans="1:9" x14ac:dyDescent="0.2">
      <c r="A39" s="871"/>
      <c r="B39" s="1105" t="s">
        <v>2227</v>
      </c>
      <c r="C39" s="1104"/>
      <c r="D39" s="46"/>
      <c r="E39" s="47"/>
      <c r="F39" s="15"/>
      <c r="G39" s="12"/>
      <c r="H39" s="8"/>
      <c r="I39" s="343">
        <f>SUM(H40:H41)</f>
        <v>0</v>
      </c>
    </row>
    <row r="40" spans="1:9" x14ac:dyDescent="0.2">
      <c r="A40" s="1210"/>
      <c r="B40" s="1211"/>
      <c r="C40" s="1212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4"/>
    </row>
    <row r="41" spans="1:9" x14ac:dyDescent="0.2">
      <c r="A41" s="1210"/>
      <c r="B41" s="1211"/>
      <c r="C41" s="1212"/>
      <c r="D41" s="46" t="str">
        <f>IF(A30&lt;&gt;0,VLOOKUP(A41,Transporte,8,FALSE),$J$1)</f>
        <v>-</v>
      </c>
      <c r="E41" s="47"/>
      <c r="F41" s="15" t="str">
        <f t="shared" si="5"/>
        <v>-</v>
      </c>
      <c r="G41" s="12"/>
      <c r="H41" s="8" t="str">
        <f t="shared" si="6"/>
        <v>-</v>
      </c>
      <c r="I41" s="346"/>
    </row>
    <row r="42" spans="1:9" x14ac:dyDescent="0.2">
      <c r="A42" s="1084" t="s">
        <v>2228</v>
      </c>
      <c r="B42" s="1216"/>
      <c r="C42" s="1216"/>
      <c r="D42" s="1216"/>
      <c r="E42" s="1216"/>
      <c r="F42" s="1216"/>
      <c r="G42" s="1216"/>
      <c r="H42" s="1217"/>
      <c r="I42" s="347">
        <f>SUM(I35:I41)</f>
        <v>0</v>
      </c>
    </row>
    <row r="43" spans="1:9" x14ac:dyDescent="0.2">
      <c r="A43" s="1086"/>
      <c r="B43" s="1087"/>
      <c r="C43" s="1087"/>
      <c r="D43" s="1087"/>
      <c r="E43" s="1087"/>
      <c r="F43" s="1087"/>
      <c r="G43" s="1087"/>
      <c r="H43" s="1087"/>
      <c r="I43" s="1088"/>
    </row>
    <row r="44" spans="1:9" x14ac:dyDescent="0.2">
      <c r="A44" s="1200" t="s">
        <v>554</v>
      </c>
      <c r="B44" s="1201"/>
      <c r="C44" s="1201"/>
      <c r="D44" s="1201"/>
      <c r="E44" s="1201"/>
      <c r="F44" s="1201"/>
      <c r="G44" s="1201"/>
      <c r="H44" s="1201"/>
      <c r="I44" s="1202"/>
    </row>
    <row r="45" spans="1:9" s="9" customFormat="1" ht="25.5" x14ac:dyDescent="0.2">
      <c r="A45" s="1229" t="s">
        <v>2229</v>
      </c>
      <c r="B45" s="1230"/>
      <c r="C45" s="1231"/>
      <c r="D45" s="1223" t="s">
        <v>2230</v>
      </c>
      <c r="E45" s="1224"/>
      <c r="F45" s="1223" t="s">
        <v>2218</v>
      </c>
      <c r="G45" s="1224"/>
      <c r="H45" s="257" t="s">
        <v>2216</v>
      </c>
      <c r="I45" s="72"/>
    </row>
    <row r="46" spans="1:9" x14ac:dyDescent="0.2">
      <c r="A46" s="1215" t="s">
        <v>48</v>
      </c>
      <c r="B46" s="1216"/>
      <c r="C46" s="1217"/>
      <c r="D46" s="1225">
        <f>IF(A46&lt;&gt;0,VLOOKUP(A46,Cuadrillas,7,FALSE),$J$1)</f>
        <v>329249.03000000003</v>
      </c>
      <c r="E46" s="1226"/>
      <c r="F46" s="1221">
        <v>0.9</v>
      </c>
      <c r="G46" s="1222"/>
      <c r="H46" s="8">
        <f>IF(A46&lt;&gt;0,ROUND(D46/F46,2),$J$1)</f>
        <v>365832.26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69"/>
    </row>
    <row r="50" spans="1:9" x14ac:dyDescent="0.2">
      <c r="A50" s="1215"/>
      <c r="B50" s="1216"/>
      <c r="C50" s="1217"/>
      <c r="D50" s="1225" t="str">
        <f>IF(A50&lt;&gt;0,VLOOKUP(A50,Cuadrillas,7,FALSE),$J$1)</f>
        <v>-</v>
      </c>
      <c r="E50" s="1226"/>
      <c r="F50" s="1221"/>
      <c r="G50" s="1222"/>
      <c r="H50" s="8" t="str">
        <f>IF(A50&lt;&gt;0,ROUND(D50/F50,2),$J$1)</f>
        <v>-</v>
      </c>
      <c r="I50" s="73"/>
    </row>
    <row r="51" spans="1:9" x14ac:dyDescent="0.2">
      <c r="A51" s="1084" t="s">
        <v>2231</v>
      </c>
      <c r="B51" s="1085"/>
      <c r="C51" s="1085"/>
      <c r="D51" s="1085"/>
      <c r="E51" s="1085"/>
      <c r="F51" s="1085"/>
      <c r="G51" s="1085"/>
      <c r="H51" s="1133"/>
      <c r="I51" s="240">
        <f>SUM(H46:H50)</f>
        <v>365832.26</v>
      </c>
    </row>
    <row r="52" spans="1:9" x14ac:dyDescent="0.2">
      <c r="A52" s="1086"/>
      <c r="B52" s="1087"/>
      <c r="C52" s="1087"/>
      <c r="D52" s="1087"/>
      <c r="E52" s="1087"/>
      <c r="F52" s="1087"/>
      <c r="G52" s="1087"/>
      <c r="H52" s="1087"/>
      <c r="I52" s="1088"/>
    </row>
    <row r="53" spans="1:9" x14ac:dyDescent="0.2">
      <c r="A53" s="1089" t="s">
        <v>2232</v>
      </c>
      <c r="B53" s="1090"/>
      <c r="C53" s="1090"/>
      <c r="D53" s="1090"/>
      <c r="E53" s="1090"/>
      <c r="F53" s="1090"/>
      <c r="G53" s="1090"/>
      <c r="H53" s="1090"/>
      <c r="I53" s="237" t="e">
        <f>I20+I31+I42</f>
        <v>#REF!</v>
      </c>
    </row>
    <row r="54" spans="1:9" ht="13.5" thickBot="1" x14ac:dyDescent="0.25">
      <c r="A54" s="1193" t="s">
        <v>2233</v>
      </c>
      <c r="B54" s="1194"/>
      <c r="C54" s="1194"/>
      <c r="D54" s="1194"/>
      <c r="E54" s="1194"/>
      <c r="F54" s="1194"/>
      <c r="G54" s="1194"/>
      <c r="H54" s="1194"/>
      <c r="I54" s="238">
        <f>I51</f>
        <v>365832.26</v>
      </c>
    </row>
    <row r="55" spans="1:9" s="9" customFormat="1" ht="25.5" customHeight="1" thickTop="1" thickBot="1" x14ac:dyDescent="0.25">
      <c r="A55" s="1195" t="s">
        <v>2234</v>
      </c>
      <c r="B55" s="1196"/>
      <c r="C55" s="1196"/>
      <c r="D55" s="1196"/>
      <c r="E55" s="1196"/>
      <c r="F55" s="1196"/>
      <c r="G55" s="1196"/>
      <c r="H55" s="258"/>
      <c r="I55" s="239" t="e">
        <f>I53+I54</f>
        <v>#REF!</v>
      </c>
    </row>
    <row r="56" spans="1:9" s="9" customFormat="1" ht="25.5" customHeight="1" thickTop="1" thickBot="1" x14ac:dyDescent="0.25">
      <c r="A56" s="1095" t="s">
        <v>10</v>
      </c>
      <c r="B56" s="1096"/>
      <c r="C56" s="1232"/>
      <c r="D56" s="1097">
        <f>+'Datos entrada'!B7</f>
        <v>0.3</v>
      </c>
      <c r="E56" s="1098"/>
      <c r="F56" s="1233" t="e">
        <f>I55*D56</f>
        <v>#REF!</v>
      </c>
      <c r="G56" s="1099"/>
      <c r="H56" s="1099"/>
      <c r="I56" s="1100"/>
    </row>
    <row r="57" spans="1:9" s="9" customFormat="1" ht="25.5" customHeight="1" thickTop="1" thickBot="1" x14ac:dyDescent="0.25">
      <c r="A57" s="1095" t="s">
        <v>2236</v>
      </c>
      <c r="B57" s="1096"/>
      <c r="C57" s="1096"/>
      <c r="D57" s="1096"/>
      <c r="E57" s="1096"/>
      <c r="F57" s="1096"/>
      <c r="G57" s="1096"/>
      <c r="H57" s="1191" t="e">
        <f>I55+F56</f>
        <v>#REF!</v>
      </c>
      <c r="I57" s="1192"/>
    </row>
    <row r="58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6:C16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14:C14"/>
    <mergeCell ref="A15:C15"/>
    <mergeCell ref="A43:I43"/>
    <mergeCell ref="A24:C24"/>
    <mergeCell ref="A25:C25"/>
    <mergeCell ref="A26:C26"/>
    <mergeCell ref="B35:C35"/>
    <mergeCell ref="A36:C36"/>
    <mergeCell ref="A37:C37"/>
    <mergeCell ref="A38:C38"/>
    <mergeCell ref="B39:C39"/>
    <mergeCell ref="A40:C40"/>
    <mergeCell ref="A41:C41"/>
    <mergeCell ref="A42:H42"/>
    <mergeCell ref="A44:I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C50"/>
    <mergeCell ref="D50:E50"/>
    <mergeCell ref="F50:G50"/>
    <mergeCell ref="A57:G57"/>
    <mergeCell ref="H57:I57"/>
    <mergeCell ref="A51:H51"/>
    <mergeCell ref="A52:I52"/>
    <mergeCell ref="A53:H53"/>
    <mergeCell ref="A54:H54"/>
    <mergeCell ref="A55:G55"/>
    <mergeCell ref="A56:C56"/>
    <mergeCell ref="D56:E56"/>
    <mergeCell ref="F56:I56"/>
  </mergeCells>
  <dataValidations count="5">
    <dataValidation type="list" allowBlank="1" showInputMessage="1" showErrorMessage="1" sqref="A9:A19 B17:C19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7:C30 A24:A30">
      <formula1>Descrip_equipos</formula1>
    </dataValidation>
    <dataValidation type="list" allowBlank="1" showInputMessage="1" showErrorMessage="1" sqref="A46:C50">
      <formula1>Descrip_cuadrillas</formula1>
    </dataValidation>
    <dataValidation type="list" allowBlank="1" showInputMessage="1" showErrorMessage="1" sqref="A35:A41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0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10.28515625" style="1" bestFit="1" customWidth="1"/>
    <col min="6" max="6" width="12.5703125" style="1" customWidth="1"/>
    <col min="7" max="7" width="12.7109375" style="1" customWidth="1"/>
    <col min="8" max="8" width="17.85546875" style="1" customWidth="1"/>
    <col min="9" max="9" width="22.140625" style="1" bestFit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12</v>
      </c>
      <c r="F8" s="21" t="e">
        <f t="shared" ref="F8:F16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122</v>
      </c>
      <c r="B9" s="1216"/>
      <c r="C9" s="1217"/>
      <c r="D9" s="851" t="e">
        <f t="shared" si="0"/>
        <v>#REF!</v>
      </c>
      <c r="E9" s="12">
        <v>600</v>
      </c>
      <c r="F9" s="21" t="e">
        <f t="shared" si="1"/>
        <v>#REF!</v>
      </c>
      <c r="G9" s="22"/>
      <c r="H9" s="508" t="e">
        <f t="shared" si="2"/>
        <v>#REF!</v>
      </c>
      <c r="I9" s="69"/>
    </row>
    <row r="10" spans="1:10" x14ac:dyDescent="0.2">
      <c r="A10" s="1215" t="s">
        <v>228</v>
      </c>
      <c r="B10" s="1216"/>
      <c r="C10" s="1217"/>
      <c r="D10" s="851" t="e">
        <f t="shared" si="0"/>
        <v>#REF!</v>
      </c>
      <c r="E10" s="12">
        <v>0.1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149</v>
      </c>
      <c r="B11" s="1216"/>
      <c r="C11" s="1217"/>
      <c r="D11" s="851" t="e">
        <f t="shared" si="0"/>
        <v>#REF!</v>
      </c>
      <c r="E11" s="12">
        <v>12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2320</v>
      </c>
      <c r="B12" s="1216"/>
      <c r="C12" s="1217"/>
      <c r="D12" s="851" t="e">
        <f t="shared" si="0"/>
        <v>#REF!</v>
      </c>
      <c r="E12" s="12">
        <v>0.1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145</v>
      </c>
      <c r="B13" s="1216"/>
      <c r="C13" s="1217"/>
      <c r="D13" s="851" t="e">
        <f t="shared" si="0"/>
        <v>#REF!</v>
      </c>
      <c r="E13" s="12">
        <v>25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1215"/>
      <c r="B14" s="1216"/>
      <c r="C14" s="1217"/>
      <c r="D14" s="851" t="str">
        <f t="shared" si="0"/>
        <v>-</v>
      </c>
      <c r="E14" s="12"/>
      <c r="F14" s="21" t="str">
        <f t="shared" si="1"/>
        <v>-</v>
      </c>
      <c r="G14" s="22"/>
      <c r="H14" s="8" t="str">
        <f t="shared" si="2"/>
        <v>-</v>
      </c>
      <c r="I14" s="69"/>
    </row>
    <row r="15" spans="1:10" x14ac:dyDescent="0.2">
      <c r="A15" s="1215"/>
      <c r="B15" s="1216"/>
      <c r="C15" s="1217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1086"/>
      <c r="B16" s="1087"/>
      <c r="C16" s="1119"/>
      <c r="D16" s="851" t="str">
        <f t="shared" si="0"/>
        <v>-</v>
      </c>
      <c r="E16" s="12"/>
      <c r="F16" s="21" t="str">
        <f t="shared" si="1"/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0.1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>IF(A23&lt;&gt;0,ROUND((F23/D23)*G23,2),$J$1)</f>
        <v>37100</v>
      </c>
      <c r="I23" s="69"/>
    </row>
    <row r="24" spans="1:9" x14ac:dyDescent="0.2">
      <c r="A24" s="1215" t="s">
        <v>484</v>
      </c>
      <c r="B24" s="1216"/>
      <c r="C24" s="1217"/>
      <c r="D24" s="26">
        <v>1E-3</v>
      </c>
      <c r="E24" s="28"/>
      <c r="F24" s="12">
        <f>IF(A24&lt;&gt;0,VLOOKUP(A24,Equipos,6,FALSE),$J$1)</f>
        <v>1812.6</v>
      </c>
      <c r="G24" s="14">
        <v>0.75</v>
      </c>
      <c r="H24" s="8">
        <f>IF(A24&lt;&gt;0,ROUND((F24/D24)*G24,2),$J$1)</f>
        <v>1359450</v>
      </c>
      <c r="I24" s="69"/>
    </row>
    <row r="25" spans="1:9" x14ac:dyDescent="0.2">
      <c r="A25" s="1215" t="s">
        <v>473</v>
      </c>
      <c r="B25" s="1216"/>
      <c r="C25" s="1217"/>
      <c r="D25" s="26">
        <v>0.01</v>
      </c>
      <c r="E25" s="28"/>
      <c r="F25" s="12">
        <f t="shared" si="3"/>
        <v>2438</v>
      </c>
      <c r="G25" s="14">
        <v>3</v>
      </c>
      <c r="H25" s="8">
        <f>IF(A25&lt;&gt;0,ROUND((F25/D25)*G25,2),$J$1)</f>
        <v>731400</v>
      </c>
      <c r="I25" s="69"/>
    </row>
    <row r="26" spans="1:9" x14ac:dyDescent="0.2">
      <c r="A26" s="1215" t="s">
        <v>492</v>
      </c>
      <c r="B26" s="1216"/>
      <c r="C26" s="1217"/>
      <c r="D26" s="26">
        <v>1</v>
      </c>
      <c r="E26" s="28"/>
      <c r="F26" s="12">
        <f t="shared" si="3"/>
        <v>678400</v>
      </c>
      <c r="G26" s="14">
        <v>0.6</v>
      </c>
      <c r="H26" s="8">
        <f>IF(A26&lt;&gt;0,ROUND((F26/D26)/G26,2),$J$1)</f>
        <v>1130666.67</v>
      </c>
      <c r="I26" s="69"/>
    </row>
    <row r="27" spans="1:9" x14ac:dyDescent="0.2">
      <c r="A27" s="1215" t="s">
        <v>500</v>
      </c>
      <c r="B27" s="1216"/>
      <c r="C27" s="1217"/>
      <c r="D27" s="26">
        <v>1</v>
      </c>
      <c r="E27" s="28"/>
      <c r="F27" s="12">
        <f>IF(A27&lt;&gt;0,VLOOKUP(A27,Equipos,6,FALSE),$J$1)</f>
        <v>265000</v>
      </c>
      <c r="G27" s="14">
        <v>1</v>
      </c>
      <c r="H27" s="8">
        <f>IF(A27&lt;&gt;0,ROUND((F27*D27)*G27,2),$J$1)</f>
        <v>265000</v>
      </c>
      <c r="I27" s="69"/>
    </row>
    <row r="28" spans="1:9" x14ac:dyDescent="0.2">
      <c r="A28" s="1215"/>
      <c r="B28" s="1216"/>
      <c r="C28" s="1217"/>
      <c r="D28" s="26"/>
      <c r="E28" s="28"/>
      <c r="F28" s="12" t="str">
        <f t="shared" si="3"/>
        <v>-</v>
      </c>
      <c r="G28" s="14"/>
      <c r="H28" s="8" t="str">
        <f>IF(A28&lt;&gt;0,ROUND((F28/D28)*G28,2),$J$1)</f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>IF(A29&lt;&gt;0,ROUND((F29/D29)*G29,2),$J$1)</f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3523616.67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 t="e">
        <f>SUM(H35:H37)</f>
        <v>#N/A</v>
      </c>
    </row>
    <row r="35" spans="1:9" x14ac:dyDescent="0.2">
      <c r="A35" s="1215" t="s">
        <v>2341</v>
      </c>
      <c r="B35" s="1216"/>
      <c r="C35" s="1217"/>
      <c r="D35" s="46" t="e">
        <f>IF(A35&lt;&gt;0,VLOOKUP(A35,Transporte,8,FALSE),$J$1)</f>
        <v>#N/A</v>
      </c>
      <c r="E35" s="47"/>
      <c r="F35" s="15">
        <v>1</v>
      </c>
      <c r="G35" s="12">
        <v>1</v>
      </c>
      <c r="H35" s="8" t="e">
        <f t="shared" ref="H35:H40" si="4">IF(A35&lt;&gt;0,D35/F35*G35,$J$1)</f>
        <v>#N/A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>IF(A36&lt;&gt;0,VLOOKUP(A36,Transporte,2,FALSE),$J$1)</f>
        <v>-</v>
      </c>
      <c r="G36" s="12"/>
      <c r="H36" s="8" t="str">
        <f t="shared" si="4"/>
        <v>-</v>
      </c>
      <c r="I36" s="344"/>
    </row>
    <row r="37" spans="1:9" x14ac:dyDescent="0.2">
      <c r="A37" s="1215"/>
      <c r="B37" s="1216"/>
      <c r="C37" s="1217"/>
      <c r="D37" s="46"/>
      <c r="E37" s="47"/>
      <c r="F37" s="15" t="str">
        <f>IF(A37&lt;&gt;0,VLOOKUP(A37,Transporte,2,FALSE),$J$1)</f>
        <v>-</v>
      </c>
      <c r="G37" s="12"/>
      <c r="H37" s="8" t="str">
        <f t="shared" si="4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>IF(A39&lt;&gt;0,VLOOKUP(A39,Transporte,2,FALSE),$J$1)</f>
        <v>-</v>
      </c>
      <c r="G39" s="12"/>
      <c r="H39" s="8" t="str">
        <f t="shared" si="4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>IF(A40&lt;&gt;0,VLOOKUP(A40,Transporte,2,FALSE),$J$1)</f>
        <v>-</v>
      </c>
      <c r="G40" s="12"/>
      <c r="H40" s="8" t="str">
        <f t="shared" si="4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 t="e">
        <f>SUM(I34:I40)</f>
        <v>#N/A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0.2</v>
      </c>
      <c r="G45" s="1222"/>
      <c r="H45" s="8">
        <f>IF(A45&lt;&gt;0,ROUND(D45/F45,2),$J$1)</f>
        <v>2160479.2000000002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2160479.2000000002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2160479.2000000002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458"/>
      <c r="I54" s="459" t="e">
        <f>+I53+I52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>
        <f>H54*D55</f>
        <v>0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H54+F55</f>
        <v>0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69" orientation="portrait" blackAndWhite="1" errors="blank" r:id="rId1"/>
      <headerFooter alignWithMargins="0">
        <oddFooter xml:space="preserve">&amp;C  </oddFooter>
      </headerFooter>
    </customSheetView>
  </customSheetViews>
  <mergeCells count="56">
    <mergeCell ref="A16:C16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14:C14"/>
    <mergeCell ref="A15:C15"/>
    <mergeCell ref="A39:C39"/>
    <mergeCell ref="A23:C23"/>
    <mergeCell ref="A24:C24"/>
    <mergeCell ref="A25:C25"/>
    <mergeCell ref="A26:C26"/>
    <mergeCell ref="A27:C27"/>
    <mergeCell ref="A28:C28"/>
    <mergeCell ref="B34:C34"/>
    <mergeCell ref="A35:C35"/>
    <mergeCell ref="A36:C36"/>
    <mergeCell ref="A37:C37"/>
    <mergeCell ref="B38:C38"/>
    <mergeCell ref="A40:C40"/>
    <mergeCell ref="A41:H41"/>
    <mergeCell ref="A42:I42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52:H52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H50"/>
    <mergeCell ref="A51:I51"/>
    <mergeCell ref="A56:G56"/>
    <mergeCell ref="H56:I56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9:C29 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7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69" orientation="portrait" blackAndWhite="1" errors="blank" r:id="rId2"/>
  <headerFooter alignWithMargins="0">
    <oddFooter xml:space="preserve">&amp;C  </oddFooter>
  </headerFooter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</v>
      </c>
      <c r="E23" s="33"/>
      <c r="F23" s="12">
        <f t="shared" ref="F23:F29" si="3">IF(A23&lt;&gt;0,VLOOKUP(A23,Equipos,6,FALSE),$J$1)</f>
        <v>3710</v>
      </c>
      <c r="G23" s="136">
        <v>1</v>
      </c>
      <c r="H23" s="7">
        <f t="shared" ref="H23:H29" si="4">IF(A23&lt;&gt;0,ROUND((F23/D23)*G23,2),$J$1)</f>
        <v>1855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38" t="s">
        <v>2270</v>
      </c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1855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5"/>
      <c r="B34" s="1103" t="s">
        <v>2226</v>
      </c>
      <c r="C34" s="1298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0" t="s">
        <v>2073</v>
      </c>
      <c r="B35" s="1211"/>
      <c r="C35" s="1212"/>
      <c r="D35" s="46">
        <f>IF(A35&lt;&gt;0,VLOOKUP(A35,Transporte,8,FALSE),$J$1)</f>
        <v>0</v>
      </c>
      <c r="E35" s="47"/>
      <c r="F35" s="15">
        <f t="shared" ref="F35:F40" si="5">IF(A35&lt;&gt;0,VLOOKUP(A35,Transporte,2,FALSE),$J$1)</f>
        <v>5.5</v>
      </c>
      <c r="G35" s="12">
        <v>1.1000000000000001</v>
      </c>
      <c r="H35" s="7">
        <f t="shared" ref="H35:H40" si="6">IF(A35&lt;&gt;0,D35/F35*G35,$J$1)</f>
        <v>0</v>
      </c>
      <c r="I35" s="344"/>
    </row>
    <row r="36" spans="1:9" x14ac:dyDescent="0.2">
      <c r="A36" s="1210"/>
      <c r="B36" s="1211"/>
      <c r="C36" s="1212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0"/>
      <c r="B37" s="1211"/>
      <c r="C37" s="1212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0"/>
      <c r="B39" s="1211"/>
      <c r="C39" s="1212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0"/>
      <c r="B40" s="1211"/>
      <c r="C40" s="1212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11</v>
      </c>
      <c r="G45" s="1083"/>
      <c r="H45" s="7">
        <f>IF(A45&lt;&gt;0,ROUND(D45/F45,2),$J$1)</f>
        <v>14024.57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14024.57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1855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14024.57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15879.57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4763.8710000000001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20643.440999999999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D49:E49"/>
    <mergeCell ref="A52:H52"/>
    <mergeCell ref="A54:G54"/>
    <mergeCell ref="A8:C8"/>
    <mergeCell ref="A9:C9"/>
    <mergeCell ref="A10:C10"/>
    <mergeCell ref="A11:C11"/>
    <mergeCell ref="A12:C12"/>
    <mergeCell ref="A35:C35"/>
    <mergeCell ref="A13:C13"/>
    <mergeCell ref="A36:C36"/>
    <mergeCell ref="A37:C37"/>
    <mergeCell ref="A39:C39"/>
    <mergeCell ref="A29:C29"/>
    <mergeCell ref="A14:C14"/>
    <mergeCell ref="A23:C23"/>
    <mergeCell ref="A24:C24"/>
    <mergeCell ref="A15:C15"/>
    <mergeCell ref="A16:C16"/>
    <mergeCell ref="A17:C17"/>
    <mergeCell ref="A18:C18"/>
    <mergeCell ref="A40:C40"/>
    <mergeCell ref="A53:H53"/>
    <mergeCell ref="F44:G44"/>
    <mergeCell ref="A51:I51"/>
    <mergeCell ref="A50:H50"/>
    <mergeCell ref="F46:G46"/>
    <mergeCell ref="A46:C46"/>
    <mergeCell ref="D46:E46"/>
  </mergeCells>
  <phoneticPr fontId="0" type="noConversion"/>
  <dataValidations disablePrompts="1"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4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</v>
      </c>
      <c r="E23" s="33"/>
      <c r="F23" s="12">
        <f t="shared" ref="F23:F29" si="3">IF(A23&lt;&gt;0,VLOOKUP(A23,Equipos,6,FALSE),$J$1)</f>
        <v>3710</v>
      </c>
      <c r="G23" s="136">
        <v>1</v>
      </c>
      <c r="H23" s="7">
        <f t="shared" ref="H23:H29" si="4">IF(A23&lt;&gt;0,ROUND((F23/D23)*G23,2),$J$1)</f>
        <v>1855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38" t="s">
        <v>2270</v>
      </c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1855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5"/>
      <c r="B34" s="1103" t="s">
        <v>2226</v>
      </c>
      <c r="C34" s="1298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0"/>
      <c r="B35" s="1211"/>
      <c r="C35" s="1212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0"/>
      <c r="B36" s="1211"/>
      <c r="C36" s="1212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0"/>
      <c r="B37" s="1211"/>
      <c r="C37" s="1212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0"/>
      <c r="B39" s="1211"/>
      <c r="C39" s="1212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0"/>
      <c r="B40" s="1211"/>
      <c r="C40" s="1212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15</v>
      </c>
      <c r="G45" s="1083"/>
      <c r="H45" s="7">
        <f>IF(A45&lt;&gt;0,ROUND(D45/F45,2),$J$1)</f>
        <v>10284.68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10284.68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1855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10284.68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12139.68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3641.904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15781.584000000001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5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0.02</v>
      </c>
      <c r="E23" s="33"/>
      <c r="F23" s="12">
        <f t="shared" ref="F23:F29" si="3">IF(A23&lt;&gt;0,VLOOKUP(A23,Equipos,6,FALSE),$J$1)</f>
        <v>3710</v>
      </c>
      <c r="G23" s="136">
        <v>4.0000000000000001E-3</v>
      </c>
      <c r="H23" s="7">
        <f t="shared" ref="H23:H29" si="4">IF(A23&lt;&gt;0,ROUND((F23/D23)*G23,2),$J$1)</f>
        <v>742</v>
      </c>
      <c r="I23" s="69"/>
    </row>
    <row r="24" spans="1:9" x14ac:dyDescent="0.2">
      <c r="A24" s="1080" t="s">
        <v>488</v>
      </c>
      <c r="B24" s="1081"/>
      <c r="C24" s="1081"/>
      <c r="D24" s="33">
        <v>0.03</v>
      </c>
      <c r="E24" s="33"/>
      <c r="F24" s="12">
        <f>IF(A24&lt;&gt;0,VLOOKUP(A24,Equipos,6,FALSE),$J$1)</f>
        <v>63600</v>
      </c>
      <c r="G24" s="138">
        <v>3.0000000000000001E-3</v>
      </c>
      <c r="H24" s="7">
        <f t="shared" si="4"/>
        <v>6360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7102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890"/>
      <c r="B34" s="1105" t="s">
        <v>2226</v>
      </c>
      <c r="C34" s="1104"/>
      <c r="D34" s="61" t="str">
        <f>IF(A34&lt;&gt;0,VLOOKUP(A34,Transporte,8,FALSE),$J$1)</f>
        <v>-</v>
      </c>
      <c r="E34" s="61"/>
      <c r="F34" s="15"/>
      <c r="G34" s="12"/>
      <c r="H34" s="7" t="str">
        <f t="shared" ref="H34:H40" si="5">IF(A34&lt;&gt;0,D34/F34*G34,$J$1)</f>
        <v>-</v>
      </c>
      <c r="I34" s="343">
        <f>SUM(H35:H37)</f>
        <v>0</v>
      </c>
    </row>
    <row r="35" spans="1:9" x14ac:dyDescent="0.2">
      <c r="A35" s="871"/>
      <c r="B35" s="872"/>
      <c r="C35" s="873"/>
      <c r="D35" s="61" t="str">
        <f>IF(A35&lt;&gt;0,VLOOKUP(A35,Transporte,8,FALSE),$J$1)</f>
        <v>-</v>
      </c>
      <c r="E35" s="61"/>
      <c r="F35" s="15" t="str">
        <f t="shared" ref="F35:F40" si="6">IF(A35&lt;&gt;0,VLOOKUP(A35,Transporte,2,FALSE),$J$1)</f>
        <v>-</v>
      </c>
      <c r="G35" s="12"/>
      <c r="H35" s="7" t="str">
        <f t="shared" si="5"/>
        <v>-</v>
      </c>
      <c r="I35" s="344"/>
    </row>
    <row r="36" spans="1:9" x14ac:dyDescent="0.2">
      <c r="A36" s="871"/>
      <c r="B36" s="872"/>
      <c r="C36" s="873"/>
      <c r="D36" s="61" t="str">
        <f>IF(A36&lt;&gt;0,VLOOKUP(A36,Transporte,8,FALSE),$J$1)</f>
        <v>-</v>
      </c>
      <c r="E36" s="61"/>
      <c r="F36" s="15" t="str">
        <f t="shared" si="6"/>
        <v>-</v>
      </c>
      <c r="G36" s="12"/>
      <c r="H36" s="7" t="str">
        <f t="shared" si="5"/>
        <v>-</v>
      </c>
      <c r="I36" s="344"/>
    </row>
    <row r="37" spans="1:9" x14ac:dyDescent="0.2">
      <c r="A37" s="871"/>
      <c r="B37" s="872"/>
      <c r="C37" s="873"/>
      <c r="D37" s="61" t="str">
        <f>IF(A26&lt;&gt;0,VLOOKUP(A37,Transporte,8,FALSE),$J$1)</f>
        <v>-</v>
      </c>
      <c r="E37" s="61"/>
      <c r="F37" s="15" t="str">
        <f t="shared" si="6"/>
        <v>-</v>
      </c>
      <c r="G37" s="12"/>
      <c r="H37" s="7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61" t="str">
        <f>IF(A27&lt;&gt;0,VLOOKUP(A38,Transporte,8,FALSE),$J$1)</f>
        <v>-</v>
      </c>
      <c r="E38" s="61"/>
      <c r="F38" s="15" t="str">
        <f t="shared" si="6"/>
        <v>-</v>
      </c>
      <c r="G38" s="12"/>
      <c r="H38" s="7" t="str">
        <f t="shared" si="5"/>
        <v>-</v>
      </c>
      <c r="I38" s="343">
        <f>SUM(H39:H40)</f>
        <v>0</v>
      </c>
    </row>
    <row r="39" spans="1:9" x14ac:dyDescent="0.2">
      <c r="A39" s="871"/>
      <c r="B39" s="872"/>
      <c r="C39" s="873"/>
      <c r="D39" s="61" t="str">
        <f>IF(A28&lt;&gt;0,VLOOKUP(A39,Transporte,8,FALSE),$J$1)</f>
        <v>-</v>
      </c>
      <c r="E39" s="61"/>
      <c r="F39" s="15" t="str">
        <f t="shared" si="6"/>
        <v>-</v>
      </c>
      <c r="G39" s="12"/>
      <c r="H39" s="7" t="str">
        <f t="shared" si="5"/>
        <v>-</v>
      </c>
      <c r="I39" s="344"/>
    </row>
    <row r="40" spans="1:9" x14ac:dyDescent="0.2">
      <c r="A40" s="871"/>
      <c r="B40" s="872"/>
      <c r="C40" s="873"/>
      <c r="D40" s="61" t="str">
        <f>IF(A29&lt;&gt;0,VLOOKUP(A40,Transporte,8,FALSE),$J$1)</f>
        <v>-</v>
      </c>
      <c r="E40" s="61"/>
      <c r="F40" s="15" t="str">
        <f t="shared" si="6"/>
        <v>-</v>
      </c>
      <c r="G40" s="12"/>
      <c r="H40" s="7" t="str">
        <f t="shared" si="5"/>
        <v>-</v>
      </c>
      <c r="I40" s="73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8.5</v>
      </c>
      <c r="G45" s="1083"/>
      <c r="H45" s="7">
        <f>IF(A45&lt;&gt;0,ROUND(D45/F45,2),$J$1)</f>
        <v>18149.439999999999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18149.439999999999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7102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18149.439999999999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25251.439999999999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7575.4319999999989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32826.871999999996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17:C17"/>
    <mergeCell ref="A1:C1"/>
    <mergeCell ref="H1:I1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42:I42"/>
    <mergeCell ref="A18:C18"/>
    <mergeCell ref="A23:C23"/>
    <mergeCell ref="A24:C24"/>
    <mergeCell ref="A25:C25"/>
    <mergeCell ref="A26:C26"/>
    <mergeCell ref="A27:C27"/>
    <mergeCell ref="A28:C28"/>
    <mergeCell ref="A29:C29"/>
    <mergeCell ref="B34:C34"/>
    <mergeCell ref="B38:C38"/>
    <mergeCell ref="A41:H41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 B35:C37 B39:C40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0.02</v>
      </c>
      <c r="E23" s="33"/>
      <c r="F23" s="12">
        <f t="shared" ref="F23:F29" si="3">IF(A23&lt;&gt;0,VLOOKUP(A23,Equipos,6,FALSE),$J$1)</f>
        <v>3710</v>
      </c>
      <c r="G23" s="136">
        <v>4.0000000000000001E-3</v>
      </c>
      <c r="H23" s="7">
        <f t="shared" ref="H23:H29" si="4">IF(A23&lt;&gt;0,ROUND((F23/D23)*G23,2),$J$1)</f>
        <v>742</v>
      </c>
      <c r="I23" s="69"/>
    </row>
    <row r="24" spans="1:9" x14ac:dyDescent="0.2">
      <c r="A24" s="1080" t="s">
        <v>488</v>
      </c>
      <c r="B24" s="1081"/>
      <c r="C24" s="1081"/>
      <c r="D24" s="33">
        <v>0.03</v>
      </c>
      <c r="E24" s="33"/>
      <c r="F24" s="12">
        <f t="shared" si="3"/>
        <v>63600</v>
      </c>
      <c r="G24" s="138">
        <v>3.0000000000000001E-3</v>
      </c>
      <c r="H24" s="7">
        <f t="shared" si="4"/>
        <v>6360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7102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296"/>
      <c r="B34" s="1103" t="s">
        <v>2226</v>
      </c>
      <c r="C34" s="1104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0"/>
      <c r="B35" s="1211"/>
      <c r="C35" s="1212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7" t="str">
        <f t="shared" ref="H35:H40" si="6">IF(A35&lt;&gt;0,D35/F35*G35,$J$1)</f>
        <v>-</v>
      </c>
      <c r="I35" s="344"/>
    </row>
    <row r="36" spans="1:9" x14ac:dyDescent="0.2">
      <c r="A36" s="1210"/>
      <c r="B36" s="1211"/>
      <c r="C36" s="1212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0"/>
      <c r="B37" s="1211"/>
      <c r="C37" s="1212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0"/>
      <c r="B39" s="1211"/>
      <c r="C39" s="1212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0"/>
      <c r="B40" s="1211"/>
      <c r="C40" s="1212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10</v>
      </c>
      <c r="G45" s="1083"/>
      <c r="H45" s="7">
        <f>IF(A45&lt;&gt;0,ROUND(D45/F45,2),$J$1)</f>
        <v>15427.02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15427.02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7102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15427.02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22529.02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6758.7060000000001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29287.726000000002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:C1"/>
    <mergeCell ref="B34:C34"/>
    <mergeCell ref="B38:C38"/>
    <mergeCell ref="F45:G45"/>
    <mergeCell ref="A43:I43"/>
    <mergeCell ref="H1:I1"/>
    <mergeCell ref="A25:C25"/>
    <mergeCell ref="A26:C26"/>
    <mergeCell ref="D45:E45"/>
    <mergeCell ref="A44:C44"/>
    <mergeCell ref="A45:C45"/>
    <mergeCell ref="D44:E44"/>
    <mergeCell ref="A27:C27"/>
    <mergeCell ref="A28:C28"/>
    <mergeCell ref="A41:H41"/>
    <mergeCell ref="A42:I42"/>
    <mergeCell ref="A56:G56"/>
    <mergeCell ref="H56:I56"/>
    <mergeCell ref="A47:C47"/>
    <mergeCell ref="A48:C48"/>
    <mergeCell ref="D47:E47"/>
    <mergeCell ref="F47:G47"/>
    <mergeCell ref="A49:C49"/>
    <mergeCell ref="D48:E48"/>
    <mergeCell ref="A55:C55"/>
    <mergeCell ref="D55:E55"/>
    <mergeCell ref="F55:I55"/>
    <mergeCell ref="F49:G49"/>
    <mergeCell ref="F48:G48"/>
    <mergeCell ref="D49:E49"/>
    <mergeCell ref="A52:H52"/>
    <mergeCell ref="A54:G54"/>
    <mergeCell ref="A8:C8"/>
    <mergeCell ref="A9:C9"/>
    <mergeCell ref="A10:C10"/>
    <mergeCell ref="A11:C11"/>
    <mergeCell ref="A12:C12"/>
    <mergeCell ref="A35:C35"/>
    <mergeCell ref="A13:C13"/>
    <mergeCell ref="A36:C36"/>
    <mergeCell ref="A37:C37"/>
    <mergeCell ref="A39:C39"/>
    <mergeCell ref="A29:C29"/>
    <mergeCell ref="A14:C14"/>
    <mergeCell ref="A23:C23"/>
    <mergeCell ref="A24:C24"/>
    <mergeCell ref="A15:C15"/>
    <mergeCell ref="A16:C16"/>
    <mergeCell ref="A17:C17"/>
    <mergeCell ref="A18:C18"/>
    <mergeCell ref="A40:C40"/>
    <mergeCell ref="A53:H53"/>
    <mergeCell ref="F44:G44"/>
    <mergeCell ref="A51:I51"/>
    <mergeCell ref="A50:H50"/>
    <mergeCell ref="F46:G46"/>
    <mergeCell ref="A46:C46"/>
    <mergeCell ref="D46:E46"/>
  </mergeCells>
  <phoneticPr fontId="0" type="noConversion"/>
  <dataValidations disablePrompts="1" count="5">
    <dataValidation type="list" allowBlank="1" showInputMessage="1" showErrorMessage="1" sqref="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6">
    <tabColor rgb="FFC00000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9"/>
      <c r="G2" s="97"/>
      <c r="H2" s="97"/>
      <c r="I2" s="98"/>
      <c r="J2" s="34"/>
    </row>
    <row r="3" spans="1:10" s="9" customFormat="1" ht="21" customHeight="1" x14ac:dyDescent="0.2">
      <c r="A3" s="262" t="str">
        <f>'Datos entrada'!B2</f>
        <v>Análisis de Precios Unitarios</v>
      </c>
      <c r="B3" s="263"/>
      <c r="C3" s="263"/>
      <c r="D3" s="263"/>
      <c r="E3" s="263"/>
      <c r="F3" s="263"/>
      <c r="G3" s="263"/>
      <c r="H3" s="263"/>
      <c r="I3" s="264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65" t="s">
        <v>2213</v>
      </c>
      <c r="B5" s="271" t="e">
        <f>+#REF!</f>
        <v>#REF!</v>
      </c>
      <c r="C5" s="267" t="e">
        <f>+#REF!</f>
        <v>#REF!</v>
      </c>
      <c r="D5" s="268"/>
      <c r="E5" s="268"/>
      <c r="F5" s="268"/>
      <c r="G5" s="268"/>
      <c r="H5" s="268"/>
      <c r="I5" s="269"/>
    </row>
    <row r="6" spans="1:10" x14ac:dyDescent="0.2">
      <c r="A6" s="855" t="s">
        <v>553</v>
      </c>
      <c r="B6" s="206"/>
      <c r="C6" s="207"/>
      <c r="D6" s="902"/>
      <c r="E6" s="902"/>
      <c r="F6" s="902"/>
      <c r="G6" s="208"/>
      <c r="H6" s="209" t="s">
        <v>2214</v>
      </c>
      <c r="I6" s="282" t="e">
        <f>+#REF!</f>
        <v>#REF!</v>
      </c>
    </row>
    <row r="7" spans="1:10" s="11" customFormat="1" ht="25.5" x14ac:dyDescent="0.2">
      <c r="A7" s="223" t="s">
        <v>26</v>
      </c>
      <c r="B7" s="224"/>
      <c r="C7" s="224"/>
      <c r="D7" s="857" t="s">
        <v>2214</v>
      </c>
      <c r="E7" s="857" t="s">
        <v>2071</v>
      </c>
      <c r="F7" s="225" t="s">
        <v>2215</v>
      </c>
      <c r="G7" s="225"/>
      <c r="H7" s="858" t="s">
        <v>2216</v>
      </c>
      <c r="I7" s="72"/>
    </row>
    <row r="8" spans="1:10" x14ac:dyDescent="0.2">
      <c r="A8" s="1080"/>
      <c r="B8" s="1081"/>
      <c r="C8" s="1081"/>
      <c r="D8" s="844" t="str">
        <f t="shared" ref="D8:D18" si="0">IF(A8&lt;&gt;0,VLOOKUP(A8,Materiales,2,FALSE),$J$1)</f>
        <v>-</v>
      </c>
      <c r="E8" s="12"/>
      <c r="F8" s="58" t="str">
        <f t="shared" ref="F8:F15" si="1">IF(A8&lt;&gt;0,VLOOKUP(A8,Materiales,6,FALSE),$J$1)</f>
        <v>-</v>
      </c>
      <c r="G8" s="58"/>
      <c r="H8" s="7" t="str">
        <f t="shared" ref="H8:H18" si="2">IF(A8&lt;&gt;0,ROUND(E8*F8,2),$J$1)</f>
        <v>-</v>
      </c>
      <c r="I8" s="69"/>
    </row>
    <row r="9" spans="1:10" ht="12.75" customHeight="1" x14ac:dyDescent="0.2">
      <c r="A9" s="1218"/>
      <c r="B9" s="1219"/>
      <c r="C9" s="1219"/>
      <c r="D9" s="844" t="str">
        <f t="shared" si="0"/>
        <v>-</v>
      </c>
      <c r="E9" s="12"/>
      <c r="F9" s="58" t="str">
        <f t="shared" si="1"/>
        <v>-</v>
      </c>
      <c r="G9" s="58"/>
      <c r="H9" s="7" t="str">
        <f t="shared" si="2"/>
        <v>-</v>
      </c>
      <c r="I9" s="69"/>
    </row>
    <row r="10" spans="1:10" x14ac:dyDescent="0.2">
      <c r="A10" s="1080"/>
      <c r="B10" s="1081"/>
      <c r="C10" s="1081"/>
      <c r="D10" s="844" t="str">
        <f t="shared" si="0"/>
        <v>-</v>
      </c>
      <c r="E10" s="12"/>
      <c r="F10" s="58" t="str">
        <f t="shared" si="1"/>
        <v>-</v>
      </c>
      <c r="G10" s="58"/>
      <c r="H10" s="7" t="str">
        <f t="shared" si="2"/>
        <v>-</v>
      </c>
      <c r="I10" s="69"/>
    </row>
    <row r="11" spans="1:10" x14ac:dyDescent="0.2">
      <c r="A11" s="1080"/>
      <c r="B11" s="1081"/>
      <c r="C11" s="1081"/>
      <c r="D11" s="844" t="str">
        <f t="shared" si="0"/>
        <v>-</v>
      </c>
      <c r="E11" s="12"/>
      <c r="F11" s="58" t="str">
        <f t="shared" si="1"/>
        <v>-</v>
      </c>
      <c r="G11" s="58"/>
      <c r="H11" s="7" t="str">
        <f t="shared" si="2"/>
        <v>-</v>
      </c>
      <c r="I11" s="69"/>
    </row>
    <row r="12" spans="1:10" x14ac:dyDescent="0.2">
      <c r="A12" s="1080"/>
      <c r="B12" s="1081"/>
      <c r="C12" s="1081"/>
      <c r="D12" s="844" t="str">
        <f t="shared" si="0"/>
        <v>-</v>
      </c>
      <c r="E12" s="12"/>
      <c r="F12" s="58" t="str">
        <f t="shared" si="1"/>
        <v>-</v>
      </c>
      <c r="G12" s="58"/>
      <c r="H12" s="7" t="str">
        <f t="shared" si="2"/>
        <v>-</v>
      </c>
      <c r="I12" s="69"/>
    </row>
    <row r="13" spans="1:10" x14ac:dyDescent="0.2">
      <c r="A13" s="1080"/>
      <c r="B13" s="1081"/>
      <c r="C13" s="1081"/>
      <c r="D13" s="844" t="str">
        <f t="shared" si="0"/>
        <v>-</v>
      </c>
      <c r="E13" s="12"/>
      <c r="F13" s="58" t="str">
        <f t="shared" si="1"/>
        <v>-</v>
      </c>
      <c r="G13" s="58"/>
      <c r="H13" s="7" t="str">
        <f t="shared" si="2"/>
        <v>-</v>
      </c>
      <c r="I13" s="69"/>
    </row>
    <row r="14" spans="1:10" x14ac:dyDescent="0.2">
      <c r="A14" s="1080"/>
      <c r="B14" s="1081"/>
      <c r="C14" s="1081"/>
      <c r="D14" s="844" t="str">
        <f t="shared" si="0"/>
        <v>-</v>
      </c>
      <c r="E14" s="12"/>
      <c r="F14" s="58" t="str">
        <f t="shared" si="1"/>
        <v>-</v>
      </c>
      <c r="G14" s="58"/>
      <c r="H14" s="7" t="str">
        <f t="shared" si="2"/>
        <v>-</v>
      </c>
      <c r="I14" s="69"/>
    </row>
    <row r="15" spans="1:10" x14ac:dyDescent="0.2">
      <c r="A15" s="1080"/>
      <c r="B15" s="1081"/>
      <c r="C15" s="1081"/>
      <c r="D15" s="844" t="str">
        <f t="shared" si="0"/>
        <v>-</v>
      </c>
      <c r="E15" s="12"/>
      <c r="F15" s="58" t="str">
        <f t="shared" si="1"/>
        <v>-</v>
      </c>
      <c r="G15" s="58"/>
      <c r="H15" s="7" t="str">
        <f t="shared" si="2"/>
        <v>-</v>
      </c>
      <c r="I15" s="69"/>
    </row>
    <row r="16" spans="1:10" x14ac:dyDescent="0.2">
      <c r="A16" s="1080"/>
      <c r="B16" s="1081"/>
      <c r="C16" s="1081"/>
      <c r="D16" s="844" t="str">
        <f t="shared" si="0"/>
        <v>-</v>
      </c>
      <c r="E16" s="12"/>
      <c r="F16" s="58" t="str">
        <f>IF(A16&lt;&gt;0,VLOOKUP(A16,Materiales,5,FALSE),$J$1)</f>
        <v>-</v>
      </c>
      <c r="G16" s="58"/>
      <c r="H16" s="7" t="str">
        <f t="shared" si="2"/>
        <v>-</v>
      </c>
      <c r="I16" s="69"/>
    </row>
    <row r="17" spans="1:9" x14ac:dyDescent="0.2">
      <c r="A17" s="1080"/>
      <c r="B17" s="1081"/>
      <c r="C17" s="1081"/>
      <c r="D17" s="844" t="str">
        <f t="shared" si="0"/>
        <v>-</v>
      </c>
      <c r="E17" s="12"/>
      <c r="F17" s="58" t="str">
        <f>IF(A17&lt;&gt;0,VLOOKUP(A17,Materiales,5,FALSE),$J$1)</f>
        <v>-</v>
      </c>
      <c r="G17" s="58"/>
      <c r="H17" s="7" t="str">
        <f t="shared" si="2"/>
        <v>-</v>
      </c>
      <c r="I17" s="69"/>
    </row>
    <row r="18" spans="1:9" x14ac:dyDescent="0.2">
      <c r="A18" s="1080"/>
      <c r="B18" s="1081"/>
      <c r="C18" s="1081"/>
      <c r="D18" s="844" t="str">
        <f t="shared" si="0"/>
        <v>-</v>
      </c>
      <c r="E18" s="12"/>
      <c r="F18" s="58" t="str">
        <f>IF(A18&lt;&gt;0,VLOOKUP(A18,Materiales,5,FALSE),$J$1)</f>
        <v>-</v>
      </c>
      <c r="G18" s="58"/>
      <c r="H18" s="7" t="str">
        <f t="shared" si="2"/>
        <v>-</v>
      </c>
      <c r="I18" s="73"/>
    </row>
    <row r="19" spans="1:9" x14ac:dyDescent="0.2">
      <c r="A19" s="880" t="s">
        <v>2217</v>
      </c>
      <c r="B19" s="849"/>
      <c r="C19" s="849"/>
      <c r="D19" s="3"/>
      <c r="E19" s="872"/>
      <c r="F19" s="872"/>
      <c r="G19" s="872"/>
      <c r="H19" s="873"/>
      <c r="I19" s="241">
        <f>SUM(H8:H18)</f>
        <v>0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286"/>
    </row>
    <row r="22" spans="1:9" s="9" customFormat="1" ht="25.5" x14ac:dyDescent="0.2">
      <c r="A22" s="227" t="s">
        <v>26</v>
      </c>
      <c r="B22" s="225"/>
      <c r="C22" s="225"/>
      <c r="D22" s="225" t="s">
        <v>2218</v>
      </c>
      <c r="E22" s="225"/>
      <c r="F22" s="225" t="s">
        <v>2334</v>
      </c>
      <c r="G22" s="858" t="s">
        <v>2220</v>
      </c>
      <c r="H22" s="858" t="s">
        <v>2216</v>
      </c>
      <c r="I22" s="72"/>
    </row>
    <row r="23" spans="1:9" x14ac:dyDescent="0.2">
      <c r="A23" s="1080" t="s">
        <v>477</v>
      </c>
      <c r="B23" s="1081"/>
      <c r="C23" s="1081"/>
      <c r="D23" s="33">
        <v>2</v>
      </c>
      <c r="E23" s="33"/>
      <c r="F23" s="12">
        <f t="shared" ref="F23:F29" si="3">IF(A23&lt;&gt;0,VLOOKUP(A23,Equipos,6,FALSE),$J$1)</f>
        <v>3710</v>
      </c>
      <c r="G23" s="136">
        <v>1</v>
      </c>
      <c r="H23" s="7">
        <f t="shared" ref="H23:H29" si="4">IF(A23&lt;&gt;0,ROUND((F23/D23)*G23,2),$J$1)</f>
        <v>1855</v>
      </c>
      <c r="I23" s="69"/>
    </row>
    <row r="24" spans="1:9" x14ac:dyDescent="0.2">
      <c r="A24" s="1080"/>
      <c r="B24" s="1081"/>
      <c r="C24" s="1081"/>
      <c r="D24" s="33"/>
      <c r="E24" s="33"/>
      <c r="F24" s="12" t="str">
        <f t="shared" si="3"/>
        <v>-</v>
      </c>
      <c r="G24" s="138" t="s">
        <v>2270</v>
      </c>
      <c r="H24" s="7" t="str">
        <f t="shared" si="4"/>
        <v>-</v>
      </c>
      <c r="I24" s="69"/>
    </row>
    <row r="25" spans="1:9" x14ac:dyDescent="0.2">
      <c r="A25" s="1080"/>
      <c r="B25" s="1081"/>
      <c r="C25" s="1081"/>
      <c r="D25" s="33"/>
      <c r="E25" s="33"/>
      <c r="F25" s="12" t="str">
        <f t="shared" si="3"/>
        <v>-</v>
      </c>
      <c r="G25" s="14"/>
      <c r="H25" s="7" t="str">
        <f t="shared" si="4"/>
        <v>-</v>
      </c>
      <c r="I25" s="69"/>
    </row>
    <row r="26" spans="1:9" x14ac:dyDescent="0.2">
      <c r="A26" s="1080"/>
      <c r="B26" s="1081"/>
      <c r="C26" s="1081"/>
      <c r="D26" s="33"/>
      <c r="E26" s="33"/>
      <c r="F26" s="12" t="str">
        <f t="shared" si="3"/>
        <v>-</v>
      </c>
      <c r="G26" s="14"/>
      <c r="H26" s="7" t="str">
        <f t="shared" si="4"/>
        <v>-</v>
      </c>
      <c r="I26" s="69"/>
    </row>
    <row r="27" spans="1:9" x14ac:dyDescent="0.2">
      <c r="A27" s="1080"/>
      <c r="B27" s="1081"/>
      <c r="C27" s="1081"/>
      <c r="D27" s="33"/>
      <c r="E27" s="33"/>
      <c r="F27" s="12" t="str">
        <f t="shared" si="3"/>
        <v>-</v>
      </c>
      <c r="G27" s="14"/>
      <c r="H27" s="7" t="str">
        <f t="shared" si="4"/>
        <v>-</v>
      </c>
      <c r="I27" s="69"/>
    </row>
    <row r="28" spans="1:9" x14ac:dyDescent="0.2">
      <c r="A28" s="1080"/>
      <c r="B28" s="1081"/>
      <c r="C28" s="1081"/>
      <c r="D28" s="33"/>
      <c r="E28" s="33"/>
      <c r="F28" s="12" t="str">
        <f t="shared" si="3"/>
        <v>-</v>
      </c>
      <c r="G28" s="14"/>
      <c r="H28" s="7" t="str">
        <f t="shared" si="4"/>
        <v>-</v>
      </c>
      <c r="I28" s="69"/>
    </row>
    <row r="29" spans="1:9" x14ac:dyDescent="0.2">
      <c r="A29" s="1080"/>
      <c r="B29" s="1081"/>
      <c r="C29" s="1081"/>
      <c r="D29" s="33"/>
      <c r="E29" s="33"/>
      <c r="F29" s="12" t="str">
        <f t="shared" si="3"/>
        <v>-</v>
      </c>
      <c r="G29" s="14"/>
      <c r="H29" s="7" t="str">
        <f t="shared" si="4"/>
        <v>-</v>
      </c>
      <c r="I29" s="73"/>
    </row>
    <row r="30" spans="1:9" x14ac:dyDescent="0.2">
      <c r="A30" s="853" t="s">
        <v>2221</v>
      </c>
      <c r="B30" s="854"/>
      <c r="C30" s="854"/>
      <c r="D30" s="3"/>
      <c r="E30" s="872"/>
      <c r="F30" s="872"/>
      <c r="G30" s="872"/>
      <c r="H30" s="873"/>
      <c r="I30" s="241">
        <f>SUM(H23:H29)</f>
        <v>1855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55" t="s">
        <v>2222</v>
      </c>
      <c r="B32" s="856"/>
      <c r="C32" s="228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33" t="s">
        <v>26</v>
      </c>
      <c r="B33" s="234"/>
      <c r="C33" s="234"/>
      <c r="D33" s="235" t="s">
        <v>2223</v>
      </c>
      <c r="E33" s="235"/>
      <c r="F33" s="881" t="s">
        <v>2224</v>
      </c>
      <c r="G33" s="881" t="s">
        <v>2225</v>
      </c>
      <c r="H33" s="881" t="s">
        <v>2216</v>
      </c>
      <c r="I33" s="72"/>
    </row>
    <row r="34" spans="1:9" x14ac:dyDescent="0.2">
      <c r="A34" s="945"/>
      <c r="B34" s="1103" t="s">
        <v>2226</v>
      </c>
      <c r="C34" s="1298"/>
      <c r="D34" s="46"/>
      <c r="E34" s="47"/>
      <c r="F34" s="15"/>
      <c r="G34" s="12"/>
      <c r="H34" s="7"/>
      <c r="I34" s="343">
        <f>SUM(H35:H37)</f>
        <v>0</v>
      </c>
    </row>
    <row r="35" spans="1:9" x14ac:dyDescent="0.2">
      <c r="A35" s="1210" t="s">
        <v>2073</v>
      </c>
      <c r="B35" s="1211"/>
      <c r="C35" s="1212"/>
      <c r="D35" s="46">
        <f>IF(A35&lt;&gt;0,VLOOKUP(A35,Transporte,8,FALSE),$J$1)</f>
        <v>0</v>
      </c>
      <c r="E35" s="47"/>
      <c r="F35" s="15">
        <f t="shared" ref="F35:F40" si="5">IF(A35&lt;&gt;0,VLOOKUP(A35,Transporte,2,FALSE),$J$1)</f>
        <v>5.5</v>
      </c>
      <c r="G35" s="12">
        <v>1.1000000000000001</v>
      </c>
      <c r="H35" s="7">
        <f t="shared" ref="H35:H40" si="6">IF(A35&lt;&gt;0,D35/F35*G35,$J$1)</f>
        <v>0</v>
      </c>
      <c r="I35" s="344"/>
    </row>
    <row r="36" spans="1:9" x14ac:dyDescent="0.2">
      <c r="A36" s="1210"/>
      <c r="B36" s="1211"/>
      <c r="C36" s="1212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7" t="str">
        <f t="shared" si="6"/>
        <v>-</v>
      </c>
      <c r="I36" s="344"/>
    </row>
    <row r="37" spans="1:9" x14ac:dyDescent="0.2">
      <c r="A37" s="1210"/>
      <c r="B37" s="1211"/>
      <c r="C37" s="1212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7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7"/>
      <c r="I38" s="343">
        <f>SUM(H39:H40)</f>
        <v>0</v>
      </c>
    </row>
    <row r="39" spans="1:9" x14ac:dyDescent="0.2">
      <c r="A39" s="1210"/>
      <c r="B39" s="1211"/>
      <c r="C39" s="1212"/>
      <c r="D39" s="61" t="str">
        <f>IF(A28&lt;&gt;0,VLOOKUP(A39,Transporte,8,FALSE),$J$1)</f>
        <v>-</v>
      </c>
      <c r="E39" s="61"/>
      <c r="F39" s="15" t="str">
        <f t="shared" si="5"/>
        <v>-</v>
      </c>
      <c r="G39" s="12"/>
      <c r="H39" s="7" t="str">
        <f t="shared" si="6"/>
        <v>-</v>
      </c>
      <c r="I39" s="344"/>
    </row>
    <row r="40" spans="1:9" x14ac:dyDescent="0.2">
      <c r="A40" s="1210"/>
      <c r="B40" s="1211"/>
      <c r="C40" s="1212"/>
      <c r="D40" s="61" t="str">
        <f>IF(A29&lt;&gt;0,VLOOKUP(A40,Transporte,8,FALSE),$J$1)</f>
        <v>-</v>
      </c>
      <c r="E40" s="61"/>
      <c r="F40" s="15" t="str">
        <f t="shared" si="5"/>
        <v>-</v>
      </c>
      <c r="G40" s="12"/>
      <c r="H40" s="7" t="str">
        <f t="shared" si="6"/>
        <v>-</v>
      </c>
      <c r="I40" s="346"/>
    </row>
    <row r="41" spans="1:9" x14ac:dyDescent="0.2">
      <c r="A41" s="1106" t="s">
        <v>2228</v>
      </c>
      <c r="B41" s="1107"/>
      <c r="C41" s="1107"/>
      <c r="D41" s="1107"/>
      <c r="E41" s="1107"/>
      <c r="F41" s="1107"/>
      <c r="G41" s="1107"/>
      <c r="H41" s="110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46" t="s">
        <v>2229</v>
      </c>
      <c r="B44" s="1247"/>
      <c r="C44" s="1247"/>
      <c r="D44" s="1248" t="s">
        <v>2230</v>
      </c>
      <c r="E44" s="1248"/>
      <c r="F44" s="1248" t="s">
        <v>2218</v>
      </c>
      <c r="G44" s="1248"/>
      <c r="H44" s="881" t="s">
        <v>2216</v>
      </c>
      <c r="I44" s="72"/>
    </row>
    <row r="45" spans="1:9" x14ac:dyDescent="0.2">
      <c r="A45" s="1080" t="s">
        <v>39</v>
      </c>
      <c r="B45" s="1081"/>
      <c r="C45" s="1081"/>
      <c r="D45" s="1082">
        <f>IF(A45&lt;&gt;0,VLOOKUP(A45,Cuadrillas,7,FALSE),$J$1)</f>
        <v>154270.22</v>
      </c>
      <c r="E45" s="1082"/>
      <c r="F45" s="1083">
        <v>20</v>
      </c>
      <c r="G45" s="1083"/>
      <c r="H45" s="7">
        <f>IF(A45&lt;&gt;0,ROUND(D45/F45,2),$J$1)</f>
        <v>7713.51</v>
      </c>
      <c r="I45" s="69"/>
    </row>
    <row r="46" spans="1:9" x14ac:dyDescent="0.2">
      <c r="A46" s="1080"/>
      <c r="B46" s="1081"/>
      <c r="C46" s="1081"/>
      <c r="D46" s="1082" t="str">
        <f>IF(A46&lt;&gt;0,VLOOKUP(A46,Cuadrillas,7,FALSE),$J$1)</f>
        <v>-</v>
      </c>
      <c r="E46" s="1082"/>
      <c r="F46" s="1083"/>
      <c r="G46" s="1083"/>
      <c r="H46" s="7" t="str">
        <f>IF(A46&lt;&gt;0,ROUND(D46/F46,2),$J$1)</f>
        <v>-</v>
      </c>
      <c r="I46" s="69"/>
    </row>
    <row r="47" spans="1:9" x14ac:dyDescent="0.2">
      <c r="A47" s="1080"/>
      <c r="B47" s="1081"/>
      <c r="C47" s="1081"/>
      <c r="D47" s="1082" t="str">
        <f>IF(A47&lt;&gt;0,VLOOKUP(A47,Cuadrillas,7,FALSE),$J$1)</f>
        <v>-</v>
      </c>
      <c r="E47" s="1082"/>
      <c r="F47" s="1083"/>
      <c r="G47" s="1083"/>
      <c r="H47" s="7" t="str">
        <f>IF(A47&lt;&gt;0,ROUND(D47/F47,2),$J$1)</f>
        <v>-</v>
      </c>
      <c r="I47" s="69"/>
    </row>
    <row r="48" spans="1:9" x14ac:dyDescent="0.2">
      <c r="A48" s="1080"/>
      <c r="B48" s="1081"/>
      <c r="C48" s="1081"/>
      <c r="D48" s="1082" t="str">
        <f>IF(A48&lt;&gt;0,VLOOKUP(A48,Cuadrillas,7,FALSE),$J$1)</f>
        <v>-</v>
      </c>
      <c r="E48" s="1082"/>
      <c r="F48" s="1083"/>
      <c r="G48" s="1083"/>
      <c r="H48" s="7" t="str">
        <f>IF(A48&lt;&gt;0,ROUND(D48/F48,2),$J$1)</f>
        <v>-</v>
      </c>
      <c r="I48" s="69"/>
    </row>
    <row r="49" spans="1:9" x14ac:dyDescent="0.2">
      <c r="A49" s="1080"/>
      <c r="B49" s="1081"/>
      <c r="C49" s="1081"/>
      <c r="D49" s="1082" t="str">
        <f>IF(A49&lt;&gt;0,VLOOKUP(A49,Cuadrillas,7,FALSE),$J$1)</f>
        <v>-</v>
      </c>
      <c r="E49" s="1082"/>
      <c r="F49" s="1083"/>
      <c r="G49" s="1083"/>
      <c r="H49" s="7" t="str">
        <f>IF(A49&lt;&gt;0,ROUND(D49/F49,2),$J$1)</f>
        <v>-</v>
      </c>
      <c r="I49" s="69"/>
    </row>
    <row r="50" spans="1:9" x14ac:dyDescent="0.2">
      <c r="A50" s="1106" t="s">
        <v>2231</v>
      </c>
      <c r="B50" s="1203"/>
      <c r="C50" s="1203"/>
      <c r="D50" s="1203"/>
      <c r="E50" s="1203"/>
      <c r="F50" s="1203"/>
      <c r="G50" s="1203"/>
      <c r="H50" s="1203"/>
      <c r="I50" s="240">
        <f>SUM(H45:H49)</f>
        <v>7713.51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>
        <f>I19+I30+I41</f>
        <v>1855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7713.51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>
        <f>I52+I53</f>
        <v>9568.51</v>
      </c>
    </row>
    <row r="55" spans="1:9" s="9" customFormat="1" ht="25.5" customHeight="1" thickTop="1" thickBot="1" x14ac:dyDescent="0.25">
      <c r="A55" s="1095" t="s">
        <v>10</v>
      </c>
      <c r="B55" s="1096"/>
      <c r="C55" s="1096"/>
      <c r="D55" s="1097">
        <f>+'Datos entrada'!B7</f>
        <v>0.3</v>
      </c>
      <c r="E55" s="1098"/>
      <c r="F55" s="1099">
        <f>I54*D55</f>
        <v>2870.5529999999999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>
        <f>I54+F55</f>
        <v>12439.063</v>
      </c>
      <c r="I56" s="1192"/>
    </row>
    <row r="57" spans="1:9" ht="13.5" thickTop="1" x14ac:dyDescent="0.2">
      <c r="I57" s="48"/>
    </row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8">
    <mergeCell ref="A11:C11"/>
    <mergeCell ref="A1:C1"/>
    <mergeCell ref="H1:I1"/>
    <mergeCell ref="A8:C8"/>
    <mergeCell ref="A9:C9"/>
    <mergeCell ref="A10:C10"/>
    <mergeCell ref="A27:C27"/>
    <mergeCell ref="A12:C12"/>
    <mergeCell ref="A13:C13"/>
    <mergeCell ref="A14:C14"/>
    <mergeCell ref="A15:C15"/>
    <mergeCell ref="A16:C16"/>
    <mergeCell ref="A17:C17"/>
    <mergeCell ref="A18:C18"/>
    <mergeCell ref="A23:C23"/>
    <mergeCell ref="A24:C24"/>
    <mergeCell ref="A25:C25"/>
    <mergeCell ref="A26:C26"/>
    <mergeCell ref="A43:I43"/>
    <mergeCell ref="A28:C28"/>
    <mergeCell ref="A29:C29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6:G56"/>
    <mergeCell ref="H56:I56"/>
    <mergeCell ref="A50:H50"/>
    <mergeCell ref="A51:I51"/>
    <mergeCell ref="A52:H52"/>
    <mergeCell ref="A53:H53"/>
    <mergeCell ref="A54:G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74FCFC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10.140625" style="1" bestFit="1" customWidth="1"/>
    <col min="6" max="6" width="12.5703125" style="1" customWidth="1"/>
    <col min="7" max="7" width="12.7109375" style="1" customWidth="1"/>
    <col min="8" max="8" width="15.7109375" style="1" customWidth="1"/>
    <col min="9" max="9" width="17.140625" style="1" bestFit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0.65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122</v>
      </c>
      <c r="B9" s="1216"/>
      <c r="C9" s="1217"/>
      <c r="D9" s="851" t="e">
        <f t="shared" si="0"/>
        <v>#REF!</v>
      </c>
      <c r="E9" s="194">
        <v>1000</v>
      </c>
      <c r="F9" s="21" t="e">
        <f>IF(A9&lt;&gt;0,VLOOKUP(A9,Materiales,6,FALSE),$J$1)</f>
        <v>#REF!</v>
      </c>
      <c r="G9" s="22"/>
      <c r="H9" s="508" t="e">
        <f t="shared" si="1"/>
        <v>#REF!</v>
      </c>
      <c r="I9" s="69"/>
    </row>
    <row r="10" spans="1:10" x14ac:dyDescent="0.2">
      <c r="A10" s="1215"/>
      <c r="B10" s="1216"/>
      <c r="C10" s="1217"/>
      <c r="D10" s="851" t="str">
        <f t="shared" ref="D10:D15" si="2">IF(A10&lt;&gt;0,VLOOKUP(A10,Materiales,2,FALSE),$J$1)</f>
        <v>-</v>
      </c>
      <c r="E10" s="13"/>
      <c r="F10" s="21" t="str">
        <f t="shared" ref="F10:F15" si="3">IF(A10&lt;&gt;0,VLOOKUP(A10,Materiales,6,FALSE),$J$1)</f>
        <v>-</v>
      </c>
      <c r="G10" s="22"/>
      <c r="H10" s="8" t="str">
        <f t="shared" ref="H10:H15" si="4">IF(A10&lt;&gt;0,ROUND(E10*F10,2),$J$1)</f>
        <v>-</v>
      </c>
      <c r="I10" s="69"/>
    </row>
    <row r="11" spans="1:10" x14ac:dyDescent="0.2">
      <c r="A11" s="1215" t="s">
        <v>149</v>
      </c>
      <c r="B11" s="1216"/>
      <c r="C11" s="1217"/>
      <c r="D11" s="851" t="e">
        <f t="shared" si="2"/>
        <v>#REF!</v>
      </c>
      <c r="E11" s="12">
        <v>6</v>
      </c>
      <c r="F11" s="21" t="e">
        <f t="shared" si="3"/>
        <v>#REF!</v>
      </c>
      <c r="G11" s="22"/>
      <c r="H11" s="8" t="e">
        <f t="shared" si="4"/>
        <v>#REF!</v>
      </c>
      <c r="I11" s="69"/>
    </row>
    <row r="12" spans="1:10" x14ac:dyDescent="0.2">
      <c r="A12" s="1215" t="s">
        <v>2320</v>
      </c>
      <c r="B12" s="1216"/>
      <c r="C12" s="1217"/>
      <c r="D12" s="851" t="e">
        <f t="shared" si="2"/>
        <v>#REF!</v>
      </c>
      <c r="E12" s="12">
        <v>0.25</v>
      </c>
      <c r="F12" s="21" t="e">
        <f t="shared" si="3"/>
        <v>#REF!</v>
      </c>
      <c r="G12" s="22"/>
      <c r="H12" s="8" t="e">
        <f t="shared" si="4"/>
        <v>#REF!</v>
      </c>
      <c r="I12" s="69"/>
    </row>
    <row r="13" spans="1:10" x14ac:dyDescent="0.2">
      <c r="A13" s="1215" t="s">
        <v>636</v>
      </c>
      <c r="B13" s="1216"/>
      <c r="C13" s="1217"/>
      <c r="D13" s="851" t="e">
        <f t="shared" si="2"/>
        <v>#REF!</v>
      </c>
      <c r="E13" s="12">
        <v>3.67</v>
      </c>
      <c r="F13" s="21" t="e">
        <f t="shared" si="3"/>
        <v>#REF!</v>
      </c>
      <c r="G13" s="22"/>
      <c r="H13" s="8" t="e">
        <f t="shared" si="4"/>
        <v>#REF!</v>
      </c>
      <c r="I13" s="69"/>
    </row>
    <row r="14" spans="1:10" ht="24.75" customHeight="1" x14ac:dyDescent="0.2">
      <c r="A14" s="1116" t="s">
        <v>874</v>
      </c>
      <c r="B14" s="1117"/>
      <c r="C14" s="1118"/>
      <c r="D14" s="851" t="e">
        <f t="shared" si="2"/>
        <v>#REF!</v>
      </c>
      <c r="E14" s="12">
        <v>32.270000000000003</v>
      </c>
      <c r="F14" s="21" t="e">
        <f t="shared" si="3"/>
        <v>#REF!</v>
      </c>
      <c r="G14" s="22"/>
      <c r="H14" s="8" t="e">
        <f t="shared" si="4"/>
        <v>#REF!</v>
      </c>
      <c r="I14" s="69"/>
    </row>
    <row r="15" spans="1:10" x14ac:dyDescent="0.2">
      <c r="A15" s="1215" t="s">
        <v>261</v>
      </c>
      <c r="B15" s="1216"/>
      <c r="C15" s="1217"/>
      <c r="D15" s="851" t="e">
        <f t="shared" si="2"/>
        <v>#REF!</v>
      </c>
      <c r="E15" s="12">
        <v>0.85</v>
      </c>
      <c r="F15" s="21" t="e">
        <f t="shared" si="3"/>
        <v>#REF!</v>
      </c>
      <c r="G15" s="22"/>
      <c r="H15" s="8" t="e">
        <f t="shared" si="4"/>
        <v>#REF!</v>
      </c>
      <c r="I15" s="69"/>
    </row>
    <row r="16" spans="1:10" x14ac:dyDescent="0.2">
      <c r="A16" s="1086"/>
      <c r="B16" s="1087"/>
      <c r="C16" s="1119"/>
      <c r="D16" s="851" t="str">
        <f t="shared" si="0"/>
        <v>-</v>
      </c>
      <c r="E16" s="12"/>
      <c r="F16" s="21" t="str">
        <f>IF(A16&lt;&gt;0,VLOOKUP(A16,Materiales,6,FALSE),$J$1)</f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1215" t="s">
        <v>477</v>
      </c>
      <c r="B23" s="1216"/>
      <c r="C23" s="1217"/>
      <c r="D23" s="26">
        <v>0.5</v>
      </c>
      <c r="E23" s="28"/>
      <c r="F23" s="12">
        <f t="shared" ref="F23:F29" si="5">IF(A23&lt;&gt;0,VLOOKUP(A23,Equipos,6,FALSE),$J$1)</f>
        <v>3710</v>
      </c>
      <c r="G23" s="14">
        <v>1</v>
      </c>
      <c r="H23" s="8">
        <f>IF(A23&lt;&gt;0,ROUND((F23/D23)*G23,2),$J$1)</f>
        <v>7420</v>
      </c>
      <c r="I23" s="69"/>
    </row>
    <row r="24" spans="1:9" x14ac:dyDescent="0.2">
      <c r="A24" s="1215" t="s">
        <v>484</v>
      </c>
      <c r="B24" s="1216"/>
      <c r="C24" s="1217"/>
      <c r="D24" s="26">
        <v>0.5</v>
      </c>
      <c r="E24" s="28"/>
      <c r="F24" s="12">
        <f>IF(A24&lt;&gt;0,VLOOKUP(A24,Equipos,6,FALSE),$J$1)</f>
        <v>1812.6</v>
      </c>
      <c r="G24" s="14">
        <v>1</v>
      </c>
      <c r="H24" s="8">
        <f>IF(A24&lt;&gt;0,ROUND((F24/D24)*G24,2),$J$1)</f>
        <v>3625.2</v>
      </c>
      <c r="I24" s="69"/>
    </row>
    <row r="25" spans="1:9" x14ac:dyDescent="0.2">
      <c r="A25" s="1215" t="s">
        <v>473</v>
      </c>
      <c r="B25" s="1216"/>
      <c r="C25" s="1217"/>
      <c r="D25" s="26">
        <v>0.5</v>
      </c>
      <c r="E25" s="28"/>
      <c r="F25" s="12">
        <f t="shared" si="5"/>
        <v>2438</v>
      </c>
      <c r="G25" s="14">
        <v>1</v>
      </c>
      <c r="H25" s="8">
        <f>IF(A25&lt;&gt;0,ROUND((F25/D25)*G25,2),$J$1)</f>
        <v>4876</v>
      </c>
      <c r="I25" s="69"/>
    </row>
    <row r="26" spans="1:9" x14ac:dyDescent="0.2">
      <c r="A26" s="1215" t="s">
        <v>492</v>
      </c>
      <c r="B26" s="1216"/>
      <c r="C26" s="1217"/>
      <c r="D26" s="26">
        <v>1</v>
      </c>
      <c r="E26" s="28"/>
      <c r="F26" s="12">
        <f>IF(A26&lt;&gt;0,VLOOKUP(A26,Equipos,6,FALSE),$J$1)</f>
        <v>678400</v>
      </c>
      <c r="G26" s="14">
        <v>1</v>
      </c>
      <c r="H26" s="8">
        <f>IF(A26&lt;&gt;0,ROUND((F26/D26)/G26,2),$J$1)</f>
        <v>678400</v>
      </c>
      <c r="I26" s="69"/>
    </row>
    <row r="27" spans="1:9" x14ac:dyDescent="0.2">
      <c r="A27" s="1215" t="s">
        <v>500</v>
      </c>
      <c r="B27" s="1216"/>
      <c r="C27" s="1217"/>
      <c r="D27" s="26">
        <v>0.15</v>
      </c>
      <c r="E27" s="28"/>
      <c r="F27" s="12">
        <f t="shared" si="5"/>
        <v>265000</v>
      </c>
      <c r="G27" s="14">
        <v>1</v>
      </c>
      <c r="H27" s="8">
        <f>IF(A27&lt;&gt;0,ROUND((F27*D27)*G27,2),$J$1)</f>
        <v>39750</v>
      </c>
      <c r="I27" s="69"/>
    </row>
    <row r="28" spans="1:9" x14ac:dyDescent="0.2">
      <c r="A28" s="1215"/>
      <c r="B28" s="1216"/>
      <c r="C28" s="1217"/>
      <c r="D28" s="26"/>
      <c r="E28" s="28"/>
      <c r="F28" s="12" t="str">
        <f t="shared" si="5"/>
        <v>-</v>
      </c>
      <c r="G28" s="14"/>
      <c r="H28" s="8" t="str">
        <f>IF(A28&lt;&gt;0,ROUND((F28/D28)*G28,2),$J$1)</f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5"/>
        <v>-</v>
      </c>
      <c r="G29" s="14"/>
      <c r="H29" s="8" t="str">
        <f>IF(A29&lt;&gt;0,ROUND((F29/D29)*G29,2),$J$1)</f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734071.2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6">IF(A35&lt;&gt;0,VLOOKUP(A35,Transporte,2,FALSE),$J$1)</f>
        <v>-</v>
      </c>
      <c r="G35" s="12"/>
      <c r="H35" s="8" t="str">
        <f t="shared" ref="H35:H40" si="7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6"/>
        <v>-</v>
      </c>
      <c r="G36" s="12"/>
      <c r="H36" s="8" t="str">
        <f t="shared" si="7"/>
        <v>-</v>
      </c>
      <c r="I36" s="344"/>
    </row>
    <row r="37" spans="1:9" x14ac:dyDescent="0.2">
      <c r="A37" s="1215"/>
      <c r="B37" s="1216"/>
      <c r="C37" s="1217"/>
      <c r="D37" s="46"/>
      <c r="E37" s="47"/>
      <c r="F37" s="15" t="str">
        <f t="shared" si="6"/>
        <v>-</v>
      </c>
      <c r="G37" s="12"/>
      <c r="H37" s="8" t="str">
        <f t="shared" si="7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6"/>
        <v>-</v>
      </c>
      <c r="G39" s="12"/>
      <c r="H39" s="8" t="str">
        <f t="shared" si="7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6"/>
        <v>-</v>
      </c>
      <c r="G40" s="12"/>
      <c r="H40" s="8" t="str">
        <f t="shared" si="7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0.2</v>
      </c>
      <c r="G45" s="1222"/>
      <c r="H45" s="8">
        <f>IF(A45&lt;&gt;0,ROUND(D45/F45,2),$J$1)</f>
        <v>2160479.2000000002</v>
      </c>
      <c r="I45" s="69"/>
    </row>
    <row r="46" spans="1:9" x14ac:dyDescent="0.2">
      <c r="A46" s="1215" t="s">
        <v>51</v>
      </c>
      <c r="B46" s="1216"/>
      <c r="C46" s="1217"/>
      <c r="D46" s="1225">
        <f>IF(A46&lt;&gt;0,VLOOKUP(A46,Cuadrillas,7,FALSE),$J$1)</f>
        <v>418739.68</v>
      </c>
      <c r="E46" s="1226"/>
      <c r="F46" s="1221">
        <v>0.25</v>
      </c>
      <c r="G46" s="1222"/>
      <c r="H46" s="8">
        <f>IF(A46&lt;&gt;0,ROUND(D46/F46,2),$J$1)</f>
        <v>1674958.72</v>
      </c>
      <c r="I46" s="69"/>
    </row>
    <row r="47" spans="1:9" x14ac:dyDescent="0.2">
      <c r="A47" s="1215" t="s">
        <v>39</v>
      </c>
      <c r="B47" s="1216"/>
      <c r="C47" s="1217"/>
      <c r="D47" s="1225">
        <f>IF(A47&lt;&gt;0,VLOOKUP(A47,Cuadrillas,7,FALSE),$J$1)</f>
        <v>154270.22</v>
      </c>
      <c r="E47" s="1226"/>
      <c r="F47" s="1221">
        <v>0.15</v>
      </c>
      <c r="G47" s="1222"/>
      <c r="H47" s="8">
        <f>IF(A47&lt;&gt;0,ROUND(D47/F47,2),$J$1)</f>
        <v>1028468.13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4863906.05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4863906.05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1309" t="e">
        <f>I52+I53</f>
        <v>#REF!</v>
      </c>
      <c r="I54" s="1310"/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H54*D55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H54+F55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3" orientation="portrait" blackAndWhite="1" errors="blank" r:id="rId1"/>
      <headerFooter alignWithMargins="0">
        <oddFooter xml:space="preserve">&amp;C  </oddFooter>
      </headerFooter>
    </customSheetView>
  </customSheetViews>
  <mergeCells count="57">
    <mergeCell ref="A16:C16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14:C14"/>
    <mergeCell ref="A15:C15"/>
    <mergeCell ref="A39:C39"/>
    <mergeCell ref="A23:C23"/>
    <mergeCell ref="A24:C24"/>
    <mergeCell ref="A25:C25"/>
    <mergeCell ref="A26:C26"/>
    <mergeCell ref="A27:C27"/>
    <mergeCell ref="A28:C28"/>
    <mergeCell ref="B34:C34"/>
    <mergeCell ref="A35:C35"/>
    <mergeCell ref="A36:C36"/>
    <mergeCell ref="A37:C37"/>
    <mergeCell ref="B38:C38"/>
    <mergeCell ref="A40:C40"/>
    <mergeCell ref="A41:H41"/>
    <mergeCell ref="A42:I42"/>
    <mergeCell ref="A43:I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52:H52"/>
    <mergeCell ref="A47:C47"/>
    <mergeCell ref="D47:E47"/>
    <mergeCell ref="F47:G47"/>
    <mergeCell ref="A48:C48"/>
    <mergeCell ref="D48:E48"/>
    <mergeCell ref="F48:G48"/>
    <mergeCell ref="A49:C49"/>
    <mergeCell ref="D49:E49"/>
    <mergeCell ref="F49:G49"/>
    <mergeCell ref="A50:H50"/>
    <mergeCell ref="A51:I51"/>
    <mergeCell ref="A56:G56"/>
    <mergeCell ref="H56:I56"/>
    <mergeCell ref="A53:H53"/>
    <mergeCell ref="A54:G54"/>
    <mergeCell ref="H54:I54"/>
    <mergeCell ref="A55:C55"/>
    <mergeCell ref="D55:E55"/>
    <mergeCell ref="F55:I55"/>
  </mergeCells>
  <dataValidations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9:C29 A23:A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7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3" orientation="portrait" blackAndWhite="1" errors="blank" r:id="rId2"/>
  <headerFooter alignWithMargins="0">
    <oddFooter xml:space="preserve">&amp;C  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0000"/>
  </sheetPr>
  <dimension ref="A1:G93"/>
  <sheetViews>
    <sheetView view="pageBreakPreview" zoomScaleNormal="50" zoomScaleSheetLayoutView="100" workbookViewId="0">
      <selection activeCell="B9" sqref="B9"/>
    </sheetView>
  </sheetViews>
  <sheetFormatPr baseColWidth="10" defaultColWidth="11.42578125" defaultRowHeight="15" x14ac:dyDescent="0.2"/>
  <cols>
    <col min="1" max="1" width="8" style="1522" customWidth="1"/>
    <col min="2" max="2" width="56.42578125" style="1523" customWidth="1"/>
    <col min="3" max="3" width="10.7109375" style="1524" customWidth="1"/>
    <col min="4" max="4" width="10.42578125" style="1517" bestFit="1" customWidth="1"/>
    <col min="5" max="5" width="13" style="721" customWidth="1"/>
    <col min="6" max="6" width="13.5703125" style="1519" customWidth="1"/>
    <col min="7" max="7" width="18" style="1525" customWidth="1"/>
    <col min="8" max="16384" width="11.42578125" style="1486"/>
  </cols>
  <sheetData>
    <row r="1" spans="1:7" s="1479" customFormat="1" ht="15.75" x14ac:dyDescent="0.25">
      <c r="A1" s="1478" t="s">
        <v>2082</v>
      </c>
      <c r="B1" s="1478"/>
      <c r="C1" s="1478"/>
      <c r="D1" s="1478"/>
      <c r="E1" s="1478"/>
      <c r="F1" s="1478"/>
      <c r="G1" s="1478"/>
    </row>
    <row r="2" spans="1:7" s="1479" customFormat="1" ht="18" customHeight="1" x14ac:dyDescent="0.25">
      <c r="A2" s="1478" t="s">
        <v>2421</v>
      </c>
      <c r="B2" s="1478"/>
      <c r="C2" s="1478"/>
      <c r="D2" s="1478"/>
      <c r="E2" s="1478"/>
      <c r="F2" s="1478"/>
      <c r="G2" s="1478"/>
    </row>
    <row r="3" spans="1:7" s="1479" customFormat="1" ht="39" customHeight="1" x14ac:dyDescent="0.2">
      <c r="A3" s="1480" t="s">
        <v>4</v>
      </c>
      <c r="B3" s="1480"/>
      <c r="C3" s="1480"/>
      <c r="D3" s="1480"/>
      <c r="E3" s="1480"/>
      <c r="F3" s="1480"/>
      <c r="G3" s="1480"/>
    </row>
    <row r="4" spans="1:7" s="1479" customFormat="1" ht="18" customHeight="1" x14ac:dyDescent="0.2">
      <c r="A4" s="1481" t="s">
        <v>2083</v>
      </c>
      <c r="B4" s="1482"/>
      <c r="C4" s="1482"/>
      <c r="D4" s="1482"/>
      <c r="E4" s="1482"/>
      <c r="F4" s="1482"/>
      <c r="G4" s="1483"/>
    </row>
    <row r="6" spans="1:7" ht="42" customHeight="1" x14ac:dyDescent="0.2">
      <c r="A6" s="1442" t="s">
        <v>533</v>
      </c>
      <c r="B6" s="1443" t="s">
        <v>534</v>
      </c>
      <c r="C6" s="1443" t="s">
        <v>2406</v>
      </c>
      <c r="D6" s="1444" t="s">
        <v>536</v>
      </c>
      <c r="E6" s="1484" t="s">
        <v>2405</v>
      </c>
      <c r="F6" s="1485" t="s">
        <v>2287</v>
      </c>
      <c r="G6" s="1485" t="s">
        <v>2404</v>
      </c>
    </row>
    <row r="7" spans="1:7" s="1489" customFormat="1" ht="12.75" x14ac:dyDescent="0.2">
      <c r="A7" s="1445">
        <v>1</v>
      </c>
      <c r="B7" s="1446" t="s">
        <v>2084</v>
      </c>
      <c r="C7" s="1446"/>
      <c r="D7" s="1446"/>
      <c r="E7" s="1487"/>
      <c r="F7" s="1487"/>
      <c r="G7" s="1488"/>
    </row>
    <row r="8" spans="1:7" s="1489" customFormat="1" ht="12.75" x14ac:dyDescent="0.2">
      <c r="A8" s="1447">
        <v>1.01</v>
      </c>
      <c r="B8" s="1448" t="s">
        <v>558</v>
      </c>
      <c r="C8" s="1448"/>
      <c r="D8" s="1448"/>
      <c r="E8" s="1490"/>
      <c r="F8" s="1491"/>
      <c r="G8" s="1492"/>
    </row>
    <row r="9" spans="1:7" ht="25.5" x14ac:dyDescent="0.2">
      <c r="A9" s="1449" t="s">
        <v>2085</v>
      </c>
      <c r="B9" s="1450" t="s">
        <v>2086</v>
      </c>
      <c r="C9" s="1451" t="s">
        <v>114</v>
      </c>
      <c r="D9" s="1452">
        <v>8982.67</v>
      </c>
      <c r="E9" s="1493"/>
      <c r="F9" s="1493"/>
      <c r="G9" s="1494"/>
    </row>
    <row r="10" spans="1:7" s="1489" customFormat="1" ht="12.75" x14ac:dyDescent="0.2">
      <c r="A10" s="1447">
        <v>1.02</v>
      </c>
      <c r="B10" s="1448" t="s">
        <v>582</v>
      </c>
      <c r="C10" s="1448"/>
      <c r="D10" s="1448"/>
      <c r="E10" s="1490"/>
      <c r="F10" s="1491"/>
      <c r="G10" s="1492"/>
    </row>
    <row r="11" spans="1:7" s="1495" customFormat="1" ht="12.75" x14ac:dyDescent="0.2">
      <c r="A11" s="1449" t="s">
        <v>2087</v>
      </c>
      <c r="B11" s="1450" t="s">
        <v>2088</v>
      </c>
      <c r="C11" s="1453" t="s">
        <v>114</v>
      </c>
      <c r="D11" s="1452">
        <v>370.32</v>
      </c>
      <c r="E11" s="1493"/>
      <c r="F11" s="1493"/>
      <c r="G11" s="1494"/>
    </row>
    <row r="12" spans="1:7" s="1495" customFormat="1" ht="12.75" x14ac:dyDescent="0.2">
      <c r="A12" s="1449" t="s">
        <v>2089</v>
      </c>
      <c r="B12" s="1450" t="s">
        <v>2090</v>
      </c>
      <c r="C12" s="1453" t="s">
        <v>130</v>
      </c>
      <c r="D12" s="1452">
        <v>194.24</v>
      </c>
      <c r="E12" s="1493"/>
      <c r="F12" s="1493"/>
      <c r="G12" s="1494"/>
    </row>
    <row r="13" spans="1:7" s="1497" customFormat="1" ht="25.5" x14ac:dyDescent="0.2">
      <c r="A13" s="1449" t="s">
        <v>2091</v>
      </c>
      <c r="B13" s="1450" t="s">
        <v>2092</v>
      </c>
      <c r="C13" s="1453" t="s">
        <v>130</v>
      </c>
      <c r="D13" s="1452">
        <v>937.87</v>
      </c>
      <c r="E13" s="1493"/>
      <c r="F13" s="1493"/>
      <c r="G13" s="1496"/>
    </row>
    <row r="14" spans="1:7" s="1489" customFormat="1" ht="12.75" x14ac:dyDescent="0.2">
      <c r="A14" s="1447">
        <v>1.03</v>
      </c>
      <c r="B14" s="1448" t="s">
        <v>2093</v>
      </c>
      <c r="C14" s="1448"/>
      <c r="D14" s="1448"/>
      <c r="E14" s="1490"/>
      <c r="F14" s="1491"/>
      <c r="G14" s="1492"/>
    </row>
    <row r="15" spans="1:7" s="1495" customFormat="1" ht="12.75" x14ac:dyDescent="0.2">
      <c r="A15" s="1449" t="s">
        <v>2094</v>
      </c>
      <c r="B15" s="1450" t="s">
        <v>2093</v>
      </c>
      <c r="C15" s="1453" t="s">
        <v>130</v>
      </c>
      <c r="D15" s="1452">
        <v>6134.91</v>
      </c>
      <c r="E15" s="1493"/>
      <c r="F15" s="1493"/>
      <c r="G15" s="1494"/>
    </row>
    <row r="16" spans="1:7" s="1489" customFormat="1" ht="12.75" x14ac:dyDescent="0.2">
      <c r="A16" s="1445">
        <v>2</v>
      </c>
      <c r="B16" s="1446" t="s">
        <v>2095</v>
      </c>
      <c r="C16" s="1446"/>
      <c r="D16" s="1446"/>
      <c r="E16" s="1487"/>
      <c r="F16" s="1487"/>
      <c r="G16" s="1488"/>
    </row>
    <row r="17" spans="1:7" s="1489" customFormat="1" ht="12.75" x14ac:dyDescent="0.2">
      <c r="A17" s="1447">
        <v>2.0099999999999998</v>
      </c>
      <c r="B17" s="1448" t="s">
        <v>617</v>
      </c>
      <c r="C17" s="1448"/>
      <c r="D17" s="1448"/>
      <c r="E17" s="1490"/>
      <c r="F17" s="1491"/>
      <c r="G17" s="1492"/>
    </row>
    <row r="18" spans="1:7" ht="12.75" x14ac:dyDescent="0.2">
      <c r="A18" s="1449" t="s">
        <v>2096</v>
      </c>
      <c r="B18" s="1450" t="s">
        <v>2097</v>
      </c>
      <c r="C18" s="1451" t="s">
        <v>155</v>
      </c>
      <c r="D18" s="1452">
        <v>818.4</v>
      </c>
      <c r="E18" s="1493"/>
      <c r="F18" s="1493"/>
      <c r="G18" s="1494"/>
    </row>
    <row r="19" spans="1:7" s="1498" customFormat="1" ht="12.75" x14ac:dyDescent="0.2">
      <c r="A19" s="1449" t="s">
        <v>2402</v>
      </c>
      <c r="B19" s="1450" t="s">
        <v>2394</v>
      </c>
      <c r="C19" s="1451" t="s">
        <v>155</v>
      </c>
      <c r="D19" s="1452">
        <v>7365.6</v>
      </c>
      <c r="E19" s="1493"/>
      <c r="F19" s="1493"/>
      <c r="G19" s="1494"/>
    </row>
    <row r="20" spans="1:7" s="1498" customFormat="1" ht="25.5" x14ac:dyDescent="0.2">
      <c r="A20" s="1449" t="s">
        <v>2098</v>
      </c>
      <c r="B20" s="1450" t="s">
        <v>2397</v>
      </c>
      <c r="C20" s="1451" t="s">
        <v>155</v>
      </c>
      <c r="D20" s="1452">
        <v>8219.57</v>
      </c>
      <c r="E20" s="1493"/>
      <c r="F20" s="1493"/>
      <c r="G20" s="1494"/>
    </row>
    <row r="21" spans="1:7" s="1498" customFormat="1" ht="12.75" x14ac:dyDescent="0.2">
      <c r="A21" s="1449" t="s">
        <v>2099</v>
      </c>
      <c r="B21" s="1450" t="s">
        <v>2395</v>
      </c>
      <c r="C21" s="1451" t="s">
        <v>155</v>
      </c>
      <c r="D21" s="1452">
        <v>53.96</v>
      </c>
      <c r="E21" s="1493"/>
      <c r="F21" s="1493"/>
      <c r="G21" s="1494"/>
    </row>
    <row r="22" spans="1:7" s="1498" customFormat="1" ht="25.5" x14ac:dyDescent="0.2">
      <c r="A22" s="1449" t="s">
        <v>2403</v>
      </c>
      <c r="B22" s="1450" t="s">
        <v>2396</v>
      </c>
      <c r="C22" s="1451" t="s">
        <v>155</v>
      </c>
      <c r="D22" s="1452">
        <v>485.61</v>
      </c>
      <c r="E22" s="1493"/>
      <c r="F22" s="1493"/>
      <c r="G22" s="1494"/>
    </row>
    <row r="23" spans="1:7" s="1498" customFormat="1" ht="25.5" customHeight="1" x14ac:dyDescent="0.2">
      <c r="A23" s="1449" t="s">
        <v>2100</v>
      </c>
      <c r="B23" s="1450" t="s">
        <v>2101</v>
      </c>
      <c r="C23" s="1451" t="s">
        <v>155</v>
      </c>
      <c r="D23" s="1452">
        <v>20331.759999999998</v>
      </c>
      <c r="E23" s="1493"/>
      <c r="F23" s="1493"/>
      <c r="G23" s="1494"/>
    </row>
    <row r="24" spans="1:7" ht="38.25" customHeight="1" x14ac:dyDescent="0.2">
      <c r="A24" s="1449" t="s">
        <v>2102</v>
      </c>
      <c r="B24" s="1450" t="s">
        <v>2103</v>
      </c>
      <c r="C24" s="1451" t="s">
        <v>155</v>
      </c>
      <c r="D24" s="1452">
        <v>2436.88</v>
      </c>
      <c r="E24" s="1493"/>
      <c r="F24" s="1493"/>
      <c r="G24" s="1494"/>
    </row>
    <row r="25" spans="1:7" ht="25.5" x14ac:dyDescent="0.2">
      <c r="A25" s="1449" t="s">
        <v>2104</v>
      </c>
      <c r="B25" s="1450" t="s">
        <v>2105</v>
      </c>
      <c r="C25" s="1451" t="s">
        <v>155</v>
      </c>
      <c r="D25" s="1452">
        <v>1624.59</v>
      </c>
      <c r="E25" s="1493"/>
      <c r="F25" s="1493"/>
      <c r="G25" s="1494"/>
    </row>
    <row r="26" spans="1:7" ht="25.5" x14ac:dyDescent="0.2">
      <c r="A26" s="1449" t="s">
        <v>2106</v>
      </c>
      <c r="B26" s="1450" t="s">
        <v>2107</v>
      </c>
      <c r="C26" s="1451" t="s">
        <v>155</v>
      </c>
      <c r="D26" s="1452">
        <v>10850.93</v>
      </c>
      <c r="E26" s="1493"/>
      <c r="F26" s="1493"/>
      <c r="G26" s="1494"/>
    </row>
    <row r="27" spans="1:7" ht="25.5" x14ac:dyDescent="0.2">
      <c r="A27" s="1454" t="s">
        <v>2108</v>
      </c>
      <c r="B27" s="1455" t="s">
        <v>2409</v>
      </c>
      <c r="C27" s="1453" t="s">
        <v>155</v>
      </c>
      <c r="D27" s="1452">
        <v>2030.74</v>
      </c>
      <c r="E27" s="1493"/>
      <c r="F27" s="1493"/>
      <c r="G27" s="1494"/>
    </row>
    <row r="28" spans="1:7" ht="32.25" customHeight="1" x14ac:dyDescent="0.2">
      <c r="A28" s="1445">
        <v>4</v>
      </c>
      <c r="B28" s="1456" t="s">
        <v>2140</v>
      </c>
      <c r="C28" s="1457"/>
      <c r="D28" s="1457"/>
      <c r="E28" s="1499"/>
      <c r="F28" s="1500"/>
      <c r="G28" s="1488"/>
    </row>
    <row r="29" spans="1:7" s="1489" customFormat="1" ht="12.75" x14ac:dyDescent="0.2">
      <c r="A29" s="1447">
        <v>4.01</v>
      </c>
      <c r="B29" s="1448" t="s">
        <v>2141</v>
      </c>
      <c r="C29" s="1448"/>
      <c r="D29" s="1448"/>
      <c r="E29" s="1490"/>
      <c r="F29" s="1491"/>
      <c r="G29" s="1492"/>
    </row>
    <row r="30" spans="1:7" ht="12.75" x14ac:dyDescent="0.2">
      <c r="A30" s="1454" t="s">
        <v>2142</v>
      </c>
      <c r="B30" s="1458" t="s">
        <v>2143</v>
      </c>
      <c r="C30" s="1459" t="s">
        <v>114</v>
      </c>
      <c r="D30" s="1452">
        <v>5537.94</v>
      </c>
      <c r="E30" s="1493"/>
      <c r="F30" s="1493"/>
      <c r="G30" s="1501"/>
    </row>
    <row r="31" spans="1:7" ht="12.75" x14ac:dyDescent="0.2">
      <c r="A31" s="1454" t="s">
        <v>2144</v>
      </c>
      <c r="B31" s="1458" t="s">
        <v>2145</v>
      </c>
      <c r="C31" s="1459" t="s">
        <v>114</v>
      </c>
      <c r="D31" s="1452">
        <v>1355.23</v>
      </c>
      <c r="E31" s="1493"/>
      <c r="F31" s="1493"/>
      <c r="G31" s="1501"/>
    </row>
    <row r="32" spans="1:7" ht="12.75" x14ac:dyDescent="0.2">
      <c r="A32" s="1454" t="s">
        <v>2146</v>
      </c>
      <c r="B32" s="1458" t="s">
        <v>2147</v>
      </c>
      <c r="C32" s="1459" t="s">
        <v>114</v>
      </c>
      <c r="D32" s="1452">
        <v>564.16</v>
      </c>
      <c r="E32" s="1493"/>
      <c r="F32" s="1493"/>
      <c r="G32" s="1501"/>
    </row>
    <row r="33" spans="1:7" ht="12.75" x14ac:dyDescent="0.2">
      <c r="A33" s="1454" t="s">
        <v>2148</v>
      </c>
      <c r="B33" s="1458" t="s">
        <v>2149</v>
      </c>
      <c r="C33" s="1459" t="s">
        <v>114</v>
      </c>
      <c r="D33" s="1452">
        <v>504.72</v>
      </c>
      <c r="E33" s="1493"/>
      <c r="F33" s="1493"/>
      <c r="G33" s="1501"/>
    </row>
    <row r="34" spans="1:7" ht="12.75" x14ac:dyDescent="0.2">
      <c r="A34" s="1454" t="s">
        <v>2150</v>
      </c>
      <c r="B34" s="1458" t="s">
        <v>2151</v>
      </c>
      <c r="C34" s="1459" t="s">
        <v>114</v>
      </c>
      <c r="D34" s="1452">
        <v>601.01</v>
      </c>
      <c r="E34" s="1493"/>
      <c r="F34" s="1493"/>
      <c r="G34" s="1501"/>
    </row>
    <row r="35" spans="1:7" ht="12.75" x14ac:dyDescent="0.2">
      <c r="A35" s="1454" t="s">
        <v>2152</v>
      </c>
      <c r="B35" s="1458" t="s">
        <v>2153</v>
      </c>
      <c r="C35" s="1459" t="s">
        <v>114</v>
      </c>
      <c r="D35" s="1452">
        <v>223.18</v>
      </c>
      <c r="E35" s="1493"/>
      <c r="F35" s="1493"/>
      <c r="G35" s="1501"/>
    </row>
    <row r="36" spans="1:7" ht="12.75" x14ac:dyDescent="0.2">
      <c r="A36" s="1454" t="s">
        <v>2154</v>
      </c>
      <c r="B36" s="1458" t="s">
        <v>2155</v>
      </c>
      <c r="C36" s="1459" t="s">
        <v>114</v>
      </c>
      <c r="D36" s="1452">
        <v>196.43</v>
      </c>
      <c r="E36" s="1493"/>
      <c r="F36" s="1493"/>
      <c r="G36" s="1501"/>
    </row>
    <row r="37" spans="1:7" ht="12.75" x14ac:dyDescent="0.2">
      <c r="A37" s="1454" t="s">
        <v>2156</v>
      </c>
      <c r="B37" s="1458" t="s">
        <v>2157</v>
      </c>
      <c r="C37" s="1459" t="s">
        <v>155</v>
      </c>
      <c r="D37" s="1452">
        <v>8</v>
      </c>
      <c r="E37" s="1493"/>
      <c r="F37" s="1493"/>
      <c r="G37" s="1501"/>
    </row>
    <row r="38" spans="1:7" ht="12.75" x14ac:dyDescent="0.2">
      <c r="A38" s="1454" t="s">
        <v>2158</v>
      </c>
      <c r="B38" s="1458" t="s">
        <v>2159</v>
      </c>
      <c r="C38" s="1459" t="s">
        <v>2127</v>
      </c>
      <c r="D38" s="1452">
        <v>15</v>
      </c>
      <c r="E38" s="1493"/>
      <c r="F38" s="1493"/>
      <c r="G38" s="1501"/>
    </row>
    <row r="39" spans="1:7" ht="30.75" customHeight="1" x14ac:dyDescent="0.2">
      <c r="A39" s="1445">
        <v>5</v>
      </c>
      <c r="B39" s="1456" t="s">
        <v>2160</v>
      </c>
      <c r="C39" s="1457"/>
      <c r="D39" s="1457"/>
      <c r="E39" s="1499"/>
      <c r="F39" s="1500"/>
      <c r="G39" s="1488"/>
    </row>
    <row r="40" spans="1:7" s="1489" customFormat="1" ht="12.75" x14ac:dyDescent="0.2">
      <c r="A40" s="1447">
        <v>5.01</v>
      </c>
      <c r="B40" s="1448" t="s">
        <v>2161</v>
      </c>
      <c r="C40" s="1448"/>
      <c r="D40" s="1448"/>
      <c r="E40" s="1490"/>
      <c r="F40" s="1491"/>
      <c r="G40" s="1492"/>
    </row>
    <row r="41" spans="1:7" ht="12.75" x14ac:dyDescent="0.2">
      <c r="A41" s="1454" t="s">
        <v>2162</v>
      </c>
      <c r="B41" s="1458" t="s">
        <v>2163</v>
      </c>
      <c r="C41" s="1459" t="s">
        <v>2127</v>
      </c>
      <c r="D41" s="1452">
        <v>127</v>
      </c>
      <c r="E41" s="1493"/>
      <c r="F41" s="1493"/>
      <c r="G41" s="1501"/>
    </row>
    <row r="42" spans="1:7" ht="12.75" x14ac:dyDescent="0.2">
      <c r="A42" s="1454" t="s">
        <v>2164</v>
      </c>
      <c r="B42" s="1458" t="s">
        <v>2165</v>
      </c>
      <c r="C42" s="1459" t="s">
        <v>2127</v>
      </c>
      <c r="D42" s="1452">
        <v>22</v>
      </c>
      <c r="E42" s="1493"/>
      <c r="F42" s="1493"/>
      <c r="G42" s="1501"/>
    </row>
    <row r="43" spans="1:7" ht="12.75" x14ac:dyDescent="0.2">
      <c r="A43" s="1454" t="s">
        <v>2166</v>
      </c>
      <c r="B43" s="1458" t="s">
        <v>2167</v>
      </c>
      <c r="C43" s="1459" t="s">
        <v>2127</v>
      </c>
      <c r="D43" s="1452">
        <v>11</v>
      </c>
      <c r="E43" s="1493"/>
      <c r="F43" s="1493"/>
      <c r="G43" s="1501"/>
    </row>
    <row r="44" spans="1:7" ht="12.75" x14ac:dyDescent="0.2">
      <c r="A44" s="1454" t="s">
        <v>2166</v>
      </c>
      <c r="B44" s="1458" t="s">
        <v>2410</v>
      </c>
      <c r="C44" s="1459" t="s">
        <v>2127</v>
      </c>
      <c r="D44" s="1452">
        <v>1</v>
      </c>
      <c r="E44" s="1493"/>
      <c r="F44" s="1493"/>
      <c r="G44" s="1501"/>
    </row>
    <row r="45" spans="1:7" ht="12.75" x14ac:dyDescent="0.2">
      <c r="A45" s="1454" t="s">
        <v>2408</v>
      </c>
      <c r="B45" s="1458" t="s">
        <v>2407</v>
      </c>
      <c r="C45" s="1460" t="s">
        <v>2127</v>
      </c>
      <c r="D45" s="1452">
        <v>9</v>
      </c>
      <c r="E45" s="1493"/>
      <c r="F45" s="1493"/>
      <c r="G45" s="1501"/>
    </row>
    <row r="46" spans="1:7" s="1489" customFormat="1" ht="12.75" x14ac:dyDescent="0.2">
      <c r="A46" s="1447">
        <v>5.0199999999999996</v>
      </c>
      <c r="B46" s="1448" t="s">
        <v>2168</v>
      </c>
      <c r="C46" s="1448"/>
      <c r="D46" s="1448"/>
      <c r="E46" s="1490"/>
      <c r="F46" s="1491"/>
      <c r="G46" s="1492"/>
    </row>
    <row r="47" spans="1:7" ht="12.75" x14ac:dyDescent="0.2">
      <c r="A47" s="1454" t="s">
        <v>2169</v>
      </c>
      <c r="B47" s="1455" t="s">
        <v>2170</v>
      </c>
      <c r="C47" s="1451" t="s">
        <v>2127</v>
      </c>
      <c r="D47" s="1452">
        <v>140</v>
      </c>
      <c r="E47" s="1493"/>
      <c r="F47" s="1493"/>
      <c r="G47" s="1496"/>
    </row>
    <row r="48" spans="1:7" s="1489" customFormat="1" ht="12.75" x14ac:dyDescent="0.2">
      <c r="A48" s="1447">
        <v>5.03</v>
      </c>
      <c r="B48" s="1448" t="s">
        <v>2171</v>
      </c>
      <c r="C48" s="1448"/>
      <c r="D48" s="1448"/>
      <c r="E48" s="1490"/>
      <c r="F48" s="1491"/>
      <c r="G48" s="1492"/>
    </row>
    <row r="49" spans="1:7" ht="15" customHeight="1" x14ac:dyDescent="0.2">
      <c r="A49" s="1454" t="s">
        <v>2172</v>
      </c>
      <c r="B49" s="1455" t="s">
        <v>2173</v>
      </c>
      <c r="C49" s="1451" t="s">
        <v>2127</v>
      </c>
      <c r="D49" s="1452">
        <v>3</v>
      </c>
      <c r="E49" s="1493"/>
      <c r="F49" s="1493"/>
      <c r="G49" s="1496"/>
    </row>
    <row r="50" spans="1:7" s="1489" customFormat="1" ht="12.75" x14ac:dyDescent="0.2">
      <c r="A50" s="1447">
        <v>5.04</v>
      </c>
      <c r="B50" s="1448" t="s">
        <v>2174</v>
      </c>
      <c r="C50" s="1448"/>
      <c r="D50" s="1448"/>
      <c r="E50" s="1490"/>
      <c r="F50" s="1491"/>
      <c r="G50" s="1492"/>
    </row>
    <row r="51" spans="1:7" ht="12.75" x14ac:dyDescent="0.2">
      <c r="A51" s="1454" t="s">
        <v>2175</v>
      </c>
      <c r="B51" s="1455" t="s">
        <v>2176</v>
      </c>
      <c r="C51" s="1451" t="s">
        <v>2127</v>
      </c>
      <c r="D51" s="1452">
        <v>1</v>
      </c>
      <c r="E51" s="1493"/>
      <c r="F51" s="1493"/>
      <c r="G51" s="1496"/>
    </row>
    <row r="52" spans="1:7" ht="12.75" x14ac:dyDescent="0.2">
      <c r="A52" s="1454" t="s">
        <v>2177</v>
      </c>
      <c r="B52" s="1455" t="s">
        <v>2392</v>
      </c>
      <c r="C52" s="1451" t="s">
        <v>2127</v>
      </c>
      <c r="D52" s="1452">
        <v>2</v>
      </c>
      <c r="E52" s="1493"/>
      <c r="F52" s="1493"/>
      <c r="G52" s="1496"/>
    </row>
    <row r="53" spans="1:7" ht="12.75" x14ac:dyDescent="0.2">
      <c r="A53" s="1454" t="s">
        <v>2391</v>
      </c>
      <c r="B53" s="1455" t="s">
        <v>2178</v>
      </c>
      <c r="C53" s="1451" t="s">
        <v>2127</v>
      </c>
      <c r="D53" s="1452">
        <v>2</v>
      </c>
      <c r="E53" s="1493"/>
      <c r="F53" s="1493"/>
      <c r="G53" s="1496"/>
    </row>
    <row r="54" spans="1:7" ht="12.75" x14ac:dyDescent="0.2">
      <c r="A54" s="1454" t="s">
        <v>2393</v>
      </c>
      <c r="B54" s="1455" t="s">
        <v>2411</v>
      </c>
      <c r="C54" s="1451" t="s">
        <v>2127</v>
      </c>
      <c r="D54" s="1452">
        <v>1</v>
      </c>
      <c r="E54" s="1493"/>
      <c r="F54" s="1493"/>
      <c r="G54" s="1496"/>
    </row>
    <row r="55" spans="1:7" ht="12.75" x14ac:dyDescent="0.2">
      <c r="A55" s="1445">
        <v>6</v>
      </c>
      <c r="B55" s="1446" t="s">
        <v>2179</v>
      </c>
      <c r="C55" s="1446"/>
      <c r="D55" s="1446"/>
      <c r="E55" s="1487"/>
      <c r="F55" s="1487"/>
      <c r="G55" s="1488"/>
    </row>
    <row r="56" spans="1:7" s="1489" customFormat="1" ht="12.75" x14ac:dyDescent="0.2">
      <c r="A56" s="1447">
        <v>6.01</v>
      </c>
      <c r="B56" s="1448" t="s">
        <v>2180</v>
      </c>
      <c r="C56" s="1448"/>
      <c r="D56" s="1448"/>
      <c r="E56" s="1490"/>
      <c r="F56" s="1491"/>
      <c r="G56" s="1492"/>
    </row>
    <row r="57" spans="1:7" ht="12.75" x14ac:dyDescent="0.2">
      <c r="A57" s="1449" t="s">
        <v>2181</v>
      </c>
      <c r="B57" s="1450" t="s">
        <v>2182</v>
      </c>
      <c r="C57" s="1451" t="s">
        <v>2127</v>
      </c>
      <c r="D57" s="1452">
        <v>789</v>
      </c>
      <c r="E57" s="1493"/>
      <c r="F57" s="1493"/>
      <c r="G57" s="1494"/>
    </row>
    <row r="58" spans="1:7" ht="25.5" x14ac:dyDescent="0.2">
      <c r="A58" s="1449" t="s">
        <v>2183</v>
      </c>
      <c r="B58" s="1455" t="s">
        <v>2184</v>
      </c>
      <c r="C58" s="1451" t="s">
        <v>2127</v>
      </c>
      <c r="D58" s="1452">
        <v>447</v>
      </c>
      <c r="E58" s="1493"/>
      <c r="F58" s="1493"/>
      <c r="G58" s="1494"/>
    </row>
    <row r="59" spans="1:7" ht="25.5" x14ac:dyDescent="0.2">
      <c r="A59" s="1449" t="s">
        <v>2185</v>
      </c>
      <c r="B59" s="1455" t="s">
        <v>2186</v>
      </c>
      <c r="C59" s="1451" t="s">
        <v>2127</v>
      </c>
      <c r="D59" s="1452">
        <v>160</v>
      </c>
      <c r="E59" s="1493"/>
      <c r="F59" s="1493"/>
      <c r="G59" s="1494"/>
    </row>
    <row r="60" spans="1:7" ht="25.5" x14ac:dyDescent="0.2">
      <c r="A60" s="1449" t="s">
        <v>2187</v>
      </c>
      <c r="B60" s="1455" t="s">
        <v>2188</v>
      </c>
      <c r="C60" s="1451" t="s">
        <v>2127</v>
      </c>
      <c r="D60" s="1452">
        <v>38</v>
      </c>
      <c r="E60" s="1493"/>
      <c r="F60" s="1493"/>
      <c r="G60" s="1494"/>
    </row>
    <row r="61" spans="1:7" ht="25.5" x14ac:dyDescent="0.2">
      <c r="A61" s="1449" t="s">
        <v>2189</v>
      </c>
      <c r="B61" s="1455" t="s">
        <v>2190</v>
      </c>
      <c r="C61" s="1451" t="s">
        <v>2127</v>
      </c>
      <c r="D61" s="1452">
        <v>57</v>
      </c>
      <c r="E61" s="1493"/>
      <c r="F61" s="1493"/>
      <c r="G61" s="1494"/>
    </row>
    <row r="62" spans="1:7" ht="25.5" x14ac:dyDescent="0.2">
      <c r="A62" s="1449" t="s">
        <v>2191</v>
      </c>
      <c r="B62" s="1455" t="s">
        <v>2192</v>
      </c>
      <c r="C62" s="1451" t="s">
        <v>2127</v>
      </c>
      <c r="D62" s="1452">
        <v>33</v>
      </c>
      <c r="E62" s="1493"/>
      <c r="F62" s="1493"/>
      <c r="G62" s="1494"/>
    </row>
    <row r="63" spans="1:7" ht="25.5" x14ac:dyDescent="0.2">
      <c r="A63" s="1449" t="s">
        <v>2193</v>
      </c>
      <c r="B63" s="1455" t="s">
        <v>2194</v>
      </c>
      <c r="C63" s="1451" t="s">
        <v>2127</v>
      </c>
      <c r="D63" s="1452">
        <v>25</v>
      </c>
      <c r="E63" s="1493"/>
      <c r="F63" s="1493"/>
      <c r="G63" s="1496"/>
    </row>
    <row r="64" spans="1:7" ht="25.5" x14ac:dyDescent="0.2">
      <c r="A64" s="1449" t="s">
        <v>2195</v>
      </c>
      <c r="B64" s="1455" t="s">
        <v>2196</v>
      </c>
      <c r="C64" s="1451" t="s">
        <v>2127</v>
      </c>
      <c r="D64" s="1452">
        <v>29</v>
      </c>
      <c r="E64" s="1493"/>
      <c r="F64" s="1493"/>
      <c r="G64" s="1496"/>
    </row>
    <row r="65" spans="1:7" ht="29.25" customHeight="1" x14ac:dyDescent="0.2">
      <c r="A65" s="1445">
        <v>7</v>
      </c>
      <c r="B65" s="1456" t="s">
        <v>2197</v>
      </c>
      <c r="C65" s="1457"/>
      <c r="D65" s="1457"/>
      <c r="E65" s="1499"/>
      <c r="F65" s="1500"/>
      <c r="G65" s="1488"/>
    </row>
    <row r="66" spans="1:7" s="1489" customFormat="1" ht="12.75" x14ac:dyDescent="0.2">
      <c r="A66" s="1447" t="s">
        <v>2198</v>
      </c>
      <c r="B66" s="1448" t="s">
        <v>2199</v>
      </c>
      <c r="C66" s="1448"/>
      <c r="D66" s="1448"/>
      <c r="E66" s="1490"/>
      <c r="F66" s="1491"/>
      <c r="G66" s="1492"/>
    </row>
    <row r="67" spans="1:7" s="1497" customFormat="1" ht="25.5" x14ac:dyDescent="0.2">
      <c r="A67" s="1454" t="s">
        <v>2200</v>
      </c>
      <c r="B67" s="1455" t="s">
        <v>2398</v>
      </c>
      <c r="C67" s="1451" t="s">
        <v>130</v>
      </c>
      <c r="D67" s="1452">
        <v>937.87</v>
      </c>
      <c r="E67" s="1493"/>
      <c r="F67" s="1493"/>
      <c r="G67" s="1496"/>
    </row>
    <row r="68" spans="1:7" s="1489" customFormat="1" ht="12.75" x14ac:dyDescent="0.2">
      <c r="A68" s="1447">
        <v>7.02</v>
      </c>
      <c r="B68" s="1448" t="s">
        <v>2201</v>
      </c>
      <c r="C68" s="1448"/>
      <c r="D68" s="1448"/>
      <c r="E68" s="1490"/>
      <c r="F68" s="1491"/>
      <c r="G68" s="1492"/>
    </row>
    <row r="69" spans="1:7" ht="12.75" x14ac:dyDescent="0.2">
      <c r="A69" s="1454" t="s">
        <v>2202</v>
      </c>
      <c r="B69" s="1455" t="s">
        <v>2400</v>
      </c>
      <c r="C69" s="1451" t="s">
        <v>114</v>
      </c>
      <c r="D69" s="1452">
        <v>370.32</v>
      </c>
      <c r="E69" s="1493"/>
      <c r="F69" s="1493"/>
      <c r="G69" s="1496"/>
    </row>
    <row r="70" spans="1:7" s="1489" customFormat="1" ht="12.75" x14ac:dyDescent="0.2">
      <c r="A70" s="1447">
        <v>7.03</v>
      </c>
      <c r="B70" s="1448" t="s">
        <v>2203</v>
      </c>
      <c r="C70" s="1448"/>
      <c r="D70" s="1448"/>
      <c r="E70" s="1490"/>
      <c r="F70" s="1491"/>
      <c r="G70" s="1492"/>
    </row>
    <row r="71" spans="1:7" ht="25.5" x14ac:dyDescent="0.2">
      <c r="A71" s="1454" t="s">
        <v>2204</v>
      </c>
      <c r="B71" s="1455" t="s">
        <v>2401</v>
      </c>
      <c r="C71" s="1451" t="s">
        <v>130</v>
      </c>
      <c r="D71" s="1452">
        <v>194.24</v>
      </c>
      <c r="E71" s="1493"/>
      <c r="F71" s="1493"/>
      <c r="G71" s="1496"/>
    </row>
    <row r="72" spans="1:7" s="1489" customFormat="1" ht="12.75" x14ac:dyDescent="0.2">
      <c r="A72" s="1447">
        <v>7.04</v>
      </c>
      <c r="B72" s="1448" t="s">
        <v>2205</v>
      </c>
      <c r="C72" s="1448"/>
      <c r="D72" s="1448"/>
      <c r="E72" s="1490"/>
      <c r="F72" s="1491"/>
      <c r="G72" s="1492"/>
    </row>
    <row r="73" spans="1:7" ht="12.75" x14ac:dyDescent="0.2">
      <c r="A73" s="1454" t="s">
        <v>2206</v>
      </c>
      <c r="B73" s="1455" t="s">
        <v>2399</v>
      </c>
      <c r="C73" s="1451" t="s">
        <v>130</v>
      </c>
      <c r="D73" s="1452">
        <v>6134.91</v>
      </c>
      <c r="E73" s="1493"/>
      <c r="F73" s="1493"/>
      <c r="G73" s="1496"/>
    </row>
    <row r="74" spans="1:7" x14ac:dyDescent="0.2">
      <c r="A74" s="929"/>
      <c r="B74" s="930"/>
      <c r="C74" s="931"/>
      <c r="D74" s="802"/>
      <c r="E74" s="1506"/>
      <c r="F74" s="1506"/>
      <c r="G74" s="1507"/>
    </row>
    <row r="75" spans="1:7" s="1508" customFormat="1" x14ac:dyDescent="0.2">
      <c r="A75" s="929"/>
      <c r="B75" s="930"/>
      <c r="C75" s="931"/>
      <c r="D75" s="802"/>
      <c r="E75" s="1506"/>
      <c r="F75" s="1506"/>
      <c r="G75" s="1507"/>
    </row>
    <row r="76" spans="1:7" ht="18" customHeight="1" x14ac:dyDescent="0.2">
      <c r="A76" s="1474" t="s">
        <v>2207</v>
      </c>
      <c r="B76" s="1475"/>
      <c r="C76" s="1475"/>
      <c r="D76" s="1475"/>
      <c r="E76" s="1509"/>
      <c r="F76" s="1510"/>
      <c r="G76" s="1511"/>
    </row>
    <row r="77" spans="1:7" ht="15.75" customHeight="1" x14ac:dyDescent="0.2">
      <c r="A77" s="1474" t="s">
        <v>2414</v>
      </c>
      <c r="B77" s="1475"/>
      <c r="C77" s="1475"/>
      <c r="D77" s="1475"/>
      <c r="E77" s="1509"/>
      <c r="F77" s="1512"/>
      <c r="G77" s="1511"/>
    </row>
    <row r="78" spans="1:7" ht="15.75" customHeight="1" x14ac:dyDescent="0.2">
      <c r="A78" s="1474" t="s">
        <v>2415</v>
      </c>
      <c r="B78" s="1475"/>
      <c r="C78" s="1475"/>
      <c r="D78" s="1475"/>
      <c r="E78" s="1509"/>
      <c r="F78" s="1512"/>
      <c r="G78" s="1511"/>
    </row>
    <row r="79" spans="1:7" ht="15.75" customHeight="1" x14ac:dyDescent="0.2">
      <c r="A79" s="1474" t="s">
        <v>2416</v>
      </c>
      <c r="B79" s="1475"/>
      <c r="C79" s="1475"/>
      <c r="D79" s="1475"/>
      <c r="E79" s="1509"/>
      <c r="F79" s="1512"/>
      <c r="G79" s="1511"/>
    </row>
    <row r="80" spans="1:7" ht="15.75" customHeight="1" x14ac:dyDescent="0.2">
      <c r="A80" s="1474" t="s">
        <v>2417</v>
      </c>
      <c r="B80" s="1475"/>
      <c r="C80" s="1475"/>
      <c r="D80" s="1475"/>
      <c r="E80" s="1509"/>
      <c r="F80" s="1512">
        <v>0.19</v>
      </c>
      <c r="G80" s="1511"/>
    </row>
    <row r="81" spans="1:7" ht="18" customHeight="1" x14ac:dyDescent="0.2">
      <c r="A81" s="1474" t="s">
        <v>2209</v>
      </c>
      <c r="B81" s="1475"/>
      <c r="C81" s="1475"/>
      <c r="D81" s="1476"/>
      <c r="E81" s="1509"/>
      <c r="F81" s="1510"/>
      <c r="G81" s="1511"/>
    </row>
    <row r="82" spans="1:7" ht="18" customHeight="1" x14ac:dyDescent="0.2">
      <c r="A82" s="1474" t="s">
        <v>2210</v>
      </c>
      <c r="B82" s="1475"/>
      <c r="C82" s="1475"/>
      <c r="D82" s="1476"/>
      <c r="E82" s="1509"/>
      <c r="F82" s="1510"/>
      <c r="G82" s="1511"/>
    </row>
    <row r="83" spans="1:7" ht="12.75" x14ac:dyDescent="0.2">
      <c r="A83" s="1513"/>
      <c r="B83" s="1513"/>
      <c r="C83" s="1513"/>
      <c r="D83" s="1513"/>
      <c r="E83" s="1513"/>
      <c r="F83" s="1513"/>
      <c r="G83" s="1513"/>
    </row>
    <row r="84" spans="1:7" ht="12.75" x14ac:dyDescent="0.2">
      <c r="A84" s="1513"/>
      <c r="B84" s="1513"/>
      <c r="C84" s="1513"/>
      <c r="D84" s="1513"/>
      <c r="E84" s="1513"/>
      <c r="F84" s="1513"/>
      <c r="G84" s="1513"/>
    </row>
    <row r="85" spans="1:7" ht="12.75" x14ac:dyDescent="0.2">
      <c r="A85" s="1513"/>
      <c r="B85" s="1513"/>
      <c r="C85" s="1513"/>
      <c r="D85" s="1513"/>
      <c r="E85" s="1513"/>
      <c r="F85" s="1513"/>
      <c r="G85" s="1513"/>
    </row>
    <row r="86" spans="1:7" ht="12.75" x14ac:dyDescent="0.2">
      <c r="A86" s="1513"/>
      <c r="B86" s="1513"/>
      <c r="C86" s="1513"/>
      <c r="D86" s="1513"/>
      <c r="E86" s="1513"/>
      <c r="F86" s="1513"/>
      <c r="G86" s="1513"/>
    </row>
    <row r="87" spans="1:7" ht="12.75" x14ac:dyDescent="0.2">
      <c r="A87" s="1513"/>
      <c r="B87" s="1513"/>
      <c r="C87" s="1513"/>
      <c r="D87" s="1513"/>
      <c r="E87" s="1513"/>
      <c r="F87" s="1513"/>
      <c r="G87" s="1513"/>
    </row>
    <row r="88" spans="1:7" ht="12.75" x14ac:dyDescent="0.2">
      <c r="A88" s="1513"/>
      <c r="B88" s="1513"/>
      <c r="C88" s="1513"/>
      <c r="D88" s="1513"/>
      <c r="E88" s="1513"/>
      <c r="F88" s="1513"/>
      <c r="G88" s="1513"/>
    </row>
    <row r="91" spans="1:7" ht="15.75" x14ac:dyDescent="0.25">
      <c r="A91" s="1514"/>
      <c r="B91" s="1515"/>
      <c r="C91" s="1516"/>
      <c r="E91" s="1518"/>
      <c r="G91" s="1520"/>
    </row>
    <row r="93" spans="1:7" ht="15.75" x14ac:dyDescent="0.25">
      <c r="A93" s="1514"/>
      <c r="B93" s="1515"/>
      <c r="C93" s="1516"/>
      <c r="E93" s="1521"/>
      <c r="G93" s="1520"/>
    </row>
  </sheetData>
  <sheetProtection algorithmName="SHA-512" hashValue="/H+vKXrisk6rS1tBeFA7HeZr2SEjB0Fbow+OIvXej9Aqrgk4cBbr/9L94IJA2nyIZU9pZ++qoVNGnAqA6/9U0A==" saltValue="+1/6/oF70qO1XDqJ3c96sw==" spinCount="100000" sheet="1" formatCells="0" formatColumns="0" formatRows="0" insertColumns="0" insertRows="0" insertHyperlinks="0" deleteColumns="0" deleteRows="0" sort="0" autoFilter="0" pivotTables="0"/>
  <autoFilter ref="A6:G82"/>
  <customSheetViews>
    <customSheetView guid="{93F324B6-F965-4669-93FF-DBB148734A46}" showPageBreaks="1" printArea="1" hiddenRows="1" hiddenColumns="1" view="pageBreakPreview">
      <selection activeCell="G10" sqref="G10"/>
      <rowBreaks count="1" manualBreakCount="1">
        <brk id="95" max="6" man="1"/>
      </rowBreaks>
      <pageMargins left="0" right="0" top="0" bottom="0" header="0" footer="0"/>
      <printOptions horizontalCentered="1"/>
      <pageSetup scale="41" fitToHeight="10" orientation="portrait" errors="blank" r:id="rId1"/>
      <headerFooter alignWithMargins="0"/>
    </customSheetView>
  </customSheetViews>
  <mergeCells count="10">
    <mergeCell ref="A3:G3"/>
    <mergeCell ref="A77:D77"/>
    <mergeCell ref="A78:D78"/>
    <mergeCell ref="A79:D79"/>
    <mergeCell ref="A76:D76"/>
    <mergeCell ref="A80:D80"/>
    <mergeCell ref="A81:D81"/>
    <mergeCell ref="A82:D82"/>
    <mergeCell ref="A1:G1"/>
    <mergeCell ref="A2:G2"/>
  </mergeCells>
  <conditionalFormatting sqref="D9 D11:D13 D18:D19 D47 D27 D49 D21:D25 D30:D31 D57:D64 D51:D52 D54">
    <cfRule type="cellIs" dxfId="8" priority="188" operator="equal">
      <formula>0</formula>
    </cfRule>
  </conditionalFormatting>
  <conditionalFormatting sqref="D32:D38">
    <cfRule type="cellIs" dxfId="7" priority="114" operator="equal">
      <formula>0</formula>
    </cfRule>
  </conditionalFormatting>
  <conditionalFormatting sqref="D53">
    <cfRule type="cellIs" dxfId="6" priority="99" operator="equal">
      <formula>0</formula>
    </cfRule>
  </conditionalFormatting>
  <conditionalFormatting sqref="D67 D69 D71 D73">
    <cfRule type="cellIs" dxfId="5" priority="90" operator="equal">
      <formula>0</formula>
    </cfRule>
  </conditionalFormatting>
  <conditionalFormatting sqref="D15">
    <cfRule type="cellIs" dxfId="4" priority="63" operator="equal">
      <formula>0</formula>
    </cfRule>
  </conditionalFormatting>
  <conditionalFormatting sqref="D26">
    <cfRule type="cellIs" dxfId="3" priority="57" operator="equal">
      <formula>0</formula>
    </cfRule>
  </conditionalFormatting>
  <conditionalFormatting sqref="D20">
    <cfRule type="cellIs" dxfId="2" priority="60" operator="equal">
      <formula>0</formula>
    </cfRule>
  </conditionalFormatting>
  <conditionalFormatting sqref="D41:D43 D45">
    <cfRule type="cellIs" dxfId="1" priority="16" operator="equal">
      <formula>0</formula>
    </cfRule>
  </conditionalFormatting>
  <conditionalFormatting sqref="D44">
    <cfRule type="cellIs" dxfId="0" priority="2" operator="equal">
      <formula>0</formula>
    </cfRule>
  </conditionalFormatting>
  <printOptions horizontalCentered="1"/>
  <pageMargins left="0.39370078740157483" right="0.19685039370078741" top="0.59055118110236227" bottom="0.39370078740157483" header="0" footer="0"/>
  <pageSetup scale="60" fitToHeight="10" orientation="landscape" errors="blank" r:id="rId2"/>
  <headerFooter alignWithMargins="0"/>
  <rowBreaks count="1" manualBreakCount="1">
    <brk id="38" max="16383" man="1"/>
  </rowBreaks>
  <legacy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C00000"/>
    <pageSetUpPr fitToPage="1"/>
  </sheetPr>
  <dimension ref="A1:M57"/>
  <sheetViews>
    <sheetView workbookViewId="0">
      <selection sqref="A1:T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1" width="9.140625" style="1"/>
    <col min="12" max="12" width="15" style="1" bestFit="1" customWidth="1"/>
    <col min="13" max="13" width="16.5703125" style="1" customWidth="1"/>
    <col min="14" max="16384" width="9.140625" style="1"/>
  </cols>
  <sheetData>
    <row r="1" spans="1:10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4" t="str">
        <f>'Datos entrada'!B4</f>
        <v>OPTIMIZACIÓN Y AMPLIACIÓN DE LA RED ALCANTARILLADO DEL CORREGIMIENTO DE LAS MESAS, MUNICIPIO DE EL TABLON DE GOMEZ – DEPARTAMENTO DE NARIÑO.</v>
      </c>
      <c r="B4" s="725"/>
      <c r="C4" s="725"/>
      <c r="D4" s="725"/>
      <c r="E4" s="725"/>
      <c r="F4" s="86" t="str">
        <f>'Datos entrada'!B6</f>
        <v>Presupuesto de Obra</v>
      </c>
      <c r="G4" s="86"/>
      <c r="H4" s="86"/>
      <c r="I4" s="87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268</v>
      </c>
      <c r="B8" s="1216"/>
      <c r="C8" s="1217"/>
      <c r="D8" s="851" t="e">
        <f t="shared" ref="D8:D18" si="0">IF(A8&lt;&gt;0,VLOOKUP(A8,Materiales,2,FALSE),$J$1)</f>
        <v>#REF!</v>
      </c>
      <c r="E8" s="12">
        <v>112</v>
      </c>
      <c r="F8" s="21" t="e">
        <f t="shared" ref="F8:F15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118</v>
      </c>
      <c r="B9" s="1216"/>
      <c r="C9" s="1217"/>
      <c r="D9" s="851" t="e">
        <f t="shared" si="0"/>
        <v>#REF!</v>
      </c>
      <c r="E9" s="13">
        <v>3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145</v>
      </c>
      <c r="B10" s="1216"/>
      <c r="C10" s="1217"/>
      <c r="D10" s="851" t="e">
        <f t="shared" si="0"/>
        <v>#REF!</v>
      </c>
      <c r="E10" s="13">
        <v>0.06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229</v>
      </c>
      <c r="B11" s="1216"/>
      <c r="C11" s="1217"/>
      <c r="D11" s="851" t="e">
        <f t="shared" si="0"/>
        <v>#REF!</v>
      </c>
      <c r="E11" s="12">
        <v>0.25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292</v>
      </c>
      <c r="B12" s="1216"/>
      <c r="C12" s="1217"/>
      <c r="D12" s="851" t="e">
        <f t="shared" si="0"/>
        <v>#REF!</v>
      </c>
      <c r="E12" s="12">
        <v>7.0000000000000007E-2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148</v>
      </c>
      <c r="B13" s="1216"/>
      <c r="C13" s="1217"/>
      <c r="D13" s="851" t="e">
        <f t="shared" si="0"/>
        <v>#REF!</v>
      </c>
      <c r="E13" s="12">
        <v>2.4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1215" t="s">
        <v>2320</v>
      </c>
      <c r="B14" s="1216"/>
      <c r="C14" s="1217"/>
      <c r="D14" s="851" t="e">
        <f t="shared" si="0"/>
        <v>#REF!</v>
      </c>
      <c r="E14" s="12">
        <v>0.04</v>
      </c>
      <c r="F14" s="21" t="e">
        <f t="shared" si="1"/>
        <v>#REF!</v>
      </c>
      <c r="G14" s="22"/>
      <c r="H14" s="8" t="e">
        <f t="shared" si="2"/>
        <v>#REF!</v>
      </c>
      <c r="I14" s="69"/>
    </row>
    <row r="15" spans="1:10" x14ac:dyDescent="0.2">
      <c r="A15" s="1215"/>
      <c r="B15" s="1216"/>
      <c r="C15" s="1217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13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13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13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13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13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13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25" t="s">
        <v>2219</v>
      </c>
      <c r="G22" s="881" t="s">
        <v>2220</v>
      </c>
      <c r="H22" s="257" t="s">
        <v>2216</v>
      </c>
      <c r="I22" s="72"/>
    </row>
    <row r="23" spans="1:13" x14ac:dyDescent="0.2">
      <c r="A23" s="1215" t="s">
        <v>477</v>
      </c>
      <c r="B23" s="1216"/>
      <c r="C23" s="1217"/>
      <c r="D23" s="26">
        <v>3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1236.67</v>
      </c>
      <c r="I23" s="69"/>
      <c r="L23" s="455"/>
      <c r="M23" s="455"/>
    </row>
    <row r="24" spans="1:13" x14ac:dyDescent="0.2">
      <c r="A24" s="1215"/>
      <c r="B24" s="1216"/>
      <c r="C24" s="1217"/>
      <c r="D24" s="26"/>
      <c r="E24" s="28"/>
      <c r="F24" s="12" t="str">
        <f t="shared" si="3"/>
        <v>-</v>
      </c>
      <c r="G24" s="14"/>
      <c r="H24" s="8" t="str">
        <f t="shared" si="4"/>
        <v>-</v>
      </c>
      <c r="I24" s="69"/>
      <c r="L24" s="455"/>
      <c r="M24" s="455"/>
    </row>
    <row r="25" spans="1:13" x14ac:dyDescent="0.2">
      <c r="A25" s="1215"/>
      <c r="B25" s="1216"/>
      <c r="C25" s="1217"/>
      <c r="D25" s="26"/>
      <c r="E25" s="28"/>
      <c r="F25" s="12" t="str">
        <f t="shared" si="3"/>
        <v>-</v>
      </c>
      <c r="G25" s="14"/>
      <c r="H25" s="8" t="str">
        <f t="shared" si="4"/>
        <v>-</v>
      </c>
      <c r="I25" s="69"/>
      <c r="L25" s="455"/>
      <c r="M25" s="455"/>
    </row>
    <row r="26" spans="1:13" x14ac:dyDescent="0.2">
      <c r="A26" s="871"/>
      <c r="B26" s="872"/>
      <c r="C26" s="873"/>
      <c r="D26" s="26"/>
      <c r="E26" s="28"/>
      <c r="F26" s="12" t="str">
        <f t="shared" si="3"/>
        <v>-</v>
      </c>
      <c r="G26" s="14"/>
      <c r="H26" s="8" t="str">
        <f t="shared" si="4"/>
        <v>-</v>
      </c>
      <c r="I26" s="69"/>
      <c r="L26" s="455"/>
      <c r="M26" s="455"/>
    </row>
    <row r="27" spans="1:13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  <c r="L27" s="455"/>
    </row>
    <row r="28" spans="1:13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  <c r="L28" s="455"/>
    </row>
    <row r="29" spans="1:13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  <c r="L29" s="455"/>
    </row>
    <row r="30" spans="1:13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1236.67</v>
      </c>
      <c r="L30" s="455"/>
    </row>
    <row r="31" spans="1:13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13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0"/>
      <c r="B35" s="1211"/>
      <c r="C35" s="1212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0"/>
      <c r="B36" s="1211"/>
      <c r="C36" s="1212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0"/>
      <c r="B37" s="1211"/>
      <c r="C37" s="1212"/>
      <c r="D37" s="46" t="str">
        <f>IF(A26&lt;&gt;0,VLOOKUP(A37,Transporte,8,FALSE),$J$1)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0"/>
      <c r="B39" s="1211"/>
      <c r="C39" s="1212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0"/>
      <c r="B40" s="1211"/>
      <c r="C40" s="1212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346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347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48</v>
      </c>
      <c r="B45" s="1216"/>
      <c r="C45" s="1217"/>
      <c r="D45" s="1225">
        <f>IF(A45&lt;&gt;0,VLOOKUP(A45,Cuadrillas,7,FALSE),$J$1)</f>
        <v>329249.03000000003</v>
      </c>
      <c r="E45" s="1226"/>
      <c r="F45" s="1221">
        <v>5</v>
      </c>
      <c r="G45" s="1222"/>
      <c r="H45" s="8">
        <f>IF(A45&lt;&gt;0,ROUND(D45/F45,2),$J$1)</f>
        <v>65849.81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65849.81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65849.81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T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2">
    <mergeCell ref="A41:H41"/>
    <mergeCell ref="A8:C8"/>
    <mergeCell ref="A40:C40"/>
    <mergeCell ref="A1:C1"/>
    <mergeCell ref="B34:C34"/>
    <mergeCell ref="B38:C38"/>
    <mergeCell ref="D45:E45"/>
    <mergeCell ref="A42:I42"/>
    <mergeCell ref="A23:C23"/>
    <mergeCell ref="A9:C9"/>
    <mergeCell ref="A10:C10"/>
    <mergeCell ref="A24:C24"/>
    <mergeCell ref="A25:C25"/>
    <mergeCell ref="A11:C11"/>
    <mergeCell ref="A12:C12"/>
    <mergeCell ref="A13:C13"/>
    <mergeCell ref="A14:C14"/>
    <mergeCell ref="A15:C15"/>
    <mergeCell ref="A35:C35"/>
    <mergeCell ref="A36:C36"/>
    <mergeCell ref="A37:C37"/>
    <mergeCell ref="A39:C39"/>
    <mergeCell ref="A56:G56"/>
    <mergeCell ref="H56:I56"/>
    <mergeCell ref="F47:G47"/>
    <mergeCell ref="A49:C49"/>
    <mergeCell ref="A52:H52"/>
    <mergeCell ref="A51:I51"/>
    <mergeCell ref="A50:H50"/>
    <mergeCell ref="A54:G54"/>
    <mergeCell ref="F49:G49"/>
    <mergeCell ref="A55:C55"/>
    <mergeCell ref="D55:E55"/>
    <mergeCell ref="F55:I55"/>
    <mergeCell ref="A53:H53"/>
    <mergeCell ref="D49:E49"/>
    <mergeCell ref="A44:C44"/>
    <mergeCell ref="D46:E46"/>
    <mergeCell ref="H1:I1"/>
    <mergeCell ref="A48:C48"/>
    <mergeCell ref="F48:G48"/>
    <mergeCell ref="A43:I43"/>
    <mergeCell ref="F46:G46"/>
    <mergeCell ref="D47:E47"/>
    <mergeCell ref="D48:E48"/>
    <mergeCell ref="A47:C47"/>
    <mergeCell ref="F45:G45"/>
    <mergeCell ref="F44:G44"/>
    <mergeCell ref="A46:C46"/>
    <mergeCell ref="A45:C45"/>
    <mergeCell ref="C5:I5"/>
    <mergeCell ref="D44:E44"/>
  </mergeCells>
  <phoneticPr fontId="0" type="noConversion"/>
  <dataValidations count="5">
    <dataValidation type="list" allowBlank="1" showInputMessage="1" showErrorMessage="1" sqref="A9:A18 B16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6:C29 A23:A29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7">
    <tabColor indexed="35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480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1.05</v>
      </c>
      <c r="F8" s="21" t="e">
        <f t="shared" ref="F8:F13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145</v>
      </c>
      <c r="B9" s="1216"/>
      <c r="C9" s="1217"/>
      <c r="D9" s="851" t="e">
        <f t="shared" si="0"/>
        <v>#REF!</v>
      </c>
      <c r="E9" s="12">
        <v>3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446</v>
      </c>
      <c r="B10" s="1216"/>
      <c r="C10" s="1217"/>
      <c r="D10" s="851" t="e">
        <f t="shared" si="0"/>
        <v>#REF!</v>
      </c>
      <c r="E10" s="12">
        <v>4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330</v>
      </c>
      <c r="B11" s="1216"/>
      <c r="C11" s="1217"/>
      <c r="D11" s="851" t="e">
        <f t="shared" si="0"/>
        <v>#REF!</v>
      </c>
      <c r="E11" s="12">
        <v>3.63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242</v>
      </c>
      <c r="B12" s="1216"/>
      <c r="C12" s="1217"/>
      <c r="D12" s="851" t="e">
        <f t="shared" si="0"/>
        <v>#REF!</v>
      </c>
      <c r="E12" s="12">
        <f>1/(0.4*0.3*1)</f>
        <v>8.3333333333333339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118</v>
      </c>
      <c r="B13" s="1216"/>
      <c r="C13" s="1217"/>
      <c r="D13" s="851" t="e">
        <f t="shared" si="0"/>
        <v>#REF!</v>
      </c>
      <c r="E13" s="12">
        <v>2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2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2342</v>
      </c>
      <c r="E22" s="254"/>
      <c r="F22" s="235" t="s">
        <v>2219</v>
      </c>
      <c r="G22" s="881" t="s">
        <v>2220</v>
      </c>
      <c r="H22" s="257" t="s">
        <v>2343</v>
      </c>
      <c r="I22" s="72"/>
    </row>
    <row r="23" spans="1:9" x14ac:dyDescent="0.2">
      <c r="A23" s="871" t="s">
        <v>477</v>
      </c>
      <c r="B23" s="872"/>
      <c r="C23" s="873"/>
      <c r="D23" s="26">
        <v>1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3710</v>
      </c>
      <c r="I23" s="69"/>
    </row>
    <row r="24" spans="1:9" x14ac:dyDescent="0.2">
      <c r="A24" s="1215" t="s">
        <v>497</v>
      </c>
      <c r="B24" s="1216"/>
      <c r="C24" s="1217"/>
      <c r="D24" s="26">
        <v>0.25</v>
      </c>
      <c r="E24" s="28"/>
      <c r="F24" s="12">
        <f>IF(A24&lt;&gt;0,VLOOKUP(A24,Equipos,6,FALSE),$J$1)</f>
        <v>42400</v>
      </c>
      <c r="G24" s="14">
        <v>7.0000000000000007E-2</v>
      </c>
      <c r="H24" s="8">
        <f t="shared" si="4"/>
        <v>11872</v>
      </c>
      <c r="I24" s="69"/>
    </row>
    <row r="25" spans="1:9" x14ac:dyDescent="0.2">
      <c r="A25" s="1215" t="s">
        <v>482</v>
      </c>
      <c r="B25" s="1216"/>
      <c r="C25" s="1217"/>
      <c r="D25" s="26">
        <v>0.75</v>
      </c>
      <c r="E25" s="28"/>
      <c r="F25" s="12">
        <f>IF(A25&lt;&gt;0,VLOOKUP(A25,Equipos,6,FALSE),$J$1)</f>
        <v>1590</v>
      </c>
      <c r="G25" s="14">
        <v>1</v>
      </c>
      <c r="H25" s="8">
        <f t="shared" si="4"/>
        <v>2120</v>
      </c>
      <c r="I25" s="69"/>
    </row>
    <row r="26" spans="1:9" x14ac:dyDescent="0.2">
      <c r="A26" s="1215" t="s">
        <v>484</v>
      </c>
      <c r="B26" s="1216"/>
      <c r="C26" s="1217"/>
      <c r="D26" s="26">
        <v>1</v>
      </c>
      <c r="E26" s="28"/>
      <c r="F26" s="12">
        <f>IF(A26&lt;&gt;0,VLOOKUP(A26,Equipos,6,FALSE),$J$1)</f>
        <v>1812.6</v>
      </c>
      <c r="G26" s="14">
        <v>4</v>
      </c>
      <c r="H26" s="8">
        <f t="shared" si="4"/>
        <v>7250.4</v>
      </c>
      <c r="I26" s="69"/>
    </row>
    <row r="27" spans="1:9" x14ac:dyDescent="0.2">
      <c r="A27" s="1215" t="s">
        <v>473</v>
      </c>
      <c r="B27" s="1216"/>
      <c r="C27" s="1217"/>
      <c r="D27" s="26">
        <v>1</v>
      </c>
      <c r="E27" s="28"/>
      <c r="F27" s="12">
        <f t="shared" si="3"/>
        <v>2438</v>
      </c>
      <c r="G27" s="14">
        <v>2</v>
      </c>
      <c r="H27" s="8">
        <f t="shared" si="4"/>
        <v>4876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29828.400000000001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1.67</v>
      </c>
      <c r="G45" s="1222"/>
      <c r="H45" s="8">
        <f>IF(A45&lt;&gt;0,ROUND(D45/F45,2),$J$1)</f>
        <v>258740.02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258740.02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258740.02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1">
    <mergeCell ref="A10:C10"/>
    <mergeCell ref="A1:C1"/>
    <mergeCell ref="H1:I1"/>
    <mergeCell ref="C5:I5"/>
    <mergeCell ref="A8:C8"/>
    <mergeCell ref="A9:C9"/>
    <mergeCell ref="A39:C39"/>
    <mergeCell ref="A11:C11"/>
    <mergeCell ref="A12:C12"/>
    <mergeCell ref="A13:C13"/>
    <mergeCell ref="A24:C24"/>
    <mergeCell ref="A25:C25"/>
    <mergeCell ref="A26:C26"/>
    <mergeCell ref="B34:C34"/>
    <mergeCell ref="A35:C35"/>
    <mergeCell ref="A36:C36"/>
    <mergeCell ref="A37:C37"/>
    <mergeCell ref="B38:C38"/>
    <mergeCell ref="A27:C27"/>
    <mergeCell ref="D46:E46"/>
    <mergeCell ref="F46:G46"/>
    <mergeCell ref="A40:C40"/>
    <mergeCell ref="A41:H41"/>
    <mergeCell ref="A42:I42"/>
    <mergeCell ref="A43:I43"/>
    <mergeCell ref="A44:C44"/>
    <mergeCell ref="D44:E44"/>
    <mergeCell ref="F44:G44"/>
    <mergeCell ref="A45:C45"/>
    <mergeCell ref="D45:E45"/>
    <mergeCell ref="F45:G45"/>
    <mergeCell ref="A46:C46"/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</mergeCells>
  <dataValidations disablePrompts="1" count="5">
    <dataValidation type="list" allowBlank="1" showInputMessage="1" showErrorMessage="1" sqref="A34:A40">
      <formula1>Descrip_transporte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B23:C23 A23:A29 B28:C29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9:A18 B14:C1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2">
    <tabColor indexed="35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1.05</v>
      </c>
      <c r="F8" s="21" t="e">
        <f t="shared" ref="F8:F15" si="1">IF(A8&lt;&gt;0,VLOOKUP(A8,Materiales,6,FALSE),$J$1)</f>
        <v>#REF!</v>
      </c>
      <c r="G8" s="22"/>
      <c r="H8" s="8" t="e">
        <f t="shared" ref="H8:H18" si="2">IF(A8&lt;&gt;0,ROUND(E8*F8,2),$J$1)</f>
        <v>#REF!</v>
      </c>
      <c r="I8" s="69"/>
    </row>
    <row r="9" spans="1:10" x14ac:dyDescent="0.2">
      <c r="A9" s="1215" t="s">
        <v>365</v>
      </c>
      <c r="B9" s="1216"/>
      <c r="C9" s="1217"/>
      <c r="D9" s="851" t="e">
        <f t="shared" si="0"/>
        <v>#REF!</v>
      </c>
      <c r="E9" s="12">
        <v>1</v>
      </c>
      <c r="F9" s="21" t="e">
        <f t="shared" si="1"/>
        <v>#REF!</v>
      </c>
      <c r="G9" s="22"/>
      <c r="H9" s="8" t="e">
        <f t="shared" si="2"/>
        <v>#REF!</v>
      </c>
      <c r="I9" s="69"/>
    </row>
    <row r="10" spans="1:10" x14ac:dyDescent="0.2">
      <c r="A10" s="1215" t="s">
        <v>345</v>
      </c>
      <c r="B10" s="1216"/>
      <c r="C10" s="1217"/>
      <c r="D10" s="851" t="e">
        <f t="shared" si="0"/>
        <v>#REF!</v>
      </c>
      <c r="E10" s="12">
        <v>13</v>
      </c>
      <c r="F10" s="21" t="e">
        <f t="shared" si="1"/>
        <v>#REF!</v>
      </c>
      <c r="G10" s="22"/>
      <c r="H10" s="8" t="e">
        <f t="shared" si="2"/>
        <v>#REF!</v>
      </c>
      <c r="I10" s="69"/>
    </row>
    <row r="11" spans="1:10" x14ac:dyDescent="0.2">
      <c r="A11" s="1215" t="s">
        <v>330</v>
      </c>
      <c r="B11" s="1216"/>
      <c r="C11" s="1217"/>
      <c r="D11" s="851" t="e">
        <f t="shared" si="0"/>
        <v>#REF!</v>
      </c>
      <c r="E11" s="12">
        <v>3.63</v>
      </c>
      <c r="F11" s="21" t="e">
        <f t="shared" si="1"/>
        <v>#REF!</v>
      </c>
      <c r="G11" s="22"/>
      <c r="H11" s="8" t="e">
        <f t="shared" si="2"/>
        <v>#REF!</v>
      </c>
      <c r="I11" s="69"/>
    </row>
    <row r="12" spans="1:10" x14ac:dyDescent="0.2">
      <c r="A12" s="1215" t="s">
        <v>242</v>
      </c>
      <c r="B12" s="1216"/>
      <c r="C12" s="1217"/>
      <c r="D12" s="851" t="e">
        <f t="shared" si="0"/>
        <v>#REF!</v>
      </c>
      <c r="E12" s="12">
        <f>0.25*(1/0.12)</f>
        <v>2.0833333333333335</v>
      </c>
      <c r="F12" s="21" t="e">
        <f t="shared" si="1"/>
        <v>#REF!</v>
      </c>
      <c r="G12" s="22"/>
      <c r="H12" s="8" t="e">
        <f t="shared" si="2"/>
        <v>#REF!</v>
      </c>
      <c r="I12" s="69"/>
    </row>
    <row r="13" spans="1:10" x14ac:dyDescent="0.2">
      <c r="A13" s="1215" t="s">
        <v>446</v>
      </c>
      <c r="B13" s="1216"/>
      <c r="C13" s="1217"/>
      <c r="D13" s="851" t="e">
        <f t="shared" si="0"/>
        <v>#REF!</v>
      </c>
      <c r="E13" s="12">
        <v>1.8</v>
      </c>
      <c r="F13" s="21" t="e">
        <f t="shared" si="1"/>
        <v>#REF!</v>
      </c>
      <c r="G13" s="22"/>
      <c r="H13" s="8" t="e">
        <f t="shared" si="2"/>
        <v>#REF!</v>
      </c>
      <c r="I13" s="69"/>
    </row>
    <row r="14" spans="1:10" x14ac:dyDescent="0.2">
      <c r="A14" s="1215" t="s">
        <v>145</v>
      </c>
      <c r="B14" s="1216"/>
      <c r="C14" s="1217"/>
      <c r="D14" s="851" t="e">
        <f t="shared" si="0"/>
        <v>#REF!</v>
      </c>
      <c r="E14" s="12">
        <v>0.95</v>
      </c>
      <c r="F14" s="21" t="e">
        <f t="shared" si="1"/>
        <v>#REF!</v>
      </c>
      <c r="G14" s="22"/>
      <c r="H14" s="8" t="e">
        <f t="shared" si="2"/>
        <v>#REF!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1"/>
        <v>-</v>
      </c>
      <c r="G15" s="22"/>
      <c r="H15" s="8" t="str">
        <f t="shared" si="2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2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2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>IF(A18&lt;&gt;0,VLOOKUP(A18,Materiales,5,FALSE),$J$1)</f>
        <v>-</v>
      </c>
      <c r="G18" s="22"/>
      <c r="H18" s="8" t="str">
        <f t="shared" si="2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2342</v>
      </c>
      <c r="E22" s="254"/>
      <c r="F22" s="235" t="s">
        <v>2219</v>
      </c>
      <c r="G22" s="881" t="s">
        <v>2220</v>
      </c>
      <c r="H22" s="257" t="s">
        <v>2343</v>
      </c>
      <c r="I22" s="72"/>
    </row>
    <row r="23" spans="1:9" x14ac:dyDescent="0.2">
      <c r="A23" s="871" t="s">
        <v>477</v>
      </c>
      <c r="B23" s="872"/>
      <c r="C23" s="873"/>
      <c r="D23" s="26">
        <v>1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 t="shared" ref="H23:H29" si="4">IF(A23&lt;&gt;0,ROUND((F23/D23)*G23,2),$J$1)</f>
        <v>3710</v>
      </c>
      <c r="I23" s="69"/>
    </row>
    <row r="24" spans="1:9" x14ac:dyDescent="0.2">
      <c r="A24" s="1215" t="s">
        <v>497</v>
      </c>
      <c r="B24" s="1216"/>
      <c r="C24" s="1217"/>
      <c r="D24" s="26">
        <v>0.25</v>
      </c>
      <c r="E24" s="28"/>
      <c r="F24" s="12">
        <f>IF(A24&lt;&gt;0,VLOOKUP(A24,Equipos,6,FALSE),$J$1)</f>
        <v>42400</v>
      </c>
      <c r="G24" s="14">
        <v>0.04</v>
      </c>
      <c r="H24" s="8">
        <f t="shared" si="4"/>
        <v>6784</v>
      </c>
      <c r="I24" s="69"/>
    </row>
    <row r="25" spans="1:9" x14ac:dyDescent="0.2">
      <c r="A25" s="1215" t="s">
        <v>482</v>
      </c>
      <c r="B25" s="1216"/>
      <c r="C25" s="1217"/>
      <c r="D25" s="26">
        <v>0.75</v>
      </c>
      <c r="E25" s="28"/>
      <c r="F25" s="12">
        <f>IF(A25&lt;&gt;0,VLOOKUP(A25,Equipos,6,FALSE),$J$1)</f>
        <v>1590</v>
      </c>
      <c r="G25" s="14">
        <v>1</v>
      </c>
      <c r="H25" s="8">
        <f t="shared" si="4"/>
        <v>2120</v>
      </c>
      <c r="I25" s="69"/>
    </row>
    <row r="26" spans="1:9" x14ac:dyDescent="0.2">
      <c r="A26" s="1215"/>
      <c r="B26" s="1216"/>
      <c r="C26" s="1217"/>
      <c r="D26" s="26"/>
      <c r="E26" s="28"/>
      <c r="F26" s="12" t="str">
        <f>IF(A26&lt;&gt;0,VLOOKUP(A26,Equipos,6,FALSE),$J$1)</f>
        <v>-</v>
      </c>
      <c r="G26" s="14"/>
      <c r="H26" s="8" t="str">
        <f t="shared" si="4"/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3"/>
        <v>-</v>
      </c>
      <c r="G27" s="14"/>
      <c r="H27" s="8" t="str">
        <f t="shared" si="4"/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 t="shared" si="4"/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 t="shared" si="4"/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12614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5">IF(A35&lt;&gt;0,VLOOKUP(A35,Transporte,2,FALSE),$J$1)</f>
        <v>-</v>
      </c>
      <c r="G35" s="12"/>
      <c r="H35" s="8" t="str">
        <f t="shared" ref="H35:H40" si="6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5"/>
        <v>-</v>
      </c>
      <c r="G36" s="12"/>
      <c r="H36" s="8" t="str">
        <f t="shared" si="6"/>
        <v>-</v>
      </c>
      <c r="I36" s="344"/>
    </row>
    <row r="37" spans="1:9" x14ac:dyDescent="0.2">
      <c r="A37" s="1215"/>
      <c r="B37" s="1216"/>
      <c r="C37" s="1217"/>
      <c r="D37" s="46" t="str">
        <f>IF(A37&lt;&gt;0,VLOOKUP(A37,Transporte,8,FALSE),$J$1)</f>
        <v>-</v>
      </c>
      <c r="E37" s="47"/>
      <c r="F37" s="15" t="str">
        <f t="shared" si="5"/>
        <v>-</v>
      </c>
      <c r="G37" s="12"/>
      <c r="H37" s="8" t="str">
        <f t="shared" si="6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5"/>
        <v>-</v>
      </c>
      <c r="G39" s="12"/>
      <c r="H39" s="8" t="str">
        <f t="shared" si="6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5"/>
        <v>-</v>
      </c>
      <c r="G40" s="12"/>
      <c r="H40" s="8" t="str">
        <f t="shared" si="6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1.75</v>
      </c>
      <c r="G45" s="1222"/>
      <c r="H45" s="8">
        <f>IF(A45&lt;&gt;0,ROUND(D45/F45,2),$J$1)</f>
        <v>246911.91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246911.91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246911.91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1">
    <mergeCell ref="A56:G56"/>
    <mergeCell ref="H56:I56"/>
    <mergeCell ref="A49:C49"/>
    <mergeCell ref="D49:E49"/>
    <mergeCell ref="F49:G49"/>
    <mergeCell ref="A50:H50"/>
    <mergeCell ref="A51:I51"/>
    <mergeCell ref="A52:H52"/>
    <mergeCell ref="A53:H53"/>
    <mergeCell ref="A54:G54"/>
    <mergeCell ref="A55:C55"/>
    <mergeCell ref="D55:E55"/>
    <mergeCell ref="F55:I55"/>
    <mergeCell ref="A47:C47"/>
    <mergeCell ref="D47:E47"/>
    <mergeCell ref="F47:G47"/>
    <mergeCell ref="A48:C48"/>
    <mergeCell ref="D48:E48"/>
    <mergeCell ref="F48:G48"/>
    <mergeCell ref="A45:C45"/>
    <mergeCell ref="D45:E45"/>
    <mergeCell ref="F45:G45"/>
    <mergeCell ref="A46:C46"/>
    <mergeCell ref="D46:E46"/>
    <mergeCell ref="F46:G46"/>
    <mergeCell ref="A44:C44"/>
    <mergeCell ref="D44:E44"/>
    <mergeCell ref="F44:G44"/>
    <mergeCell ref="A26:C26"/>
    <mergeCell ref="B34:C34"/>
    <mergeCell ref="A35:C35"/>
    <mergeCell ref="A36:C36"/>
    <mergeCell ref="A37:C37"/>
    <mergeCell ref="B38:C38"/>
    <mergeCell ref="A39:C39"/>
    <mergeCell ref="A40:C40"/>
    <mergeCell ref="A41:H41"/>
    <mergeCell ref="A42:I42"/>
    <mergeCell ref="A43:I43"/>
    <mergeCell ref="A25:C25"/>
    <mergeCell ref="A1:C1"/>
    <mergeCell ref="H1:I1"/>
    <mergeCell ref="C5:I5"/>
    <mergeCell ref="A8:C8"/>
    <mergeCell ref="A9:C9"/>
    <mergeCell ref="A10:C10"/>
    <mergeCell ref="A11:C11"/>
    <mergeCell ref="A12:C12"/>
    <mergeCell ref="A13:C13"/>
    <mergeCell ref="A14:C14"/>
    <mergeCell ref="A24:C24"/>
  </mergeCells>
  <dataValidations disablePrompts="1" count="5">
    <dataValidation type="list" allowBlank="1" showInputMessage="1" showErrorMessage="1" sqref="A9:A18 B15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7:C29 A23:A29 B23:C23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8">
    <tabColor indexed="35"/>
    <pageSetUpPr fitToPage="1"/>
  </sheetPr>
  <dimension ref="A1:J56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2215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7" si="0">IF(A8&lt;&gt;0,VLOOKUP(A8,Materiales,2,FALSE),$J$1)</f>
        <v>#REF!</v>
      </c>
      <c r="E8" s="12">
        <v>1.05</v>
      </c>
      <c r="F8" s="21" t="e">
        <f>IF(A8&lt;&gt;0,VLOOKUP(A8,Materiales,6,FALSE),$J$1)</f>
        <v>#REF!</v>
      </c>
      <c r="G8" s="22"/>
      <c r="H8" s="8" t="e">
        <f t="shared" ref="H8:H17" si="1">IF(A8&lt;&gt;0,ROUND(E8*F8,2),$J$1)</f>
        <v>#REF!</v>
      </c>
      <c r="I8" s="69"/>
    </row>
    <row r="9" spans="1:10" x14ac:dyDescent="0.2">
      <c r="A9" s="1215" t="s">
        <v>345</v>
      </c>
      <c r="B9" s="1216"/>
      <c r="C9" s="1217"/>
      <c r="D9" s="851" t="e">
        <f t="shared" si="0"/>
        <v>#REF!</v>
      </c>
      <c r="E9" s="12">
        <v>6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311" t="s">
        <v>330</v>
      </c>
      <c r="B10" s="1216"/>
      <c r="C10" s="1217"/>
      <c r="D10" s="851" t="e">
        <f t="shared" si="0"/>
        <v>#REF!</v>
      </c>
      <c r="E10" s="12">
        <v>2</v>
      </c>
      <c r="F10" s="21" t="e">
        <f>IF(A10&lt;&gt;0,VLOOKUP(A10,Materiales,6,FALSE),$J$1)</f>
        <v>#REF!</v>
      </c>
      <c r="G10" s="22"/>
      <c r="H10" s="8" t="e">
        <f t="shared" si="1"/>
        <v>#REF!</v>
      </c>
      <c r="I10" s="69"/>
    </row>
    <row r="11" spans="1:10" x14ac:dyDescent="0.2">
      <c r="A11" s="1215" t="s">
        <v>145</v>
      </c>
      <c r="B11" s="1216"/>
      <c r="C11" s="1217"/>
      <c r="D11" s="851" t="e">
        <f t="shared" si="0"/>
        <v>#REF!</v>
      </c>
      <c r="E11" s="12">
        <v>0.95</v>
      </c>
      <c r="F11" s="21" t="e">
        <f>IF(A11&lt;&gt;0,VLOOKUP(A11,Materiales,6,FALSE),$J$1)</f>
        <v>#REF!</v>
      </c>
      <c r="G11" s="22"/>
      <c r="H11" s="8" t="e">
        <f t="shared" si="1"/>
        <v>#REF!</v>
      </c>
      <c r="I11" s="69"/>
    </row>
    <row r="12" spans="1:10" x14ac:dyDescent="0.2">
      <c r="A12" s="871"/>
      <c r="B12" s="872"/>
      <c r="C12" s="873"/>
      <c r="D12" s="851" t="str">
        <f t="shared" si="0"/>
        <v>-</v>
      </c>
      <c r="E12" s="12"/>
      <c r="F12" s="21" t="str">
        <f>IF(A12&lt;&gt;0,VLOOKUP(A12,Materiales,5,FALSE),$J$1)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/>
      <c r="E13" s="12"/>
      <c r="F13" s="21"/>
      <c r="G13" s="22"/>
      <c r="H13" s="8"/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1"/>
        <v>-</v>
      </c>
      <c r="I17" s="73"/>
    </row>
    <row r="18" spans="1:9" x14ac:dyDescent="0.2">
      <c r="A18" s="850" t="s">
        <v>2217</v>
      </c>
      <c r="B18" s="872"/>
      <c r="C18" s="872"/>
      <c r="D18" s="872"/>
      <c r="E18" s="872"/>
      <c r="F18" s="872"/>
      <c r="G18" s="872"/>
      <c r="H18" s="873"/>
      <c r="I18" s="241" t="e">
        <f>SUM(H8:H17)</f>
        <v>#REF!</v>
      </c>
    </row>
    <row r="19" spans="1:9" x14ac:dyDescent="0.2">
      <c r="A19" s="76"/>
      <c r="B19" s="27"/>
      <c r="C19" s="27"/>
      <c r="D19" s="27"/>
      <c r="E19" s="27"/>
      <c r="F19" s="27"/>
      <c r="G19" s="27"/>
      <c r="H19" s="27"/>
      <c r="I19" s="64"/>
    </row>
    <row r="20" spans="1:9" x14ac:dyDescent="0.2">
      <c r="A20" s="875" t="s">
        <v>454</v>
      </c>
      <c r="B20" s="876"/>
      <c r="C20" s="876"/>
      <c r="D20" s="876"/>
      <c r="E20" s="876"/>
      <c r="F20" s="876"/>
      <c r="G20" s="876"/>
      <c r="H20" s="876"/>
      <c r="I20" s="877"/>
    </row>
    <row r="21" spans="1:9" s="9" customFormat="1" ht="25.5" x14ac:dyDescent="0.2">
      <c r="A21" s="255" t="s">
        <v>26</v>
      </c>
      <c r="B21" s="256"/>
      <c r="C21" s="254"/>
      <c r="D21" s="253" t="s">
        <v>2342</v>
      </c>
      <c r="E21" s="254"/>
      <c r="F21" s="235" t="s">
        <v>2219</v>
      </c>
      <c r="G21" s="881" t="s">
        <v>2220</v>
      </c>
      <c r="H21" s="257" t="s">
        <v>2343</v>
      </c>
      <c r="I21" s="72"/>
    </row>
    <row r="22" spans="1:9" x14ac:dyDescent="0.2">
      <c r="A22" s="871" t="s">
        <v>477</v>
      </c>
      <c r="B22" s="872"/>
      <c r="C22" s="873"/>
      <c r="D22" s="26">
        <v>5</v>
      </c>
      <c r="E22" s="28"/>
      <c r="F22" s="12">
        <f t="shared" ref="F22:F28" si="2">IF(A22&lt;&gt;0,VLOOKUP(A22,Equipos,6,FALSE),$J$1)</f>
        <v>3710</v>
      </c>
      <c r="G22" s="14">
        <v>1</v>
      </c>
      <c r="H22" s="8">
        <f>IF(A22&lt;&gt;0,ROUND((F22/D22)*G22,2),$J$1)</f>
        <v>742</v>
      </c>
      <c r="I22" s="69"/>
    </row>
    <row r="23" spans="1:9" x14ac:dyDescent="0.2">
      <c r="A23" s="1215" t="s">
        <v>497</v>
      </c>
      <c r="B23" s="1216"/>
      <c r="C23" s="1217"/>
      <c r="D23" s="26">
        <v>0.25</v>
      </c>
      <c r="E23" s="28"/>
      <c r="F23" s="12">
        <f>IF(A23&lt;&gt;0,VLOOKUP(A23,Equipos,6,FALSE),$J$1)</f>
        <v>42400</v>
      </c>
      <c r="G23" s="14">
        <v>0.05</v>
      </c>
      <c r="H23" s="8">
        <f>IF(A23&lt;&gt;0,ROUND((F23/D23)*G23,2),$J$1)</f>
        <v>8480</v>
      </c>
      <c r="I23" s="69"/>
    </row>
    <row r="24" spans="1:9" x14ac:dyDescent="0.2">
      <c r="A24" s="1215"/>
      <c r="B24" s="1216"/>
      <c r="C24" s="1217"/>
      <c r="D24" s="26"/>
      <c r="E24" s="28"/>
      <c r="F24" s="12" t="str">
        <f>IF(A24&lt;&gt;0,VLOOKUP(A24,Equipos,6,FALSE),$J$1)</f>
        <v>-</v>
      </c>
      <c r="G24" s="14"/>
      <c r="H24" s="8" t="str">
        <f>IF(A24&lt;&gt;0,ROUND((F24/D24)*G24,2),$J$1)</f>
        <v>-</v>
      </c>
      <c r="I24" s="69"/>
    </row>
    <row r="25" spans="1:9" x14ac:dyDescent="0.2">
      <c r="A25" s="1215"/>
      <c r="B25" s="1216"/>
      <c r="C25" s="1217"/>
      <c r="D25" s="26"/>
      <c r="E25" s="28"/>
      <c r="F25" s="12" t="str">
        <f>IF(A25&lt;&gt;0,VLOOKUP(A25,Equipos,6,FALSE),$J$1)</f>
        <v>-</v>
      </c>
      <c r="G25" s="14"/>
      <c r="H25" s="8"/>
      <c r="I25" s="69"/>
    </row>
    <row r="26" spans="1:9" x14ac:dyDescent="0.2">
      <c r="A26" s="871"/>
      <c r="B26" s="872"/>
      <c r="C26" s="873"/>
      <c r="D26" s="26"/>
      <c r="E26" s="28"/>
      <c r="F26" s="12" t="str">
        <f t="shared" si="2"/>
        <v>-</v>
      </c>
      <c r="G26" s="14"/>
      <c r="H26" s="8" t="str">
        <f>IF(A26&lt;&gt;0,ROUND((F26/D26)*G26,2),$J$1)</f>
        <v>-</v>
      </c>
      <c r="I26" s="69"/>
    </row>
    <row r="27" spans="1:9" x14ac:dyDescent="0.2">
      <c r="A27" s="871"/>
      <c r="B27" s="872"/>
      <c r="C27" s="873"/>
      <c r="D27" s="26"/>
      <c r="E27" s="28"/>
      <c r="F27" s="12" t="str">
        <f t="shared" si="2"/>
        <v>-</v>
      </c>
      <c r="G27" s="14"/>
      <c r="H27" s="8" t="str">
        <f>IF(A27&lt;&gt;0,ROUND((F27/D27)*G27,2),$J$1)</f>
        <v>-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2"/>
        <v>-</v>
      </c>
      <c r="G28" s="14"/>
      <c r="H28" s="8" t="str">
        <f>IF(A28&lt;&gt;0,ROUND((F28/D28)*G28,2),$J$1)</f>
        <v>-</v>
      </c>
      <c r="I28" s="73"/>
    </row>
    <row r="29" spans="1:9" x14ac:dyDescent="0.2">
      <c r="A29" s="850" t="s">
        <v>2221</v>
      </c>
      <c r="B29" s="872"/>
      <c r="C29" s="872"/>
      <c r="D29" s="872"/>
      <c r="E29" s="872"/>
      <c r="F29" s="872"/>
      <c r="G29" s="872"/>
      <c r="H29" s="873"/>
      <c r="I29" s="241">
        <f>SUM(H22:H28)</f>
        <v>9222</v>
      </c>
    </row>
    <row r="30" spans="1:9" x14ac:dyDescent="0.2">
      <c r="A30" s="76"/>
      <c r="B30" s="27"/>
      <c r="C30" s="27"/>
      <c r="D30" s="27"/>
      <c r="E30" s="27"/>
      <c r="F30" s="27"/>
      <c r="G30" s="27"/>
      <c r="H30" s="27"/>
      <c r="I30" s="64"/>
    </row>
    <row r="31" spans="1:9" x14ac:dyDescent="0.2">
      <c r="A31" s="875" t="s">
        <v>2222</v>
      </c>
      <c r="B31" s="876"/>
      <c r="C31" s="876"/>
      <c r="D31" s="876"/>
      <c r="E31" s="876"/>
      <c r="F31" s="876"/>
      <c r="G31" s="876"/>
      <c r="H31" s="876"/>
      <c r="I31" s="877"/>
    </row>
    <row r="32" spans="1:9" s="9" customFormat="1" ht="25.5" x14ac:dyDescent="0.2">
      <c r="A32" s="250" t="s">
        <v>26</v>
      </c>
      <c r="B32" s="251"/>
      <c r="C32" s="252"/>
      <c r="D32" s="253" t="s">
        <v>2223</v>
      </c>
      <c r="E32" s="254"/>
      <c r="F32" s="881" t="s">
        <v>2224</v>
      </c>
      <c r="G32" s="881" t="s">
        <v>2225</v>
      </c>
      <c r="H32" s="257" t="s">
        <v>2216</v>
      </c>
      <c r="I32" s="72"/>
    </row>
    <row r="33" spans="1:9" x14ac:dyDescent="0.2">
      <c r="A33" s="890"/>
      <c r="B33" s="1105" t="s">
        <v>2226</v>
      </c>
      <c r="C33" s="1104"/>
      <c r="D33" s="46"/>
      <c r="E33" s="47"/>
      <c r="F33" s="15"/>
      <c r="G33" s="12"/>
      <c r="H33" s="8"/>
      <c r="I33" s="343">
        <f>SUM(H34:H36)</f>
        <v>0</v>
      </c>
    </row>
    <row r="34" spans="1:9" x14ac:dyDescent="0.2">
      <c r="A34" s="1215"/>
      <c r="B34" s="1216"/>
      <c r="C34" s="1217"/>
      <c r="D34" s="46" t="str">
        <f>IF(A34&lt;&gt;0,VLOOKUP(A34,Transporte,8,FALSE),$J$1)</f>
        <v>-</v>
      </c>
      <c r="E34" s="47"/>
      <c r="F34" s="15" t="str">
        <f t="shared" ref="F34:F39" si="3">IF(A34&lt;&gt;0,VLOOKUP(A34,Transporte,2,FALSE),$J$1)</f>
        <v>-</v>
      </c>
      <c r="G34" s="12"/>
      <c r="H34" s="8" t="str">
        <f t="shared" ref="H34:H39" si="4">IF(A34&lt;&gt;0,D34/F34*G34,$J$1)</f>
        <v>-</v>
      </c>
      <c r="I34" s="344"/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si="3"/>
        <v>-</v>
      </c>
      <c r="G35" s="12"/>
      <c r="H35" s="8" t="str">
        <f t="shared" si="4"/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3"/>
        <v>-</v>
      </c>
      <c r="G36" s="12"/>
      <c r="H36" s="8" t="str">
        <f t="shared" si="4"/>
        <v>-</v>
      </c>
      <c r="I36" s="345"/>
    </row>
    <row r="37" spans="1:9" x14ac:dyDescent="0.2">
      <c r="A37" s="871"/>
      <c r="B37" s="1105" t="s">
        <v>2227</v>
      </c>
      <c r="C37" s="1104"/>
      <c r="D37" s="46"/>
      <c r="E37" s="47"/>
      <c r="F37" s="15"/>
      <c r="G37" s="12"/>
      <c r="H37" s="8"/>
      <c r="I37" s="343">
        <f>SUM(H38:H39)</f>
        <v>0</v>
      </c>
    </row>
    <row r="38" spans="1:9" x14ac:dyDescent="0.2">
      <c r="A38" s="1215"/>
      <c r="B38" s="1216"/>
      <c r="C38" s="1217"/>
      <c r="D38" s="46" t="str">
        <f>IF(A27&lt;&gt;0,VLOOKUP(A38,Transporte,8,FALSE),$J$1)</f>
        <v>-</v>
      </c>
      <c r="E38" s="47"/>
      <c r="F38" s="15" t="str">
        <f t="shared" si="3"/>
        <v>-</v>
      </c>
      <c r="G38" s="12"/>
      <c r="H38" s="8" t="str">
        <f t="shared" si="4"/>
        <v>-</v>
      </c>
      <c r="I38" s="344"/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3"/>
        <v>-</v>
      </c>
      <c r="G39" s="12"/>
      <c r="H39" s="8" t="str">
        <f t="shared" si="4"/>
        <v>-</v>
      </c>
      <c r="I39" s="73"/>
    </row>
    <row r="40" spans="1:9" x14ac:dyDescent="0.2">
      <c r="A40" s="1084" t="s">
        <v>2228</v>
      </c>
      <c r="B40" s="1216"/>
      <c r="C40" s="1216"/>
      <c r="D40" s="1216"/>
      <c r="E40" s="1216"/>
      <c r="F40" s="1216"/>
      <c r="G40" s="1216"/>
      <c r="H40" s="1217"/>
      <c r="I40" s="241">
        <f>SUM(I33:I39)</f>
        <v>0</v>
      </c>
    </row>
    <row r="41" spans="1:9" x14ac:dyDescent="0.2">
      <c r="A41" s="1086"/>
      <c r="B41" s="1087"/>
      <c r="C41" s="1087"/>
      <c r="D41" s="1087"/>
      <c r="E41" s="1087"/>
      <c r="F41" s="1087"/>
      <c r="G41" s="1087"/>
      <c r="H41" s="1087"/>
      <c r="I41" s="1088"/>
    </row>
    <row r="42" spans="1:9" x14ac:dyDescent="0.2">
      <c r="A42" s="1200" t="s">
        <v>554</v>
      </c>
      <c r="B42" s="1201"/>
      <c r="C42" s="1201"/>
      <c r="D42" s="1201"/>
      <c r="E42" s="1201"/>
      <c r="F42" s="1201"/>
      <c r="G42" s="1201"/>
      <c r="H42" s="1201"/>
      <c r="I42" s="1202"/>
    </row>
    <row r="43" spans="1:9" s="9" customFormat="1" ht="25.5" x14ac:dyDescent="0.2">
      <c r="A43" s="1229" t="s">
        <v>2229</v>
      </c>
      <c r="B43" s="1230"/>
      <c r="C43" s="1231"/>
      <c r="D43" s="1223" t="s">
        <v>2230</v>
      </c>
      <c r="E43" s="1224"/>
      <c r="F43" s="1223" t="s">
        <v>2218</v>
      </c>
      <c r="G43" s="1224"/>
      <c r="H43" s="257" t="s">
        <v>2216</v>
      </c>
      <c r="I43" s="72"/>
    </row>
    <row r="44" spans="1:9" x14ac:dyDescent="0.2">
      <c r="A44" s="1215" t="s">
        <v>49</v>
      </c>
      <c r="B44" s="1216"/>
      <c r="C44" s="1217"/>
      <c r="D44" s="1225">
        <f>IF(A44&lt;&gt;0,VLOOKUP(A44,Cuadrillas,7,FALSE),$J$1)</f>
        <v>432095.84</v>
      </c>
      <c r="E44" s="1226"/>
      <c r="F44" s="1221">
        <v>2</v>
      </c>
      <c r="G44" s="1222"/>
      <c r="H44" s="8">
        <f>IF(A44&lt;&gt;0,ROUND(D44/F44,2),$J$1)</f>
        <v>216047.92</v>
      </c>
      <c r="I44" s="69"/>
    </row>
    <row r="45" spans="1:9" x14ac:dyDescent="0.2">
      <c r="A45" s="1215"/>
      <c r="B45" s="1216"/>
      <c r="C45" s="1217"/>
      <c r="D45" s="1225" t="str">
        <f>IF(A45&lt;&gt;0,VLOOKUP(A45,Cuadrillas,7,FALSE),$J$1)</f>
        <v>-</v>
      </c>
      <c r="E45" s="1226"/>
      <c r="F45" s="1221"/>
      <c r="G45" s="1222"/>
      <c r="H45" s="8" t="str">
        <f>IF(A45&lt;&gt;0,ROUND(D45/F45,2),$J$1)</f>
        <v>-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73"/>
    </row>
    <row r="49" spans="1:9" x14ac:dyDescent="0.2">
      <c r="A49" s="1084" t="s">
        <v>2231</v>
      </c>
      <c r="B49" s="1085"/>
      <c r="C49" s="1085"/>
      <c r="D49" s="1085"/>
      <c r="E49" s="1085"/>
      <c r="F49" s="1085"/>
      <c r="G49" s="1085"/>
      <c r="H49" s="1133"/>
      <c r="I49" s="240">
        <f>SUM(H44:H48)</f>
        <v>216047.92</v>
      </c>
    </row>
    <row r="50" spans="1:9" x14ac:dyDescent="0.2">
      <c r="A50" s="1086"/>
      <c r="B50" s="1087"/>
      <c r="C50" s="1087"/>
      <c r="D50" s="1087"/>
      <c r="E50" s="1087"/>
      <c r="F50" s="1087"/>
      <c r="G50" s="1087"/>
      <c r="H50" s="1087"/>
      <c r="I50" s="1088"/>
    </row>
    <row r="51" spans="1:9" x14ac:dyDescent="0.2">
      <c r="A51" s="1089" t="s">
        <v>2232</v>
      </c>
      <c r="B51" s="1090"/>
      <c r="C51" s="1090"/>
      <c r="D51" s="1090"/>
      <c r="E51" s="1090"/>
      <c r="F51" s="1090"/>
      <c r="G51" s="1090"/>
      <c r="H51" s="1090"/>
      <c r="I51" s="237" t="e">
        <f>I18+I29+I40</f>
        <v>#REF!</v>
      </c>
    </row>
    <row r="52" spans="1:9" ht="13.5" thickBot="1" x14ac:dyDescent="0.25">
      <c r="A52" s="1193" t="s">
        <v>2233</v>
      </c>
      <c r="B52" s="1194"/>
      <c r="C52" s="1194"/>
      <c r="D52" s="1194"/>
      <c r="E52" s="1194"/>
      <c r="F52" s="1194"/>
      <c r="G52" s="1194"/>
      <c r="H52" s="1194"/>
      <c r="I52" s="238">
        <f>I49</f>
        <v>216047.92</v>
      </c>
    </row>
    <row r="53" spans="1:9" s="9" customFormat="1" ht="25.5" customHeight="1" thickTop="1" thickBot="1" x14ac:dyDescent="0.25">
      <c r="A53" s="1195" t="s">
        <v>2234</v>
      </c>
      <c r="B53" s="1196"/>
      <c r="C53" s="1196"/>
      <c r="D53" s="1196"/>
      <c r="E53" s="1196"/>
      <c r="F53" s="1196"/>
      <c r="G53" s="1196"/>
      <c r="H53" s="258"/>
      <c r="I53" s="239" t="e">
        <f>I51+I52</f>
        <v>#REF!</v>
      </c>
    </row>
    <row r="54" spans="1:9" s="9" customFormat="1" ht="25.5" customHeight="1" thickTop="1" thickBot="1" x14ac:dyDescent="0.25">
      <c r="A54" s="1095" t="s">
        <v>10</v>
      </c>
      <c r="B54" s="1096"/>
      <c r="C54" s="1232"/>
      <c r="D54" s="1097">
        <f>+'Datos entrada'!B7</f>
        <v>0.3</v>
      </c>
      <c r="E54" s="1098"/>
      <c r="F54" s="1233" t="e">
        <f>I53*D54</f>
        <v>#REF!</v>
      </c>
      <c r="G54" s="1099"/>
      <c r="H54" s="1099"/>
      <c r="I54" s="1100"/>
    </row>
    <row r="55" spans="1:9" s="9" customFormat="1" ht="25.5" customHeight="1" thickTop="1" thickBot="1" x14ac:dyDescent="0.25">
      <c r="A55" s="1095" t="s">
        <v>2236</v>
      </c>
      <c r="B55" s="1096"/>
      <c r="C55" s="1096"/>
      <c r="D55" s="1096"/>
      <c r="E55" s="1096"/>
      <c r="F55" s="1096"/>
      <c r="G55" s="1096"/>
      <c r="H55" s="1191" t="e">
        <f>I53+F54</f>
        <v>#REF!</v>
      </c>
      <c r="I55" s="1192"/>
    </row>
    <row r="56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48">
    <mergeCell ref="A1:C1"/>
    <mergeCell ref="H1:I1"/>
    <mergeCell ref="C5:I5"/>
    <mergeCell ref="A8:C8"/>
    <mergeCell ref="A9:C9"/>
    <mergeCell ref="A38:C38"/>
    <mergeCell ref="A10:C10"/>
    <mergeCell ref="A11:C11"/>
    <mergeCell ref="A23:C23"/>
    <mergeCell ref="A24:C24"/>
    <mergeCell ref="A25:C25"/>
    <mergeCell ref="B33:C33"/>
    <mergeCell ref="A34:C34"/>
    <mergeCell ref="A35:C35"/>
    <mergeCell ref="A36:C36"/>
    <mergeCell ref="B37:C37"/>
    <mergeCell ref="A39:C39"/>
    <mergeCell ref="A40:H40"/>
    <mergeCell ref="A41:I41"/>
    <mergeCell ref="A42:I42"/>
    <mergeCell ref="A43:C43"/>
    <mergeCell ref="D43:E43"/>
    <mergeCell ref="F43:G43"/>
    <mergeCell ref="A44:C44"/>
    <mergeCell ref="D44:E44"/>
    <mergeCell ref="F44:G44"/>
    <mergeCell ref="A45:C45"/>
    <mergeCell ref="D45:E45"/>
    <mergeCell ref="F45:G45"/>
    <mergeCell ref="A46:C46"/>
    <mergeCell ref="D46:E46"/>
    <mergeCell ref="F46:G46"/>
    <mergeCell ref="A47:C47"/>
    <mergeCell ref="D47:E47"/>
    <mergeCell ref="F47:G47"/>
    <mergeCell ref="A55:G55"/>
    <mergeCell ref="H55:I55"/>
    <mergeCell ref="A48:C48"/>
    <mergeCell ref="D48:E48"/>
    <mergeCell ref="F48:G48"/>
    <mergeCell ref="A49:H49"/>
    <mergeCell ref="A50:I50"/>
    <mergeCell ref="A51:H51"/>
    <mergeCell ref="A52:H52"/>
    <mergeCell ref="A53:G53"/>
    <mergeCell ref="A54:C54"/>
    <mergeCell ref="D54:E54"/>
    <mergeCell ref="F54:I54"/>
  </mergeCells>
  <dataValidations count="5">
    <dataValidation type="list" allowBlank="1" showInputMessage="1" showErrorMessage="1" sqref="A33:A39">
      <formula1>Descrip_transporte</formula1>
    </dataValidation>
    <dataValidation type="list" allowBlank="1" showInputMessage="1" showErrorMessage="1" sqref="A44:C48">
      <formula1>Descrip_cuadrillas</formula1>
    </dataValidation>
    <dataValidation type="list" allowBlank="1" showInputMessage="1" showErrorMessage="1" sqref="B26:C28 A22:A28 B22:C22">
      <formula1>Descrip_equipos</formula1>
    </dataValidation>
    <dataValidation type="list" allowBlank="1" showInputMessage="1" showErrorMessage="1" sqref="B12:C17 A9:A17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tabColor rgb="FFFFFF00"/>
    <pageSetUpPr fitToPage="1"/>
  </sheetPr>
  <dimension ref="A1:P55"/>
  <sheetViews>
    <sheetView view="pageBreakPreview" topLeftCell="A7" zoomScaleNormal="100" zoomScaleSheetLayoutView="100" workbookViewId="0">
      <selection activeCell="N13" sqref="N13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9.140625" style="1" bestFit="1" customWidth="1"/>
    <col min="6" max="6" width="12.5703125" style="1" customWidth="1"/>
    <col min="7" max="7" width="12.7109375" style="1" customWidth="1"/>
    <col min="8" max="8" width="15.7109375" style="1" customWidth="1"/>
    <col min="9" max="9" width="19" style="1" customWidth="1"/>
    <col min="10" max="16384" width="9.140625" style="1"/>
  </cols>
  <sheetData>
    <row r="1" spans="1:16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2344</v>
      </c>
      <c r="I1" s="1130"/>
      <c r="J1" s="34" t="s">
        <v>2212</v>
      </c>
    </row>
    <row r="2" spans="1:16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6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6" s="10" customFormat="1" ht="48.75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</row>
    <row r="5" spans="1:16" x14ac:dyDescent="0.2">
      <c r="A5" s="246" t="s">
        <v>2213</v>
      </c>
      <c r="B5" s="280" t="e">
        <f>+OBRA!#REF!</f>
        <v>#REF!</v>
      </c>
      <c r="C5" s="1227" t="e">
        <f>+OBRA!#REF!</f>
        <v>#REF!</v>
      </c>
      <c r="D5" s="1227"/>
      <c r="E5" s="1227"/>
      <c r="F5" s="1227"/>
      <c r="G5" s="1227"/>
      <c r="H5" s="1227"/>
      <c r="I5" s="1228"/>
    </row>
    <row r="6" spans="1:16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+OBRA!#REF!</f>
        <v>#REF!</v>
      </c>
    </row>
    <row r="7" spans="1:16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6" x14ac:dyDescent="0.2">
      <c r="A8" s="1215" t="s">
        <v>230</v>
      </c>
      <c r="B8" s="1216"/>
      <c r="C8" s="1217"/>
      <c r="D8" s="851" t="e">
        <f t="shared" ref="D8:D11" si="0">IF(A8&lt;&gt;0,VLOOKUP(A8,Materiales,2,FALSE),$J$1)</f>
        <v>#REF!</v>
      </c>
      <c r="E8" s="13">
        <f>6.08+0.87+0.45</f>
        <v>7.4</v>
      </c>
      <c r="F8" s="21" t="e">
        <f t="shared" ref="F8:F11" si="1">IF(A8&lt;&gt;0,VLOOKUP(A8,Materiales,6,FALSE),$J$1)</f>
        <v>#REF!</v>
      </c>
      <c r="G8" s="22"/>
      <c r="H8" s="8" t="e">
        <f t="shared" ref="H8:H11" si="2">IF(A8&lt;&gt;0,ROUND(E8*F8,2),$J$1)</f>
        <v>#REF!</v>
      </c>
      <c r="I8" s="69"/>
      <c r="K8" s="1" t="s">
        <v>2345</v>
      </c>
      <c r="L8" s="1">
        <f>+(3.1416*1.2*1.2)/4</f>
        <v>1.130976</v>
      </c>
    </row>
    <row r="9" spans="1:16" x14ac:dyDescent="0.2">
      <c r="A9" s="1215" t="s">
        <v>363</v>
      </c>
      <c r="B9" s="1216"/>
      <c r="C9" s="1217"/>
      <c r="D9" s="851" t="e">
        <f t="shared" si="0"/>
        <v>#REF!</v>
      </c>
      <c r="E9" s="13">
        <v>40</v>
      </c>
      <c r="F9" s="21" t="e">
        <f t="shared" si="1"/>
        <v>#REF!</v>
      </c>
      <c r="G9" s="22"/>
      <c r="H9" s="8" t="e">
        <f t="shared" si="2"/>
        <v>#REF!</v>
      </c>
      <c r="I9" s="69"/>
      <c r="K9" s="1" t="s">
        <v>2346</v>
      </c>
      <c r="L9" s="1">
        <f>+(3.1416*0.7*0.7)/4</f>
        <v>0.38484599999999991</v>
      </c>
    </row>
    <row r="10" spans="1:16" x14ac:dyDescent="0.2">
      <c r="A10" s="1215" t="s">
        <v>275</v>
      </c>
      <c r="B10" s="1216"/>
      <c r="C10" s="1217"/>
      <c r="D10" s="851" t="e">
        <f t="shared" si="0"/>
        <v>#REF!</v>
      </c>
      <c r="E10" s="161">
        <v>20</v>
      </c>
      <c r="F10" s="21" t="e">
        <f t="shared" si="1"/>
        <v>#REF!</v>
      </c>
      <c r="G10" s="22"/>
      <c r="H10" s="8" t="e">
        <f t="shared" si="2"/>
        <v>#REF!</v>
      </c>
      <c r="I10" s="69"/>
      <c r="K10" s="11"/>
      <c r="L10" s="11">
        <f>+L8-L9</f>
        <v>0.74613000000000007</v>
      </c>
      <c r="M10" s="11"/>
      <c r="N10" s="11"/>
      <c r="O10" s="11" t="s">
        <v>2347</v>
      </c>
      <c r="P10" s="11">
        <f>(5.2+6.2)/2</f>
        <v>5.7</v>
      </c>
    </row>
    <row r="11" spans="1:16" x14ac:dyDescent="0.2">
      <c r="A11" s="1215" t="s">
        <v>330</v>
      </c>
      <c r="B11" s="1216"/>
      <c r="C11" s="1217"/>
      <c r="D11" s="851" t="e">
        <f t="shared" si="0"/>
        <v>#REF!</v>
      </c>
      <c r="E11" s="12">
        <v>12</v>
      </c>
      <c r="F11" s="21" t="e">
        <f t="shared" si="1"/>
        <v>#REF!</v>
      </c>
      <c r="G11" s="22"/>
      <c r="H11" s="8" t="e">
        <f t="shared" si="2"/>
        <v>#REF!</v>
      </c>
      <c r="I11" s="69"/>
      <c r="K11" s="1" t="s">
        <v>2348</v>
      </c>
      <c r="L11" s="1">
        <f>+(3.1416*L10*2)*2.7</f>
        <v>12.657826843200002</v>
      </c>
    </row>
    <row r="12" spans="1:16" x14ac:dyDescent="0.2">
      <c r="A12" s="1215"/>
      <c r="B12" s="1216"/>
      <c r="C12" s="1217"/>
      <c r="D12" s="851"/>
      <c r="E12" s="12"/>
      <c r="F12" s="21"/>
      <c r="G12" s="22"/>
      <c r="H12" s="8"/>
      <c r="I12" s="69"/>
      <c r="K12" s="1" t="s">
        <v>2349</v>
      </c>
      <c r="L12" s="1">
        <f>+(L10+L9)/2</f>
        <v>0.56548799999999999</v>
      </c>
    </row>
    <row r="13" spans="1:16" x14ac:dyDescent="0.2">
      <c r="A13" s="1215"/>
      <c r="B13" s="1216"/>
      <c r="C13" s="1217"/>
      <c r="D13" s="851"/>
      <c r="E13" s="12"/>
      <c r="F13" s="21"/>
      <c r="G13" s="22"/>
      <c r="H13" s="8"/>
      <c r="I13" s="69"/>
      <c r="K13" s="1" t="s">
        <v>2350</v>
      </c>
      <c r="L13" s="1">
        <f>2*(3.1416*L12*P10)</f>
        <v>20.252522949119999</v>
      </c>
    </row>
    <row r="14" spans="1:16" x14ac:dyDescent="0.2">
      <c r="A14" s="871"/>
      <c r="B14" s="872"/>
      <c r="C14" s="873"/>
      <c r="D14" s="851"/>
      <c r="E14" s="12"/>
      <c r="F14" s="21"/>
      <c r="G14" s="22"/>
      <c r="H14" s="8"/>
      <c r="I14" s="69"/>
      <c r="N14" s="1">
        <f>+L13*0.023</f>
        <v>0.46580802782976</v>
      </c>
    </row>
    <row r="15" spans="1:16" x14ac:dyDescent="0.2">
      <c r="A15" s="871"/>
      <c r="B15" s="872"/>
      <c r="C15" s="873"/>
      <c r="D15" s="851"/>
      <c r="E15" s="12"/>
      <c r="F15" s="21"/>
      <c r="G15" s="22"/>
      <c r="H15" s="8"/>
      <c r="I15" s="69"/>
    </row>
    <row r="16" spans="1:16" x14ac:dyDescent="0.2">
      <c r="A16" s="871"/>
      <c r="B16" s="872"/>
      <c r="C16" s="873"/>
      <c r="D16" s="851"/>
      <c r="E16" s="12"/>
      <c r="F16" s="21"/>
      <c r="G16" s="22"/>
      <c r="H16" s="8"/>
      <c r="I16" s="69"/>
      <c r="K16" s="1">
        <f>52*L13</f>
        <v>1053.1311933542399</v>
      </c>
    </row>
    <row r="17" spans="1:11" x14ac:dyDescent="0.2">
      <c r="A17" s="871"/>
      <c r="B17" s="872"/>
      <c r="C17" s="873"/>
      <c r="D17" s="851"/>
      <c r="E17" s="12"/>
      <c r="F17" s="21"/>
      <c r="G17" s="22"/>
      <c r="H17" s="8"/>
      <c r="I17" s="69"/>
    </row>
    <row r="18" spans="1:11" x14ac:dyDescent="0.2">
      <c r="A18" s="871"/>
      <c r="B18" s="872"/>
      <c r="C18" s="873"/>
      <c r="D18" s="851"/>
      <c r="E18" s="12"/>
      <c r="F18" s="21"/>
      <c r="G18" s="22"/>
      <c r="H18" s="8"/>
      <c r="I18" s="73"/>
      <c r="K18" s="1">
        <f>+L13*0.023</f>
        <v>0.46580802782976</v>
      </c>
    </row>
    <row r="19" spans="1:11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11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11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11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11" x14ac:dyDescent="0.2">
      <c r="A23" s="1303" t="s">
        <v>477</v>
      </c>
      <c r="B23" s="1304"/>
      <c r="C23" s="1305"/>
      <c r="D23" s="904">
        <v>0.2</v>
      </c>
      <c r="E23" s="851"/>
      <c r="F23" s="12">
        <f t="shared" ref="F23" si="3">IF(A23&lt;&gt;0,VLOOKUP(A23,Equipos,6,FALSE),$J$1)</f>
        <v>3710</v>
      </c>
      <c r="G23" s="14">
        <v>0.05</v>
      </c>
      <c r="H23" s="8">
        <f>IF(A23&lt;&gt;0,ROUND((F23/D23)*G23,2),$J$1)</f>
        <v>927.5</v>
      </c>
      <c r="I23" s="69"/>
    </row>
    <row r="24" spans="1:11" x14ac:dyDescent="0.2">
      <c r="A24" s="1303" t="s">
        <v>498</v>
      </c>
      <c r="B24" s="1304"/>
      <c r="C24" s="1305"/>
      <c r="D24" s="904">
        <v>0.5</v>
      </c>
      <c r="E24" s="851"/>
      <c r="F24" s="12">
        <f>IF(A24&lt;&gt;0,VLOOKUP(A24,Equipos,6,FALSE),$J$1)</f>
        <v>39135.199999999997</v>
      </c>
      <c r="G24" s="14">
        <v>0.3</v>
      </c>
      <c r="H24" s="8">
        <f>IF(A24&lt;&gt;0,ROUND((F24/D24)*G24,2),$J$1)</f>
        <v>23481.119999999999</v>
      </c>
      <c r="I24" s="69"/>
    </row>
    <row r="25" spans="1:11" x14ac:dyDescent="0.2">
      <c r="A25" s="1303" t="s">
        <v>503</v>
      </c>
      <c r="B25" s="1304"/>
      <c r="C25" s="1305"/>
      <c r="D25" s="878">
        <v>0.1</v>
      </c>
      <c r="E25" s="851"/>
      <c r="F25" s="12">
        <f>IF(A25&lt;&gt;0,VLOOKUP(A25,Equipos,6,FALSE),$J$1)</f>
        <v>3180</v>
      </c>
      <c r="G25" s="14">
        <v>0.5</v>
      </c>
      <c r="H25" s="8">
        <f>IF(A25&lt;&gt;0,ROUND((F25/D25)*G25,2),$J$1)</f>
        <v>15900</v>
      </c>
      <c r="I25" s="69"/>
    </row>
    <row r="26" spans="1:11" x14ac:dyDescent="0.2">
      <c r="A26" s="1303"/>
      <c r="B26" s="1304"/>
      <c r="C26" s="1305"/>
      <c r="D26" s="26"/>
      <c r="E26" s="28"/>
      <c r="F26" s="12"/>
      <c r="G26" s="14"/>
      <c r="H26" s="8"/>
      <c r="I26" s="69"/>
    </row>
    <row r="27" spans="1:11" x14ac:dyDescent="0.2">
      <c r="A27" s="1303"/>
      <c r="B27" s="1304"/>
      <c r="C27" s="1305"/>
      <c r="D27" s="26"/>
      <c r="E27" s="28"/>
      <c r="F27" s="12"/>
      <c r="G27" s="14"/>
      <c r="H27" s="8"/>
      <c r="I27" s="73"/>
    </row>
    <row r="28" spans="1:11" x14ac:dyDescent="0.2">
      <c r="A28" s="850" t="s">
        <v>2221</v>
      </c>
      <c r="B28" s="872"/>
      <c r="C28" s="872"/>
      <c r="D28" s="872"/>
      <c r="E28" s="872"/>
      <c r="F28" s="872"/>
      <c r="G28" s="872"/>
      <c r="H28" s="873"/>
      <c r="I28" s="241">
        <f>SUM(H23:H27)</f>
        <v>40308.619999999995</v>
      </c>
    </row>
    <row r="29" spans="1:11" x14ac:dyDescent="0.2">
      <c r="A29" s="76"/>
      <c r="B29" s="27"/>
      <c r="C29" s="27"/>
      <c r="D29" s="27"/>
      <c r="E29" s="27"/>
      <c r="F29" s="27"/>
      <c r="G29" s="27"/>
      <c r="H29" s="27"/>
      <c r="I29" s="64"/>
    </row>
    <row r="30" spans="1:11" x14ac:dyDescent="0.2">
      <c r="A30" s="875" t="s">
        <v>2222</v>
      </c>
      <c r="B30" s="876"/>
      <c r="C30" s="876"/>
      <c r="D30" s="876"/>
      <c r="E30" s="876"/>
      <c r="F30" s="876"/>
      <c r="G30" s="876"/>
      <c r="H30" s="876"/>
      <c r="I30" s="877"/>
    </row>
    <row r="31" spans="1:11" s="9" customFormat="1" ht="25.5" x14ac:dyDescent="0.2">
      <c r="A31" s="250" t="s">
        <v>26</v>
      </c>
      <c r="B31" s="251"/>
      <c r="C31" s="252"/>
      <c r="D31" s="253" t="s">
        <v>2223</v>
      </c>
      <c r="E31" s="254"/>
      <c r="F31" s="881" t="s">
        <v>2224</v>
      </c>
      <c r="G31" s="881" t="s">
        <v>2225</v>
      </c>
      <c r="H31" s="257" t="s">
        <v>2216</v>
      </c>
      <c r="I31" s="72"/>
    </row>
    <row r="32" spans="1:11" x14ac:dyDescent="0.2">
      <c r="A32" s="890"/>
      <c r="B32" s="1105" t="s">
        <v>2226</v>
      </c>
      <c r="C32" s="1104"/>
      <c r="D32" s="46"/>
      <c r="E32" s="47"/>
      <c r="F32" s="15"/>
      <c r="G32" s="12"/>
      <c r="H32" s="8"/>
      <c r="I32" s="343"/>
    </row>
    <row r="33" spans="1:9" x14ac:dyDescent="0.2">
      <c r="A33" s="1215"/>
      <c r="B33" s="1216"/>
      <c r="C33" s="1217"/>
      <c r="D33" s="46"/>
      <c r="E33" s="47"/>
      <c r="F33" s="15"/>
      <c r="G33" s="12"/>
      <c r="H33" s="8"/>
      <c r="I33" s="344"/>
    </row>
    <row r="34" spans="1:9" x14ac:dyDescent="0.2">
      <c r="A34" s="1215"/>
      <c r="B34" s="1216"/>
      <c r="C34" s="1217"/>
      <c r="D34" s="46"/>
      <c r="E34" s="47"/>
      <c r="F34" s="15"/>
      <c r="G34" s="12"/>
      <c r="H34" s="8"/>
      <c r="I34" s="344"/>
    </row>
    <row r="35" spans="1:9" x14ac:dyDescent="0.2">
      <c r="A35" s="1215"/>
      <c r="B35" s="1216"/>
      <c r="C35" s="1217"/>
      <c r="D35" s="46"/>
      <c r="E35" s="47"/>
      <c r="F35" s="15"/>
      <c r="G35" s="12"/>
      <c r="H35" s="8"/>
      <c r="I35" s="345"/>
    </row>
    <row r="36" spans="1:9" x14ac:dyDescent="0.2">
      <c r="A36" s="871"/>
      <c r="B36" s="1105" t="s">
        <v>2227</v>
      </c>
      <c r="C36" s="1104"/>
      <c r="D36" s="46"/>
      <c r="E36" s="47"/>
      <c r="F36" s="15"/>
      <c r="G36" s="12"/>
      <c r="H36" s="8"/>
      <c r="I36" s="343"/>
    </row>
    <row r="37" spans="1:9" x14ac:dyDescent="0.2">
      <c r="A37" s="1215"/>
      <c r="B37" s="1216"/>
      <c r="C37" s="1217"/>
      <c r="D37" s="46"/>
      <c r="E37" s="47"/>
      <c r="F37" s="15"/>
      <c r="G37" s="12"/>
      <c r="H37" s="8"/>
      <c r="I37" s="344"/>
    </row>
    <row r="38" spans="1:9" x14ac:dyDescent="0.2">
      <c r="A38" s="1215"/>
      <c r="B38" s="1216"/>
      <c r="C38" s="1217"/>
      <c r="D38" s="46"/>
      <c r="E38" s="47"/>
      <c r="F38" s="15"/>
      <c r="G38" s="12"/>
      <c r="H38" s="8"/>
      <c r="I38" s="73"/>
    </row>
    <row r="39" spans="1:9" x14ac:dyDescent="0.2">
      <c r="A39" s="1084" t="s">
        <v>2228</v>
      </c>
      <c r="B39" s="1216"/>
      <c r="C39" s="1216"/>
      <c r="D39" s="1216"/>
      <c r="E39" s="1216"/>
      <c r="F39" s="1216"/>
      <c r="G39" s="1216"/>
      <c r="H39" s="1217"/>
      <c r="I39" s="241"/>
    </row>
    <row r="40" spans="1:9" x14ac:dyDescent="0.2">
      <c r="A40" s="1086"/>
      <c r="B40" s="1087"/>
      <c r="C40" s="1087"/>
      <c r="D40" s="1087"/>
      <c r="E40" s="1087"/>
      <c r="F40" s="1087"/>
      <c r="G40" s="1087"/>
      <c r="H40" s="1087"/>
      <c r="I40" s="1088"/>
    </row>
    <row r="41" spans="1:9" x14ac:dyDescent="0.2">
      <c r="A41" s="1200" t="s">
        <v>554</v>
      </c>
      <c r="B41" s="1201"/>
      <c r="C41" s="1201"/>
      <c r="D41" s="1201"/>
      <c r="E41" s="1201"/>
      <c r="F41" s="1201"/>
      <c r="G41" s="1201"/>
      <c r="H41" s="1201"/>
      <c r="I41" s="1202"/>
    </row>
    <row r="42" spans="1:9" s="9" customFormat="1" ht="25.5" x14ac:dyDescent="0.2">
      <c r="A42" s="1229" t="s">
        <v>2229</v>
      </c>
      <c r="B42" s="1230"/>
      <c r="C42" s="1231"/>
      <c r="D42" s="1223" t="s">
        <v>2230</v>
      </c>
      <c r="E42" s="1224"/>
      <c r="F42" s="1223" t="s">
        <v>2218</v>
      </c>
      <c r="G42" s="1224"/>
      <c r="H42" s="257" t="s">
        <v>2216</v>
      </c>
      <c r="I42" s="72"/>
    </row>
    <row r="43" spans="1:9" x14ac:dyDescent="0.2">
      <c r="A43" s="1215" t="s">
        <v>49</v>
      </c>
      <c r="B43" s="1216"/>
      <c r="C43" s="1217"/>
      <c r="D43" s="1225">
        <f>IF(A43&lt;&gt;0,VLOOKUP(A43,Cuadrillas,7,FALSE),$J$1)</f>
        <v>432095.84</v>
      </c>
      <c r="E43" s="1226"/>
      <c r="F43" s="1221">
        <v>0.15</v>
      </c>
      <c r="G43" s="1222"/>
      <c r="H43" s="8">
        <f>IF(A43&lt;&gt;0,ROUND(D43/F43,2),$J$1)</f>
        <v>2880638.93</v>
      </c>
      <c r="I43" s="69"/>
    </row>
    <row r="44" spans="1:9" x14ac:dyDescent="0.2">
      <c r="A44" s="1215"/>
      <c r="B44" s="1216"/>
      <c r="C44" s="1217"/>
      <c r="D44" s="1225"/>
      <c r="E44" s="1226"/>
      <c r="F44" s="1221"/>
      <c r="G44" s="1222"/>
      <c r="H44" s="8"/>
      <c r="I44" s="69"/>
    </row>
    <row r="45" spans="1:9" x14ac:dyDescent="0.2">
      <c r="A45" s="1215"/>
      <c r="B45" s="1216"/>
      <c r="C45" s="1217"/>
      <c r="D45" s="1225"/>
      <c r="E45" s="1226"/>
      <c r="F45" s="1221"/>
      <c r="G45" s="1222"/>
      <c r="H45" s="8"/>
      <c r="I45" s="69"/>
    </row>
    <row r="46" spans="1:9" x14ac:dyDescent="0.2">
      <c r="A46" s="1215"/>
      <c r="B46" s="1216"/>
      <c r="C46" s="1217"/>
      <c r="D46" s="1225"/>
      <c r="E46" s="1226"/>
      <c r="F46" s="1221"/>
      <c r="G46" s="1222"/>
      <c r="H46" s="8"/>
      <c r="I46" s="69"/>
    </row>
    <row r="47" spans="1:9" x14ac:dyDescent="0.2">
      <c r="A47" s="1215"/>
      <c r="B47" s="1216"/>
      <c r="C47" s="1217"/>
      <c r="D47" s="1225"/>
      <c r="E47" s="1226"/>
      <c r="F47" s="1221"/>
      <c r="G47" s="1222"/>
      <c r="H47" s="8"/>
      <c r="I47" s="73"/>
    </row>
    <row r="48" spans="1:9" x14ac:dyDescent="0.2">
      <c r="A48" s="1084" t="s">
        <v>2231</v>
      </c>
      <c r="B48" s="1085"/>
      <c r="C48" s="1085"/>
      <c r="D48" s="1085"/>
      <c r="E48" s="1085"/>
      <c r="F48" s="1085"/>
      <c r="G48" s="1085"/>
      <c r="H48" s="1133"/>
      <c r="I48" s="240">
        <f>SUM(H43:H47)</f>
        <v>2880638.93</v>
      </c>
    </row>
    <row r="49" spans="1:11" x14ac:dyDescent="0.2">
      <c r="A49" s="1086"/>
      <c r="B49" s="1087"/>
      <c r="C49" s="1087"/>
      <c r="D49" s="1087"/>
      <c r="E49" s="1087"/>
      <c r="F49" s="1087"/>
      <c r="G49" s="1087"/>
      <c r="H49" s="1087"/>
      <c r="I49" s="1088"/>
    </row>
    <row r="50" spans="1:11" x14ac:dyDescent="0.2">
      <c r="A50" s="1089" t="s">
        <v>2232</v>
      </c>
      <c r="B50" s="1090"/>
      <c r="C50" s="1090"/>
      <c r="D50" s="1090"/>
      <c r="E50" s="1090"/>
      <c r="F50" s="1090"/>
      <c r="G50" s="1090"/>
      <c r="H50" s="1090"/>
      <c r="I50" s="237" t="e">
        <f>I19+I28+I39</f>
        <v>#REF!</v>
      </c>
    </row>
    <row r="51" spans="1:11" ht="13.5" thickBot="1" x14ac:dyDescent="0.25">
      <c r="A51" s="1193" t="s">
        <v>2233</v>
      </c>
      <c r="B51" s="1194"/>
      <c r="C51" s="1194"/>
      <c r="D51" s="1194"/>
      <c r="E51" s="1194"/>
      <c r="F51" s="1194"/>
      <c r="G51" s="1194"/>
      <c r="H51" s="1194"/>
      <c r="I51" s="238">
        <f>I48</f>
        <v>2880638.93</v>
      </c>
    </row>
    <row r="52" spans="1:11" s="9" customFormat="1" ht="25.5" customHeight="1" thickTop="1" thickBot="1" x14ac:dyDescent="0.25">
      <c r="A52" s="1195" t="s">
        <v>2234</v>
      </c>
      <c r="B52" s="1196"/>
      <c r="C52" s="1196"/>
      <c r="D52" s="1196"/>
      <c r="E52" s="1196"/>
      <c r="F52" s="1196"/>
      <c r="G52" s="1196"/>
      <c r="H52" s="258"/>
      <c r="I52" s="239" t="e">
        <f>ROUND(I50+I51,0)</f>
        <v>#REF!</v>
      </c>
    </row>
    <row r="53" spans="1:11" s="9" customFormat="1" ht="25.5" customHeight="1" thickTop="1" thickBot="1" x14ac:dyDescent="0.25">
      <c r="A53" s="1095" t="s">
        <v>10</v>
      </c>
      <c r="B53" s="1096"/>
      <c r="C53" s="1232"/>
      <c r="D53" s="1097">
        <f>+'Datos entrada'!B7</f>
        <v>0.3</v>
      </c>
      <c r="E53" s="1098"/>
      <c r="F53" s="1233" t="e">
        <f>I52*D53</f>
        <v>#REF!</v>
      </c>
      <c r="G53" s="1099"/>
      <c r="H53" s="1099"/>
      <c r="I53" s="1100"/>
      <c r="K53" s="9" t="s">
        <v>2235</v>
      </c>
    </row>
    <row r="54" spans="1:11" s="9" customFormat="1" ht="25.5" customHeight="1" thickTop="1" thickBot="1" x14ac:dyDescent="0.25">
      <c r="A54" s="1095" t="s">
        <v>2236</v>
      </c>
      <c r="B54" s="1096"/>
      <c r="C54" s="1096"/>
      <c r="D54" s="1096"/>
      <c r="E54" s="1096"/>
      <c r="F54" s="1096"/>
      <c r="G54" s="1096"/>
      <c r="H54" s="1191" t="e">
        <f>I52+F53</f>
        <v>#REF!</v>
      </c>
      <c r="I54" s="1192"/>
    </row>
    <row r="55" spans="1:11" ht="13.5" thickTop="1" x14ac:dyDescent="0.2"/>
  </sheetData>
  <customSheetViews>
    <customSheetView guid="{93F324B6-F965-4669-93FF-DBB148734A46}" fitToPage="1" topLeftCell="A37">
      <selection activeCell="L4" sqref="L4"/>
      <pageMargins left="0" right="0" top="0" bottom="0" header="0" footer="0"/>
      <printOptions horizontalCentered="1" verticalCentered="1"/>
      <pageSetup scale="75" orientation="portrait" blackAndWhite="1" errors="blank" r:id="rId1"/>
      <headerFooter alignWithMargins="0">
        <oddFooter xml:space="preserve">&amp;C  </oddFooter>
      </headerFooter>
    </customSheetView>
  </customSheetViews>
  <mergeCells count="53">
    <mergeCell ref="A4:E4"/>
    <mergeCell ref="A1:C1"/>
    <mergeCell ref="B32:C32"/>
    <mergeCell ref="B36:C36"/>
    <mergeCell ref="H1:I1"/>
    <mergeCell ref="C5:I5"/>
    <mergeCell ref="A24:C24"/>
    <mergeCell ref="A9:C9"/>
    <mergeCell ref="A8:C8"/>
    <mergeCell ref="A25:C25"/>
    <mergeCell ref="A10:C10"/>
    <mergeCell ref="A11:C11"/>
    <mergeCell ref="A12:C12"/>
    <mergeCell ref="A26:C26"/>
    <mergeCell ref="A27:C27"/>
    <mergeCell ref="A13:C13"/>
    <mergeCell ref="A46:C46"/>
    <mergeCell ref="F46:G46"/>
    <mergeCell ref="A41:I41"/>
    <mergeCell ref="F44:G44"/>
    <mergeCell ref="D45:E45"/>
    <mergeCell ref="D46:E46"/>
    <mergeCell ref="A45:C45"/>
    <mergeCell ref="F43:G43"/>
    <mergeCell ref="F42:G42"/>
    <mergeCell ref="F45:G45"/>
    <mergeCell ref="D42:E42"/>
    <mergeCell ref="D43:E43"/>
    <mergeCell ref="A42:C42"/>
    <mergeCell ref="A44:C44"/>
    <mergeCell ref="D44:E44"/>
    <mergeCell ref="A43:C43"/>
    <mergeCell ref="A23:C23"/>
    <mergeCell ref="A54:G54"/>
    <mergeCell ref="H54:I54"/>
    <mergeCell ref="A53:C53"/>
    <mergeCell ref="A47:C47"/>
    <mergeCell ref="A50:H50"/>
    <mergeCell ref="A49:I49"/>
    <mergeCell ref="A48:H48"/>
    <mergeCell ref="A52:G52"/>
    <mergeCell ref="F47:G47"/>
    <mergeCell ref="D53:E53"/>
    <mergeCell ref="F53:I53"/>
    <mergeCell ref="A51:H51"/>
    <mergeCell ref="D47:E47"/>
    <mergeCell ref="A39:H39"/>
    <mergeCell ref="A40:I40"/>
    <mergeCell ref="A33:C33"/>
    <mergeCell ref="A34:C34"/>
    <mergeCell ref="A35:C35"/>
    <mergeCell ref="A37:C37"/>
    <mergeCell ref="A38:C38"/>
  </mergeCells>
  <phoneticPr fontId="0" type="noConversion"/>
  <dataValidations count="5">
    <dataValidation type="list" allowBlank="1" showInputMessage="1" showErrorMessage="1" sqref="A9:A18 B14:C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43:C47">
      <formula1>Descrip_cuadrillas</formula1>
    </dataValidation>
    <dataValidation type="list" allowBlank="1" showInputMessage="1" showErrorMessage="1" sqref="A32:A38">
      <formula1>Descrip_transporte</formula1>
    </dataValidation>
    <dataValidation type="list" allowBlank="1" showInputMessage="1" showErrorMessage="1" sqref="A23:A27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2" orientation="portrait" blackAndWhite="1" errors="blank" r:id="rId2"/>
  <headerFooter alignWithMargins="0">
    <oddFooter xml:space="preserve">&amp;C  </oddFooter>
  </headerFooter>
  <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5">
    <tabColor rgb="FFBBF4F5"/>
    <pageSetUpPr fitToPage="1"/>
  </sheetPr>
  <dimension ref="A1:K55"/>
  <sheetViews>
    <sheetView workbookViewId="0">
      <selection activeCell="E11" sqref="E1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7" si="0">IF(A8&lt;&gt;0,VLOOKUP(A8,Materiales,2,FALSE),$J$1)</f>
        <v>#REF!</v>
      </c>
      <c r="E8" s="12">
        <v>0.25</v>
      </c>
      <c r="F8" s="21" t="e">
        <f>IF(A8&lt;&gt;0,VLOOKUP(A8,Materiales,6,FALSE),$J$1)</f>
        <v>#REF!</v>
      </c>
      <c r="G8" s="22"/>
      <c r="H8" s="8" t="e">
        <f t="shared" ref="H8:H17" si="1">IF(A8&lt;&gt;0,ROUND(E8*F8,2),$J$1)</f>
        <v>#REF!</v>
      </c>
      <c r="I8" s="69"/>
    </row>
    <row r="9" spans="1:10" x14ac:dyDescent="0.2">
      <c r="A9" s="1215" t="s">
        <v>208</v>
      </c>
      <c r="B9" s="1216"/>
      <c r="C9" s="1217"/>
      <c r="D9" s="851" t="e">
        <f t="shared" si="0"/>
        <v>#REF!</v>
      </c>
      <c r="E9" s="13">
        <v>0.73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 t="s">
        <v>330</v>
      </c>
      <c r="B10" s="1216"/>
      <c r="C10" s="1217"/>
      <c r="D10" s="851" t="e">
        <f t="shared" si="0"/>
        <v>#REF!</v>
      </c>
      <c r="E10" s="161">
        <v>0.2</v>
      </c>
      <c r="F10" s="21" t="e">
        <f>IF(A10&lt;&gt;0,VLOOKUP(A10,Materiales,6,FALSE),$J$1)</f>
        <v>#REF!</v>
      </c>
      <c r="G10" s="22"/>
      <c r="H10" s="8" t="e">
        <f t="shared" si="1"/>
        <v>#REF!</v>
      </c>
      <c r="I10" s="69"/>
    </row>
    <row r="11" spans="1:10" x14ac:dyDescent="0.2">
      <c r="A11" s="1215" t="s">
        <v>362</v>
      </c>
      <c r="B11" s="1216"/>
      <c r="C11" s="1217"/>
      <c r="D11" s="851" t="e">
        <f t="shared" si="0"/>
        <v>#REF!</v>
      </c>
      <c r="E11" s="12">
        <v>0.1</v>
      </c>
      <c r="F11" s="21" t="e">
        <f>IF(A11&lt;&gt;0,VLOOKUP(A11,Materiales,6,FALSE),$J$1)</f>
        <v>#REF!</v>
      </c>
      <c r="G11" s="22"/>
      <c r="H11" s="8" t="e">
        <f t="shared" si="1"/>
        <v>#REF!</v>
      </c>
      <c r="I11" s="69"/>
    </row>
    <row r="12" spans="1:10" x14ac:dyDescent="0.2">
      <c r="A12" s="1215" t="s">
        <v>242</v>
      </c>
      <c r="B12" s="1216"/>
      <c r="C12" s="1217"/>
      <c r="D12" s="851" t="e">
        <f t="shared" si="0"/>
        <v>#REF!</v>
      </c>
      <c r="E12" s="12">
        <v>0.25</v>
      </c>
      <c r="F12" s="21" t="e">
        <f>IF(A12&lt;&gt;0,VLOOKUP(A12,Materiales,6,FALSE),$J$1)</f>
        <v>#REF!</v>
      </c>
      <c r="G12" s="22"/>
      <c r="H12" s="8" t="e">
        <f t="shared" si="1"/>
        <v>#REF!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>IF(A13&lt;&gt;0,VLOOKUP(A13,Materiales,5,FALSE),$J$1)</f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>IF(A14&lt;&gt;0,VLOOKUP(A14,Materiales,5,FALSE),$J$1)</f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>IF(A15&lt;&gt;0,VLOOKUP(A15,Materiales,5,FALSE),$J$1)</f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>IF(A16&lt;&gt;0,VLOOKUP(A16,Materiales,5,FALSE),$J$1)</f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>IF(A17&lt;&gt;0,VLOOKUP(A17,Materiales,5,FALSE),$J$1)</f>
        <v>-</v>
      </c>
      <c r="G17" s="22"/>
      <c r="H17" s="8" t="str">
        <f t="shared" si="1"/>
        <v>-</v>
      </c>
      <c r="I17" s="73"/>
    </row>
    <row r="18" spans="1:9" x14ac:dyDescent="0.2">
      <c r="A18" s="850" t="s">
        <v>2217</v>
      </c>
      <c r="B18" s="872"/>
      <c r="C18" s="872"/>
      <c r="D18" s="872"/>
      <c r="E18" s="872"/>
      <c r="F18" s="872"/>
      <c r="G18" s="872"/>
      <c r="H18" s="873"/>
      <c r="I18" s="241" t="e">
        <f>SUM(H8:H17)</f>
        <v>#REF!</v>
      </c>
    </row>
    <row r="19" spans="1:9" x14ac:dyDescent="0.2">
      <c r="A19" s="76"/>
      <c r="B19" s="27"/>
      <c r="C19" s="27"/>
      <c r="D19" s="27"/>
      <c r="E19" s="27"/>
      <c r="F19" s="27"/>
      <c r="G19" s="27"/>
      <c r="H19" s="27"/>
      <c r="I19" s="64"/>
    </row>
    <row r="20" spans="1:9" x14ac:dyDescent="0.2">
      <c r="A20" s="875" t="s">
        <v>454</v>
      </c>
      <c r="B20" s="876"/>
      <c r="C20" s="876"/>
      <c r="D20" s="876"/>
      <c r="E20" s="876"/>
      <c r="F20" s="876"/>
      <c r="G20" s="876"/>
      <c r="H20" s="876"/>
      <c r="I20" s="877"/>
    </row>
    <row r="21" spans="1:9" s="9" customFormat="1" ht="25.5" x14ac:dyDescent="0.2">
      <c r="A21" s="255" t="s">
        <v>26</v>
      </c>
      <c r="B21" s="256"/>
      <c r="C21" s="254"/>
      <c r="D21" s="253" t="s">
        <v>2218</v>
      </c>
      <c r="E21" s="254"/>
      <c r="F21" s="235" t="s">
        <v>2219</v>
      </c>
      <c r="G21" s="881" t="s">
        <v>2220</v>
      </c>
      <c r="H21" s="257" t="s">
        <v>2216</v>
      </c>
      <c r="I21" s="72"/>
    </row>
    <row r="22" spans="1:9" x14ac:dyDescent="0.2">
      <c r="A22" s="859" t="s">
        <v>477</v>
      </c>
      <c r="B22" s="860"/>
      <c r="C22" s="861"/>
      <c r="D22" s="26">
        <v>14</v>
      </c>
      <c r="E22" s="28"/>
      <c r="F22" s="12">
        <f t="shared" ref="F22:F27" si="2">IF(A22&lt;&gt;0,VLOOKUP(A22,Equipos,6,FALSE),$J$1)</f>
        <v>3710</v>
      </c>
      <c r="G22" s="14">
        <v>0.5</v>
      </c>
      <c r="H22" s="8">
        <f>IF(A22&lt;&gt;0,ROUND((F22/D22)*G22,2),$J$1)</f>
        <v>132.5</v>
      </c>
      <c r="I22" s="69"/>
    </row>
    <row r="23" spans="1:9" s="10" customFormat="1" ht="25.5" customHeight="1" x14ac:dyDescent="0.2">
      <c r="A23" s="1303" t="s">
        <v>505</v>
      </c>
      <c r="B23" s="1304"/>
      <c r="C23" s="1305"/>
      <c r="D23" s="513">
        <v>30</v>
      </c>
      <c r="E23" s="514"/>
      <c r="F23" s="515">
        <f t="shared" si="2"/>
        <v>1060</v>
      </c>
      <c r="G23" s="516">
        <v>0.28000000000000003</v>
      </c>
      <c r="H23" s="842">
        <f>IF(A23&lt;&gt;0,ROUND((F23*D23)*G23,2),$J$1)</f>
        <v>8904</v>
      </c>
      <c r="I23" s="518"/>
    </row>
    <row r="24" spans="1:9" x14ac:dyDescent="0.2">
      <c r="A24" s="1122" t="s">
        <v>503</v>
      </c>
      <c r="B24" s="1123"/>
      <c r="C24" s="1124"/>
      <c r="D24" s="26">
        <v>0.5</v>
      </c>
      <c r="E24" s="28"/>
      <c r="F24" s="12">
        <f t="shared" si="2"/>
        <v>3180</v>
      </c>
      <c r="G24" s="14">
        <v>7.0000000000000007E-2</v>
      </c>
      <c r="H24" s="8">
        <f>IF(A24&lt;&gt;0,ROUND((F24/D24)*G24,2),$J$1)</f>
        <v>445.2</v>
      </c>
      <c r="I24" s="69"/>
    </row>
    <row r="25" spans="1:9" x14ac:dyDescent="0.2">
      <c r="A25" s="1122" t="s">
        <v>497</v>
      </c>
      <c r="B25" s="1123"/>
      <c r="C25" s="1124"/>
      <c r="D25" s="451">
        <v>4</v>
      </c>
      <c r="E25" s="28"/>
      <c r="F25" s="12">
        <f t="shared" si="2"/>
        <v>42400</v>
      </c>
      <c r="G25" s="14">
        <v>0.04</v>
      </c>
      <c r="H25" s="8">
        <f>IF(A25&lt;&gt;0,ROUND((F25*D25)*G25,2),$J$1)</f>
        <v>6784</v>
      </c>
      <c r="I25" s="69"/>
    </row>
    <row r="26" spans="1:9" s="10" customFormat="1" ht="24.75" customHeight="1" x14ac:dyDescent="0.2">
      <c r="A26" s="1303" t="s">
        <v>501</v>
      </c>
      <c r="B26" s="1304"/>
      <c r="C26" s="1305"/>
      <c r="D26" s="517">
        <v>2.5000000000000001E-2</v>
      </c>
      <c r="E26" s="514"/>
      <c r="F26" s="515">
        <f t="shared" si="2"/>
        <v>71653.98</v>
      </c>
      <c r="G26" s="516">
        <v>0.25</v>
      </c>
      <c r="H26" s="842">
        <f>IF(A26&lt;&gt;0,ROUND((F26*D26)*G26,2),$J$1)</f>
        <v>447.84</v>
      </c>
      <c r="I26" s="518"/>
    </row>
    <row r="27" spans="1:9" x14ac:dyDescent="0.2">
      <c r="A27" s="1215"/>
      <c r="B27" s="1216"/>
      <c r="C27" s="1217"/>
      <c r="D27" s="26"/>
      <c r="E27" s="28"/>
      <c r="F27" s="12" t="str">
        <f t="shared" si="2"/>
        <v>-</v>
      </c>
      <c r="G27" s="14"/>
      <c r="H27" s="8" t="str">
        <f>IF(A27&lt;&gt;0,ROUND((F27/D27)*G27,2),$J$1)</f>
        <v>-</v>
      </c>
      <c r="I27" s="73"/>
    </row>
    <row r="28" spans="1:9" x14ac:dyDescent="0.2">
      <c r="A28" s="850" t="s">
        <v>2221</v>
      </c>
      <c r="B28" s="872"/>
      <c r="C28" s="872"/>
      <c r="D28" s="872"/>
      <c r="E28" s="872"/>
      <c r="F28" s="872"/>
      <c r="G28" s="872"/>
      <c r="H28" s="873"/>
      <c r="I28" s="241">
        <f>SUM(H22:H27)</f>
        <v>16713.54</v>
      </c>
    </row>
    <row r="29" spans="1:9" x14ac:dyDescent="0.2">
      <c r="A29" s="76"/>
      <c r="B29" s="27"/>
      <c r="C29" s="27"/>
      <c r="D29" s="27"/>
      <c r="E29" s="27"/>
      <c r="F29" s="27"/>
      <c r="G29" s="27"/>
      <c r="H29" s="27"/>
      <c r="I29" s="64"/>
    </row>
    <row r="30" spans="1:9" x14ac:dyDescent="0.2">
      <c r="A30" s="875" t="s">
        <v>2222</v>
      </c>
      <c r="B30" s="876"/>
      <c r="C30" s="876"/>
      <c r="D30" s="876"/>
      <c r="E30" s="876"/>
      <c r="F30" s="876"/>
      <c r="G30" s="876"/>
      <c r="H30" s="876"/>
      <c r="I30" s="877"/>
    </row>
    <row r="31" spans="1:9" s="9" customFormat="1" ht="25.5" x14ac:dyDescent="0.2">
      <c r="A31" s="250" t="s">
        <v>26</v>
      </c>
      <c r="B31" s="251"/>
      <c r="C31" s="252"/>
      <c r="D31" s="253" t="s">
        <v>2223</v>
      </c>
      <c r="E31" s="254"/>
      <c r="F31" s="881" t="s">
        <v>2224</v>
      </c>
      <c r="G31" s="881" t="s">
        <v>2225</v>
      </c>
      <c r="H31" s="257" t="s">
        <v>2216</v>
      </c>
      <c r="I31" s="72"/>
    </row>
    <row r="32" spans="1:9" x14ac:dyDescent="0.2">
      <c r="A32" s="890"/>
      <c r="B32" s="1105" t="s">
        <v>2226</v>
      </c>
      <c r="C32" s="1104"/>
      <c r="D32" s="46"/>
      <c r="E32" s="47"/>
      <c r="F32" s="15"/>
      <c r="G32" s="12"/>
      <c r="H32" s="8"/>
      <c r="I32" s="343">
        <f>SUM(H33:H35)</f>
        <v>0</v>
      </c>
    </row>
    <row r="33" spans="1:9" x14ac:dyDescent="0.2">
      <c r="A33" s="1215"/>
      <c r="B33" s="1216"/>
      <c r="C33" s="1217"/>
      <c r="D33" s="46" t="str">
        <f>IF(A33&lt;&gt;0,VLOOKUP(A33,Transporte,8,FALSE),$J$1)</f>
        <v>-</v>
      </c>
      <c r="E33" s="47"/>
      <c r="F33" s="15" t="str">
        <f t="shared" ref="F33:F38" si="3">IF(A33&lt;&gt;0,VLOOKUP(A33,Transporte,2,FALSE),$J$1)</f>
        <v>-</v>
      </c>
      <c r="G33" s="12"/>
      <c r="H33" s="8" t="str">
        <f t="shared" ref="H33:H38" si="4">IF(A33&lt;&gt;0,D33/F33*G33,$J$1)</f>
        <v>-</v>
      </c>
      <c r="I33" s="344"/>
    </row>
    <row r="34" spans="1:9" x14ac:dyDescent="0.2">
      <c r="A34" s="1215"/>
      <c r="B34" s="1216"/>
      <c r="C34" s="1217"/>
      <c r="D34" s="46" t="str">
        <f>IF(A34&lt;&gt;0,VLOOKUP(A34,Transporte,8,FALSE),$J$1)</f>
        <v>-</v>
      </c>
      <c r="E34" s="47"/>
      <c r="F34" s="15" t="str">
        <f t="shared" si="3"/>
        <v>-</v>
      </c>
      <c r="G34" s="12"/>
      <c r="H34" s="8" t="str">
        <f t="shared" si="4"/>
        <v>-</v>
      </c>
      <c r="I34" s="344"/>
    </row>
    <row r="35" spans="1:9" x14ac:dyDescent="0.2">
      <c r="A35" s="1215"/>
      <c r="B35" s="1216"/>
      <c r="C35" s="1217"/>
      <c r="D35" s="46"/>
      <c r="E35" s="47"/>
      <c r="F35" s="15" t="str">
        <f t="shared" si="3"/>
        <v>-</v>
      </c>
      <c r="G35" s="12"/>
      <c r="H35" s="8" t="str">
        <f t="shared" si="4"/>
        <v>-</v>
      </c>
      <c r="I35" s="345"/>
    </row>
    <row r="36" spans="1:9" x14ac:dyDescent="0.2">
      <c r="A36" s="871"/>
      <c r="B36" s="1105" t="s">
        <v>2227</v>
      </c>
      <c r="C36" s="1104"/>
      <c r="D36" s="46"/>
      <c r="E36" s="47"/>
      <c r="F36" s="15"/>
      <c r="G36" s="12"/>
      <c r="H36" s="8"/>
      <c r="I36" s="343">
        <f>SUM(H37:H38)</f>
        <v>0</v>
      </c>
    </row>
    <row r="37" spans="1:9" x14ac:dyDescent="0.2">
      <c r="A37" s="1215"/>
      <c r="B37" s="1216"/>
      <c r="C37" s="1217"/>
      <c r="D37" s="46"/>
      <c r="E37" s="47"/>
      <c r="F37" s="15" t="str">
        <f t="shared" si="3"/>
        <v>-</v>
      </c>
      <c r="G37" s="12"/>
      <c r="H37" s="8" t="str">
        <f t="shared" si="4"/>
        <v>-</v>
      </c>
      <c r="I37" s="344"/>
    </row>
    <row r="38" spans="1:9" x14ac:dyDescent="0.2">
      <c r="A38" s="1215"/>
      <c r="B38" s="1216"/>
      <c r="C38" s="1217"/>
      <c r="D38" s="46" t="str">
        <f>IF(A27&lt;&gt;0,VLOOKUP(A38,Transporte,8,FALSE),$J$1)</f>
        <v>-</v>
      </c>
      <c r="E38" s="47"/>
      <c r="F38" s="15" t="str">
        <f t="shared" si="3"/>
        <v>-</v>
      </c>
      <c r="G38" s="12"/>
      <c r="H38" s="8" t="str">
        <f t="shared" si="4"/>
        <v>-</v>
      </c>
      <c r="I38" s="73"/>
    </row>
    <row r="39" spans="1:9" x14ac:dyDescent="0.2">
      <c r="A39" s="1084" t="s">
        <v>2228</v>
      </c>
      <c r="B39" s="1216"/>
      <c r="C39" s="1216"/>
      <c r="D39" s="1216"/>
      <c r="E39" s="1216"/>
      <c r="F39" s="1216"/>
      <c r="G39" s="1216"/>
      <c r="H39" s="1217"/>
      <c r="I39" s="241">
        <f>SUM(I32:I38)</f>
        <v>0</v>
      </c>
    </row>
    <row r="40" spans="1:9" x14ac:dyDescent="0.2">
      <c r="A40" s="1086"/>
      <c r="B40" s="1087"/>
      <c r="C40" s="1087"/>
      <c r="D40" s="1087"/>
      <c r="E40" s="1087"/>
      <c r="F40" s="1087"/>
      <c r="G40" s="1087"/>
      <c r="H40" s="1087"/>
      <c r="I40" s="1088"/>
    </row>
    <row r="41" spans="1:9" x14ac:dyDescent="0.2">
      <c r="A41" s="1200" t="s">
        <v>554</v>
      </c>
      <c r="B41" s="1201"/>
      <c r="C41" s="1201"/>
      <c r="D41" s="1201"/>
      <c r="E41" s="1201"/>
      <c r="F41" s="1201"/>
      <c r="G41" s="1201"/>
      <c r="H41" s="1201"/>
      <c r="I41" s="1202"/>
    </row>
    <row r="42" spans="1:9" s="9" customFormat="1" ht="25.5" x14ac:dyDescent="0.2">
      <c r="A42" s="1229" t="s">
        <v>2229</v>
      </c>
      <c r="B42" s="1230"/>
      <c r="C42" s="1231"/>
      <c r="D42" s="1223" t="s">
        <v>2230</v>
      </c>
      <c r="E42" s="1224"/>
      <c r="F42" s="1223" t="s">
        <v>2218</v>
      </c>
      <c r="G42" s="1224"/>
      <c r="H42" s="257" t="s">
        <v>2216</v>
      </c>
      <c r="I42" s="72"/>
    </row>
    <row r="43" spans="1:9" x14ac:dyDescent="0.2">
      <c r="A43" s="1215" t="s">
        <v>49</v>
      </c>
      <c r="B43" s="1216"/>
      <c r="C43" s="1217"/>
      <c r="D43" s="1225">
        <f>IF(A43&lt;&gt;0,VLOOKUP(A43,Cuadrillas,7,FALSE),$J$1)</f>
        <v>432095.84</v>
      </c>
      <c r="E43" s="1226"/>
      <c r="F43" s="1221">
        <v>11.8</v>
      </c>
      <c r="G43" s="1222"/>
      <c r="H43" s="8">
        <f>IF(A43&lt;&gt;0,ROUND(D43/F43,2),$J$1)</f>
        <v>36618.29</v>
      </c>
      <c r="I43" s="69"/>
    </row>
    <row r="44" spans="1:9" x14ac:dyDescent="0.2">
      <c r="A44" s="1215"/>
      <c r="B44" s="1216"/>
      <c r="C44" s="1217"/>
      <c r="D44" s="1225" t="str">
        <f>IF(A44&lt;&gt;0,VLOOKUP(A44,Cuadrillas,7,FALSE),$J$1)</f>
        <v>-</v>
      </c>
      <c r="E44" s="1226"/>
      <c r="F44" s="1221"/>
      <c r="G44" s="1222"/>
      <c r="H44" s="8" t="str">
        <f>IF(A44&lt;&gt;0,ROUND(D44/F44,2),$J$1)</f>
        <v>-</v>
      </c>
      <c r="I44" s="69"/>
    </row>
    <row r="45" spans="1:9" x14ac:dyDescent="0.2">
      <c r="A45" s="1215"/>
      <c r="B45" s="1216"/>
      <c r="C45" s="1217"/>
      <c r="D45" s="1225" t="str">
        <f>IF(A45&lt;&gt;0,VLOOKUP(A45,Cuadrillas,7,FALSE),$J$1)</f>
        <v>-</v>
      </c>
      <c r="E45" s="1226"/>
      <c r="F45" s="1221"/>
      <c r="G45" s="1222"/>
      <c r="H45" s="8" t="str">
        <f>IF(A45&lt;&gt;0,ROUND(D45/F45,2),$J$1)</f>
        <v>-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73"/>
    </row>
    <row r="48" spans="1:9" x14ac:dyDescent="0.2">
      <c r="A48" s="1084" t="s">
        <v>2231</v>
      </c>
      <c r="B48" s="1085"/>
      <c r="C48" s="1085"/>
      <c r="D48" s="1085"/>
      <c r="E48" s="1085"/>
      <c r="F48" s="1085"/>
      <c r="G48" s="1085"/>
      <c r="H48" s="1133"/>
      <c r="I48" s="240">
        <f>SUM(H43:H47)</f>
        <v>36618.29</v>
      </c>
    </row>
    <row r="49" spans="1:11" x14ac:dyDescent="0.2">
      <c r="A49" s="1086"/>
      <c r="B49" s="1087"/>
      <c r="C49" s="1087"/>
      <c r="D49" s="1087"/>
      <c r="E49" s="1087"/>
      <c r="F49" s="1087"/>
      <c r="G49" s="1087"/>
      <c r="H49" s="1087"/>
      <c r="I49" s="1088"/>
    </row>
    <row r="50" spans="1:11" x14ac:dyDescent="0.2">
      <c r="A50" s="1089" t="s">
        <v>2232</v>
      </c>
      <c r="B50" s="1090"/>
      <c r="C50" s="1090"/>
      <c r="D50" s="1090"/>
      <c r="E50" s="1090"/>
      <c r="F50" s="1090"/>
      <c r="G50" s="1090"/>
      <c r="H50" s="1090"/>
      <c r="I50" s="237" t="e">
        <f>I18+I28+I39</f>
        <v>#REF!</v>
      </c>
    </row>
    <row r="51" spans="1:11" ht="13.5" thickBot="1" x14ac:dyDescent="0.25">
      <c r="A51" s="1193" t="s">
        <v>2233</v>
      </c>
      <c r="B51" s="1194"/>
      <c r="C51" s="1194"/>
      <c r="D51" s="1194"/>
      <c r="E51" s="1194"/>
      <c r="F51" s="1194"/>
      <c r="G51" s="1194"/>
      <c r="H51" s="1194"/>
      <c r="I51" s="238">
        <f>I48</f>
        <v>36618.29</v>
      </c>
    </row>
    <row r="52" spans="1:11" s="9" customFormat="1" ht="25.5" customHeight="1" thickTop="1" thickBot="1" x14ac:dyDescent="0.25">
      <c r="A52" s="1195" t="s">
        <v>2234</v>
      </c>
      <c r="B52" s="1196"/>
      <c r="C52" s="1196"/>
      <c r="D52" s="1196"/>
      <c r="E52" s="1196"/>
      <c r="F52" s="1196"/>
      <c r="G52" s="1196"/>
      <c r="H52" s="258"/>
      <c r="I52" s="239" t="e">
        <f>I50+I51</f>
        <v>#REF!</v>
      </c>
    </row>
    <row r="53" spans="1:11" s="9" customFormat="1" ht="25.5" customHeight="1" thickTop="1" thickBot="1" x14ac:dyDescent="0.25">
      <c r="A53" s="1095" t="s">
        <v>10</v>
      </c>
      <c r="B53" s="1096"/>
      <c r="C53" s="1232"/>
      <c r="D53" s="1097">
        <f>+'Datos entrada'!B7</f>
        <v>0.3</v>
      </c>
      <c r="E53" s="1098"/>
      <c r="F53" s="1233" t="e">
        <f>I52*D53</f>
        <v>#REF!</v>
      </c>
      <c r="G53" s="1099"/>
      <c r="H53" s="1099"/>
      <c r="I53" s="1100"/>
    </row>
    <row r="54" spans="1:11" s="9" customFormat="1" ht="25.5" customHeight="1" thickTop="1" thickBot="1" x14ac:dyDescent="0.25">
      <c r="A54" s="1095" t="s">
        <v>2236</v>
      </c>
      <c r="B54" s="1096"/>
      <c r="C54" s="1096"/>
      <c r="D54" s="1096"/>
      <c r="E54" s="1096"/>
      <c r="F54" s="1096"/>
      <c r="G54" s="1096"/>
      <c r="H54" s="1191" t="e">
        <f>I52+F53</f>
        <v>#REF!</v>
      </c>
      <c r="I54" s="1192"/>
    </row>
    <row r="55" spans="1:11" ht="13.5" thickTop="1" x14ac:dyDescent="0.2">
      <c r="K55" s="1" t="s">
        <v>2235</v>
      </c>
    </row>
  </sheetData>
  <customSheetViews>
    <customSheetView guid="{93F324B6-F965-4669-93FF-DBB148734A46}" fitToPage="1" state="hidden">
      <selection activeCell="E11" sqref="E1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1">
    <mergeCell ref="A54:G54"/>
    <mergeCell ref="H54:I54"/>
    <mergeCell ref="A48:H48"/>
    <mergeCell ref="A49:I49"/>
    <mergeCell ref="A50:H50"/>
    <mergeCell ref="A51:H51"/>
    <mergeCell ref="A52:G52"/>
    <mergeCell ref="A53:C53"/>
    <mergeCell ref="D53:E53"/>
    <mergeCell ref="F53:I53"/>
    <mergeCell ref="A46:C46"/>
    <mergeCell ref="D46:E46"/>
    <mergeCell ref="F46:G46"/>
    <mergeCell ref="A47:C47"/>
    <mergeCell ref="D47:E47"/>
    <mergeCell ref="F47:G47"/>
    <mergeCell ref="A44:C44"/>
    <mergeCell ref="D44:E44"/>
    <mergeCell ref="F44:G44"/>
    <mergeCell ref="A45:C45"/>
    <mergeCell ref="D45:E45"/>
    <mergeCell ref="F45:G45"/>
    <mergeCell ref="A42:C42"/>
    <mergeCell ref="D42:E42"/>
    <mergeCell ref="F42:G42"/>
    <mergeCell ref="A43:C43"/>
    <mergeCell ref="D43:E43"/>
    <mergeCell ref="F43:G43"/>
    <mergeCell ref="A41:I41"/>
    <mergeCell ref="A27:C27"/>
    <mergeCell ref="B32:C32"/>
    <mergeCell ref="A33:C33"/>
    <mergeCell ref="A34:C34"/>
    <mergeCell ref="A35:C35"/>
    <mergeCell ref="B36:C36"/>
    <mergeCell ref="A37:C37"/>
    <mergeCell ref="A38:C38"/>
    <mergeCell ref="A39:H39"/>
    <mergeCell ref="A40:I40"/>
    <mergeCell ref="A26:C26"/>
    <mergeCell ref="A1:C1"/>
    <mergeCell ref="H1:I1"/>
    <mergeCell ref="C5:I5"/>
    <mergeCell ref="A8:C8"/>
    <mergeCell ref="A9:C9"/>
    <mergeCell ref="A10:C10"/>
    <mergeCell ref="A11:C11"/>
    <mergeCell ref="A12:C12"/>
    <mergeCell ref="A23:C23"/>
    <mergeCell ref="A24:C24"/>
    <mergeCell ref="A25:C25"/>
  </mergeCells>
  <dataValidations disablePrompts="1" count="5">
    <dataValidation type="list" allowBlank="1" showInputMessage="1" showErrorMessage="1" sqref="A32:A38">
      <formula1>Descrip_transporte</formula1>
    </dataValidation>
    <dataValidation type="list" allowBlank="1" showInputMessage="1" showErrorMessage="1" sqref="A43:C47">
      <formula1>Descrip_cuadrillas</formula1>
    </dataValidation>
    <dataValidation type="list" allowBlank="1" showInputMessage="1" showErrorMessage="1" sqref="B22:C22 A22:A27">
      <formula1>Descrip_equipos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13:C16 A9:A16 A17:C17">
      <formula1>Descripción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6">
    <tabColor rgb="FFFFFF00"/>
    <pageSetUpPr fitToPage="1"/>
  </sheetPr>
  <dimension ref="A1:P54"/>
  <sheetViews>
    <sheetView view="pageBreakPreview" zoomScaleNormal="100" zoomScaleSheetLayoutView="100" workbookViewId="0">
      <selection activeCell="N14" sqref="N14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9.140625" style="1" bestFit="1" customWidth="1"/>
    <col min="6" max="6" width="12.5703125" style="1" customWidth="1"/>
    <col min="7" max="7" width="12.7109375" style="1" customWidth="1"/>
    <col min="8" max="8" width="18.140625" style="1" customWidth="1"/>
    <col min="9" max="9" width="19.85546875" style="1" customWidth="1"/>
    <col min="10" max="16384" width="9.140625" style="1"/>
  </cols>
  <sheetData>
    <row r="1" spans="1:16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2344</v>
      </c>
      <c r="I1" s="1130"/>
      <c r="J1" s="34" t="s">
        <v>2270</v>
      </c>
    </row>
    <row r="2" spans="1:16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6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6" s="10" customFormat="1" ht="42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6" x14ac:dyDescent="0.2">
      <c r="A5" s="246" t="s">
        <v>2213</v>
      </c>
      <c r="B5" s="280" t="e">
        <f>+OBRA!#REF!</f>
        <v>#REF!</v>
      </c>
      <c r="C5" s="1227" t="e">
        <f>+OBRA!#REF!</f>
        <v>#REF!</v>
      </c>
      <c r="D5" s="1227"/>
      <c r="E5" s="1227"/>
      <c r="F5" s="1227"/>
      <c r="G5" s="1227"/>
      <c r="H5" s="1227"/>
      <c r="I5" s="1228"/>
    </row>
    <row r="6" spans="1:16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+OBRA!#REF!</f>
        <v>#REF!</v>
      </c>
    </row>
    <row r="7" spans="1:16" s="11" customFormat="1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6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f>7.16+0.87+0.45</f>
        <v>8.4799999999999986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6" x14ac:dyDescent="0.2">
      <c r="A9" s="1215" t="s">
        <v>363</v>
      </c>
      <c r="B9" s="1216"/>
      <c r="C9" s="1217"/>
      <c r="D9" s="851" t="e">
        <f t="shared" si="0"/>
        <v>#REF!</v>
      </c>
      <c r="E9" s="13">
        <v>42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  <c r="K9" s="1" t="s">
        <v>2345</v>
      </c>
      <c r="L9" s="1">
        <f>+(3.1416*1.2*1.2)/4</f>
        <v>1.130976</v>
      </c>
    </row>
    <row r="10" spans="1:16" x14ac:dyDescent="0.2">
      <c r="A10" s="1215" t="s">
        <v>275</v>
      </c>
      <c r="B10" s="1216"/>
      <c r="C10" s="1217"/>
      <c r="D10" s="851" t="e">
        <f t="shared" si="0"/>
        <v>#REF!</v>
      </c>
      <c r="E10" s="161">
        <v>22</v>
      </c>
      <c r="F10" s="21" t="e">
        <f>IF(A10&lt;&gt;0,VLOOKUP(A10,Materiales,6,FALSE),$J$1)</f>
        <v>#REF!</v>
      </c>
      <c r="G10" s="22"/>
      <c r="H10" s="8" t="e">
        <f t="shared" si="1"/>
        <v>#REF!</v>
      </c>
      <c r="I10" s="69"/>
      <c r="K10" s="1" t="s">
        <v>2346</v>
      </c>
      <c r="L10" s="1">
        <f>+(3.1416*0.7*0.7)/4</f>
        <v>0.38484599999999991</v>
      </c>
    </row>
    <row r="11" spans="1:16" x14ac:dyDescent="0.2">
      <c r="A11" s="1215" t="s">
        <v>330</v>
      </c>
      <c r="B11" s="1216"/>
      <c r="C11" s="1217"/>
      <c r="D11" s="851" t="e">
        <f t="shared" si="0"/>
        <v>#REF!</v>
      </c>
      <c r="E11" s="12">
        <v>13</v>
      </c>
      <c r="F11" s="21" t="e">
        <f>IF(A11&lt;&gt;0,VLOOKUP(A11,Materiales,6,FALSE),$J$1)</f>
        <v>#REF!</v>
      </c>
      <c r="G11" s="22"/>
      <c r="H11" s="8" t="e">
        <f t="shared" si="1"/>
        <v>#REF!</v>
      </c>
      <c r="I11" s="69"/>
      <c r="K11" s="11"/>
      <c r="L11" s="11">
        <f>+L9-L10</f>
        <v>0.74613000000000007</v>
      </c>
      <c r="M11" s="11"/>
      <c r="N11" s="11"/>
      <c r="O11" s="11" t="s">
        <v>2347</v>
      </c>
      <c r="P11" s="11">
        <f>(6.2+7.2)/2</f>
        <v>6.7</v>
      </c>
    </row>
    <row r="12" spans="1:16" x14ac:dyDescent="0.2">
      <c r="A12" s="1215"/>
      <c r="B12" s="1216"/>
      <c r="C12" s="1217"/>
      <c r="D12" s="851" t="str">
        <f t="shared" si="0"/>
        <v xml:space="preserve"> </v>
      </c>
      <c r="E12" s="12"/>
      <c r="F12" s="21" t="str">
        <f>IF(A12&lt;&gt;0,VLOOKUP(A12,Materiales,6,FALSE),$J$1)</f>
        <v xml:space="preserve"> </v>
      </c>
      <c r="G12" s="22"/>
      <c r="H12" s="8" t="str">
        <f t="shared" si="1"/>
        <v xml:space="preserve"> </v>
      </c>
      <c r="I12" s="69"/>
      <c r="K12" s="1" t="s">
        <v>2348</v>
      </c>
      <c r="L12" s="1">
        <f>+(3.1416*L11*2)*2.7</f>
        <v>12.657826843200002</v>
      </c>
    </row>
    <row r="13" spans="1:16" x14ac:dyDescent="0.2">
      <c r="A13" s="871"/>
      <c r="B13" s="872"/>
      <c r="C13" s="873"/>
      <c r="D13" s="851" t="str">
        <f t="shared" si="0"/>
        <v xml:space="preserve"> </v>
      </c>
      <c r="E13" s="12"/>
      <c r="F13" s="21" t="str">
        <f t="shared" ref="F13:F18" si="2">IF(A13&lt;&gt;0,VLOOKUP(A13,Materiales,5,FALSE),$J$1)</f>
        <v xml:space="preserve"> </v>
      </c>
      <c r="G13" s="22"/>
      <c r="H13" s="8" t="str">
        <f t="shared" si="1"/>
        <v xml:space="preserve"> </v>
      </c>
      <c r="I13" s="69"/>
      <c r="K13" s="1" t="s">
        <v>2349</v>
      </c>
      <c r="L13" s="1">
        <f>+(L11+L10)/2</f>
        <v>0.56548799999999999</v>
      </c>
    </row>
    <row r="14" spans="1:16" x14ac:dyDescent="0.2">
      <c r="A14" s="871"/>
      <c r="B14" s="872"/>
      <c r="C14" s="873"/>
      <c r="D14" s="851" t="str">
        <f t="shared" si="0"/>
        <v xml:space="preserve"> </v>
      </c>
      <c r="E14" s="12"/>
      <c r="F14" s="21" t="str">
        <f t="shared" si="2"/>
        <v xml:space="preserve"> </v>
      </c>
      <c r="G14" s="22"/>
      <c r="H14" s="8" t="str">
        <f t="shared" si="1"/>
        <v xml:space="preserve"> </v>
      </c>
      <c r="I14" s="69"/>
      <c r="K14" s="1" t="s">
        <v>2350</v>
      </c>
      <c r="L14" s="1">
        <f>2*(3.1416*L13*P11)</f>
        <v>23.805597150720001</v>
      </c>
    </row>
    <row r="15" spans="1:16" hidden="1" x14ac:dyDescent="0.2">
      <c r="A15" s="871"/>
      <c r="B15" s="872"/>
      <c r="C15" s="873"/>
      <c r="D15" s="851" t="str">
        <f t="shared" si="0"/>
        <v xml:space="preserve"> </v>
      </c>
      <c r="E15" s="12"/>
      <c r="F15" s="21" t="str">
        <f t="shared" si="2"/>
        <v xml:space="preserve"> </v>
      </c>
      <c r="G15" s="22"/>
      <c r="H15" s="8" t="str">
        <f t="shared" si="1"/>
        <v xml:space="preserve"> </v>
      </c>
      <c r="I15" s="69"/>
      <c r="N15" s="1">
        <f>+L14*0.023</f>
        <v>0.54752873446656003</v>
      </c>
    </row>
    <row r="16" spans="1:16" hidden="1" x14ac:dyDescent="0.2">
      <c r="A16" s="871"/>
      <c r="B16" s="872"/>
      <c r="C16" s="873"/>
      <c r="D16" s="851" t="str">
        <f t="shared" si="0"/>
        <v xml:space="preserve"> </v>
      </c>
      <c r="E16" s="12"/>
      <c r="F16" s="21" t="str">
        <f t="shared" si="2"/>
        <v xml:space="preserve"> </v>
      </c>
      <c r="G16" s="22"/>
      <c r="H16" s="8" t="str">
        <f t="shared" si="1"/>
        <v xml:space="preserve"> </v>
      </c>
      <c r="I16" s="69"/>
    </row>
    <row r="17" spans="1:11" x14ac:dyDescent="0.2">
      <c r="A17" s="871"/>
      <c r="B17" s="872"/>
      <c r="C17" s="873"/>
      <c r="D17" s="851" t="str">
        <f t="shared" si="0"/>
        <v xml:space="preserve"> </v>
      </c>
      <c r="E17" s="12"/>
      <c r="F17" s="21" t="str">
        <f t="shared" si="2"/>
        <v xml:space="preserve"> </v>
      </c>
      <c r="G17" s="22"/>
      <c r="H17" s="8" t="str">
        <f t="shared" si="1"/>
        <v xml:space="preserve"> </v>
      </c>
      <c r="I17" s="69"/>
      <c r="K17" s="1">
        <f>52*L14</f>
        <v>1237.89105183744</v>
      </c>
    </row>
    <row r="18" spans="1:11" x14ac:dyDescent="0.2">
      <c r="A18" s="871"/>
      <c r="B18" s="872"/>
      <c r="C18" s="873"/>
      <c r="D18" s="851" t="str">
        <f t="shared" si="0"/>
        <v xml:space="preserve"> </v>
      </c>
      <c r="E18" s="12"/>
      <c r="F18" s="21" t="str">
        <f t="shared" si="2"/>
        <v xml:space="preserve"> </v>
      </c>
      <c r="G18" s="22"/>
      <c r="H18" s="8" t="str">
        <f t="shared" si="1"/>
        <v xml:space="preserve"> </v>
      </c>
      <c r="I18" s="73"/>
    </row>
    <row r="19" spans="1:11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  <c r="K19" s="1">
        <f>+L14*0.023</f>
        <v>0.54752873446656003</v>
      </c>
    </row>
    <row r="20" spans="1:11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11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11" s="9" customFormat="1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11" x14ac:dyDescent="0.2">
      <c r="A23" s="1122" t="s">
        <v>477</v>
      </c>
      <c r="B23" s="1123"/>
      <c r="C23" s="1124"/>
      <c r="D23" s="26">
        <v>0.2</v>
      </c>
      <c r="E23" s="28"/>
      <c r="F23" s="12">
        <f t="shared" ref="F23:F26" si="3">IF(A23&lt;&gt;0,VLOOKUP(A23,Equipos,6,FALSE),$J$1)</f>
        <v>3710</v>
      </c>
      <c r="G23" s="14">
        <v>0.05</v>
      </c>
      <c r="H23" s="8">
        <f>IF(A23&lt;&gt;0,ROUND((F23/D23)*G23,2),$J$1)</f>
        <v>927.5</v>
      </c>
      <c r="I23" s="69"/>
    </row>
    <row r="24" spans="1:11" x14ac:dyDescent="0.2">
      <c r="A24" s="1299" t="s">
        <v>498</v>
      </c>
      <c r="B24" s="1300"/>
      <c r="C24" s="1301"/>
      <c r="D24" s="26">
        <v>0.5</v>
      </c>
      <c r="E24" s="28"/>
      <c r="F24" s="12">
        <f t="shared" si="3"/>
        <v>39135.199999999997</v>
      </c>
      <c r="G24" s="14">
        <v>0.3</v>
      </c>
      <c r="H24" s="8">
        <f>IF(A24&lt;&gt;0,ROUND((F24/D24)*G24,2),$J$1)</f>
        <v>23481.119999999999</v>
      </c>
      <c r="I24" s="69"/>
    </row>
    <row r="25" spans="1:11" x14ac:dyDescent="0.2">
      <c r="A25" s="1299" t="s">
        <v>503</v>
      </c>
      <c r="B25" s="1300"/>
      <c r="C25" s="1301"/>
      <c r="D25" s="26">
        <v>0.1</v>
      </c>
      <c r="E25" s="28"/>
      <c r="F25" s="12">
        <f t="shared" si="3"/>
        <v>3180</v>
      </c>
      <c r="G25" s="14">
        <v>0.5</v>
      </c>
      <c r="H25" s="8">
        <f>IF(A25&lt;&gt;0,ROUND((F25/D25)*G25,2),$J$1)</f>
        <v>15900</v>
      </c>
      <c r="I25" s="69"/>
    </row>
    <row r="26" spans="1:11" x14ac:dyDescent="0.2">
      <c r="A26" s="1215"/>
      <c r="B26" s="1216"/>
      <c r="C26" s="1217"/>
      <c r="D26" s="26"/>
      <c r="E26" s="28"/>
      <c r="F26" s="12" t="str">
        <f t="shared" si="3"/>
        <v xml:space="preserve"> </v>
      </c>
      <c r="G26" s="14"/>
      <c r="H26" s="8" t="str">
        <f>IF(A26&lt;&gt;0,ROUND((F26/D26)*G26,2),$J$1)</f>
        <v xml:space="preserve"> </v>
      </c>
      <c r="I26" s="73"/>
    </row>
    <row r="27" spans="1:11" x14ac:dyDescent="0.2">
      <c r="A27" s="850" t="s">
        <v>2221</v>
      </c>
      <c r="B27" s="872"/>
      <c r="C27" s="872"/>
      <c r="D27" s="872"/>
      <c r="E27" s="872"/>
      <c r="F27" s="872"/>
      <c r="G27" s="872"/>
      <c r="H27" s="873"/>
      <c r="I27" s="241">
        <f>SUM(H23:H26)</f>
        <v>40308.619999999995</v>
      </c>
    </row>
    <row r="28" spans="1:11" x14ac:dyDescent="0.2">
      <c r="A28" s="76"/>
      <c r="B28" s="27"/>
      <c r="C28" s="27"/>
      <c r="D28" s="27"/>
      <c r="E28" s="27"/>
      <c r="F28" s="27"/>
      <c r="G28" s="27"/>
      <c r="H28" s="27"/>
      <c r="I28" s="64"/>
    </row>
    <row r="29" spans="1:11" x14ac:dyDescent="0.2">
      <c r="A29" s="875" t="s">
        <v>2222</v>
      </c>
      <c r="B29" s="876"/>
      <c r="C29" s="876"/>
      <c r="D29" s="876"/>
      <c r="E29" s="876"/>
      <c r="F29" s="876"/>
      <c r="G29" s="876"/>
      <c r="H29" s="876"/>
      <c r="I29" s="877"/>
    </row>
    <row r="30" spans="1:11" s="9" customFormat="1" ht="25.5" x14ac:dyDescent="0.2">
      <c r="A30" s="250" t="s">
        <v>26</v>
      </c>
      <c r="B30" s="251"/>
      <c r="C30" s="252"/>
      <c r="D30" s="253" t="s">
        <v>2223</v>
      </c>
      <c r="E30" s="254"/>
      <c r="F30" s="881" t="s">
        <v>2224</v>
      </c>
      <c r="G30" s="881" t="s">
        <v>2225</v>
      </c>
      <c r="H30" s="257" t="s">
        <v>2216</v>
      </c>
      <c r="I30" s="72"/>
    </row>
    <row r="31" spans="1:11" x14ac:dyDescent="0.2">
      <c r="A31" s="890"/>
      <c r="B31" s="1105" t="s">
        <v>2226</v>
      </c>
      <c r="C31" s="1104"/>
      <c r="D31" s="46"/>
      <c r="E31" s="47"/>
      <c r="F31" s="15"/>
      <c r="G31" s="12"/>
      <c r="H31" s="8"/>
      <c r="I31" s="343"/>
    </row>
    <row r="32" spans="1:11" x14ac:dyDescent="0.2">
      <c r="A32" s="1215"/>
      <c r="B32" s="1216"/>
      <c r="C32" s="1217"/>
      <c r="D32" s="46" t="str">
        <f>IF(A32&lt;&gt;0,VLOOKUP(A32,Transporte,8,FALSE),$J$1)</f>
        <v xml:space="preserve"> </v>
      </c>
      <c r="E32" s="47"/>
      <c r="F32" s="15" t="str">
        <f t="shared" ref="F32:F37" si="4">IF(A32&lt;&gt;0,VLOOKUP(A32,Transporte,2,FALSE),$J$1)</f>
        <v xml:space="preserve"> </v>
      </c>
      <c r="G32" s="12"/>
      <c r="H32" s="8" t="str">
        <f t="shared" ref="H32:H37" si="5">IF(A32&lt;&gt;0,D32/F32*G32,$J$1)</f>
        <v xml:space="preserve"> </v>
      </c>
      <c r="I32" s="344"/>
    </row>
    <row r="33" spans="1:9" x14ac:dyDescent="0.2">
      <c r="A33" s="1215"/>
      <c r="B33" s="1216"/>
      <c r="C33" s="1217"/>
      <c r="D33" s="46" t="str">
        <f>IF(A33&lt;&gt;0,VLOOKUP(A33,Transporte,8,FALSE),$J$1)</f>
        <v xml:space="preserve"> </v>
      </c>
      <c r="E33" s="47"/>
      <c r="F33" s="15" t="str">
        <f t="shared" si="4"/>
        <v xml:space="preserve"> </v>
      </c>
      <c r="G33" s="12"/>
      <c r="H33" s="8" t="str">
        <f t="shared" si="5"/>
        <v xml:space="preserve"> </v>
      </c>
      <c r="I33" s="344"/>
    </row>
    <row r="34" spans="1:9" x14ac:dyDescent="0.2">
      <c r="A34" s="1215"/>
      <c r="B34" s="1216"/>
      <c r="C34" s="1217"/>
      <c r="D34" s="46"/>
      <c r="E34" s="47"/>
      <c r="F34" s="15" t="str">
        <f t="shared" si="4"/>
        <v xml:space="preserve"> </v>
      </c>
      <c r="G34" s="12"/>
      <c r="H34" s="8" t="str">
        <f t="shared" si="5"/>
        <v xml:space="preserve"> </v>
      </c>
      <c r="I34" s="345"/>
    </row>
    <row r="35" spans="1:9" x14ac:dyDescent="0.2">
      <c r="A35" s="871"/>
      <c r="B35" s="1105" t="s">
        <v>2227</v>
      </c>
      <c r="C35" s="1104"/>
      <c r="D35" s="46"/>
      <c r="E35" s="47"/>
      <c r="F35" s="15"/>
      <c r="G35" s="12"/>
      <c r="H35" s="8"/>
      <c r="I35" s="343"/>
    </row>
    <row r="36" spans="1:9" x14ac:dyDescent="0.2">
      <c r="A36" s="1215"/>
      <c r="B36" s="1216"/>
      <c r="C36" s="1217"/>
      <c r="D36" s="46"/>
      <c r="E36" s="47"/>
      <c r="F36" s="15" t="str">
        <f t="shared" si="4"/>
        <v xml:space="preserve"> </v>
      </c>
      <c r="G36" s="12"/>
      <c r="H36" s="8" t="str">
        <f t="shared" si="5"/>
        <v xml:space="preserve"> </v>
      </c>
      <c r="I36" s="344"/>
    </row>
    <row r="37" spans="1:9" x14ac:dyDescent="0.2">
      <c r="A37" s="1215"/>
      <c r="B37" s="1216"/>
      <c r="C37" s="1217"/>
      <c r="D37" s="46" t="str">
        <f>IF(A26&lt;&gt;0,VLOOKUP(A37,Transporte,8,FALSE),$J$1)</f>
        <v xml:space="preserve"> </v>
      </c>
      <c r="E37" s="47"/>
      <c r="F37" s="15" t="str">
        <f t="shared" si="4"/>
        <v xml:space="preserve"> </v>
      </c>
      <c r="G37" s="12"/>
      <c r="H37" s="8" t="str">
        <f t="shared" si="5"/>
        <v xml:space="preserve"> </v>
      </c>
      <c r="I37" s="73"/>
    </row>
    <row r="38" spans="1:9" x14ac:dyDescent="0.2">
      <c r="A38" s="1084" t="s">
        <v>2228</v>
      </c>
      <c r="B38" s="1216"/>
      <c r="C38" s="1216"/>
      <c r="D38" s="1216"/>
      <c r="E38" s="1216"/>
      <c r="F38" s="1216"/>
      <c r="G38" s="1216"/>
      <c r="H38" s="1217"/>
      <c r="I38" s="241"/>
    </row>
    <row r="39" spans="1:9" x14ac:dyDescent="0.2">
      <c r="A39" s="1086"/>
      <c r="B39" s="1087"/>
      <c r="C39" s="1087"/>
      <c r="D39" s="1087"/>
      <c r="E39" s="1087"/>
      <c r="F39" s="1087"/>
      <c r="G39" s="1087"/>
      <c r="H39" s="1087"/>
      <c r="I39" s="1088"/>
    </row>
    <row r="40" spans="1:9" x14ac:dyDescent="0.2">
      <c r="A40" s="1200" t="s">
        <v>554</v>
      </c>
      <c r="B40" s="1201"/>
      <c r="C40" s="1201"/>
      <c r="D40" s="1201"/>
      <c r="E40" s="1201"/>
      <c r="F40" s="1201"/>
      <c r="G40" s="1201"/>
      <c r="H40" s="1201"/>
      <c r="I40" s="1202"/>
    </row>
    <row r="41" spans="1:9" s="9" customFormat="1" x14ac:dyDescent="0.2">
      <c r="A41" s="1229" t="s">
        <v>2229</v>
      </c>
      <c r="B41" s="1230"/>
      <c r="C41" s="1231"/>
      <c r="D41" s="1223" t="s">
        <v>2230</v>
      </c>
      <c r="E41" s="1224"/>
      <c r="F41" s="1223" t="s">
        <v>2218</v>
      </c>
      <c r="G41" s="1224"/>
      <c r="H41" s="257" t="s">
        <v>2216</v>
      </c>
      <c r="I41" s="72"/>
    </row>
    <row r="42" spans="1:9" x14ac:dyDescent="0.2">
      <c r="A42" s="1215" t="s">
        <v>49</v>
      </c>
      <c r="B42" s="1216"/>
      <c r="C42" s="1217"/>
      <c r="D42" s="1225">
        <f>IF(A42&lt;&gt;0,VLOOKUP(A42,Cuadrillas,7,FALSE),$J$1)</f>
        <v>432095.84</v>
      </c>
      <c r="E42" s="1226"/>
      <c r="F42" s="1221">
        <v>0.13</v>
      </c>
      <c r="G42" s="1222"/>
      <c r="H42" s="8">
        <f>IF(A42&lt;&gt;0,ROUND(D42/F42,2),$J$1)</f>
        <v>3323814.15</v>
      </c>
      <c r="I42" s="69"/>
    </row>
    <row r="43" spans="1:9" x14ac:dyDescent="0.2">
      <c r="A43" s="1215"/>
      <c r="B43" s="1216"/>
      <c r="C43" s="1217"/>
      <c r="D43" s="1225" t="str">
        <f>IF(A43&lt;&gt;0,VLOOKUP(A43,Cuadrillas,7,FALSE),$J$1)</f>
        <v xml:space="preserve"> </v>
      </c>
      <c r="E43" s="1226"/>
      <c r="F43" s="1221"/>
      <c r="G43" s="1222"/>
      <c r="H43" s="8" t="str">
        <f>IF(A43&lt;&gt;0,ROUND(D43/F43,2),$J$1)</f>
        <v xml:space="preserve"> </v>
      </c>
      <c r="I43" s="69"/>
    </row>
    <row r="44" spans="1:9" x14ac:dyDescent="0.2">
      <c r="A44" s="1215"/>
      <c r="B44" s="1216"/>
      <c r="C44" s="1217"/>
      <c r="D44" s="1225" t="str">
        <f>IF(A44&lt;&gt;0,VLOOKUP(A44,Cuadrillas,7,FALSE),$J$1)</f>
        <v xml:space="preserve"> </v>
      </c>
      <c r="E44" s="1226"/>
      <c r="F44" s="1221"/>
      <c r="G44" s="1222"/>
      <c r="H44" s="8" t="str">
        <f>IF(A44&lt;&gt;0,ROUND(D44/F44,2),$J$1)</f>
        <v xml:space="preserve"> </v>
      </c>
      <c r="I44" s="69"/>
    </row>
    <row r="45" spans="1:9" x14ac:dyDescent="0.2">
      <c r="A45" s="1215"/>
      <c r="B45" s="1216"/>
      <c r="C45" s="1217"/>
      <c r="D45" s="1225" t="str">
        <f>IF(A45&lt;&gt;0,VLOOKUP(A45,Cuadrillas,7,FALSE),$J$1)</f>
        <v xml:space="preserve"> </v>
      </c>
      <c r="E45" s="1226"/>
      <c r="F45" s="1221"/>
      <c r="G45" s="1222"/>
      <c r="H45" s="8" t="str">
        <f>IF(A45&lt;&gt;0,ROUND(D45/F45,2),$J$1)</f>
        <v xml:space="preserve"> 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 xml:space="preserve"> </v>
      </c>
      <c r="E46" s="1226"/>
      <c r="F46" s="1221"/>
      <c r="G46" s="1222"/>
      <c r="H46" s="8" t="str">
        <f>IF(A46&lt;&gt;0,ROUND(D46/F46,2),$J$1)</f>
        <v xml:space="preserve"> </v>
      </c>
      <c r="I46" s="73"/>
    </row>
    <row r="47" spans="1:9" x14ac:dyDescent="0.2">
      <c r="A47" s="1084" t="s">
        <v>2231</v>
      </c>
      <c r="B47" s="1085"/>
      <c r="C47" s="1085"/>
      <c r="D47" s="1085"/>
      <c r="E47" s="1085"/>
      <c r="F47" s="1085"/>
      <c r="G47" s="1085"/>
      <c r="H47" s="1133"/>
      <c r="I47" s="240">
        <f>SUM(H42:H46)</f>
        <v>3323814.15</v>
      </c>
    </row>
    <row r="48" spans="1:9" x14ac:dyDescent="0.2">
      <c r="A48" s="1086"/>
      <c r="B48" s="1087"/>
      <c r="C48" s="1087"/>
      <c r="D48" s="1087"/>
      <c r="E48" s="1087"/>
      <c r="F48" s="1087"/>
      <c r="G48" s="1087"/>
      <c r="H48" s="1087"/>
      <c r="I48" s="1088"/>
    </row>
    <row r="49" spans="1:9" x14ac:dyDescent="0.2">
      <c r="A49" s="1089" t="s">
        <v>2232</v>
      </c>
      <c r="B49" s="1090"/>
      <c r="C49" s="1090"/>
      <c r="D49" s="1090"/>
      <c r="E49" s="1090"/>
      <c r="F49" s="1090"/>
      <c r="G49" s="1090"/>
      <c r="H49" s="1090"/>
      <c r="I49" s="237" t="e">
        <f>I19+I27+I38</f>
        <v>#REF!</v>
      </c>
    </row>
    <row r="50" spans="1:9" ht="13.5" thickBot="1" x14ac:dyDescent="0.25">
      <c r="A50" s="1193" t="s">
        <v>2233</v>
      </c>
      <c r="B50" s="1194"/>
      <c r="C50" s="1194"/>
      <c r="D50" s="1194"/>
      <c r="E50" s="1194"/>
      <c r="F50" s="1194"/>
      <c r="G50" s="1194"/>
      <c r="H50" s="1194"/>
      <c r="I50" s="238">
        <f>I47</f>
        <v>3323814.15</v>
      </c>
    </row>
    <row r="51" spans="1:9" s="9" customFormat="1" ht="25.5" customHeight="1" thickTop="1" thickBot="1" x14ac:dyDescent="0.25">
      <c r="A51" s="1195" t="s">
        <v>2234</v>
      </c>
      <c r="B51" s="1196"/>
      <c r="C51" s="1196"/>
      <c r="D51" s="1196"/>
      <c r="E51" s="1196"/>
      <c r="F51" s="1196"/>
      <c r="G51" s="1196"/>
      <c r="H51" s="258"/>
      <c r="I51" s="239" t="e">
        <f>ROUND(I49+I50,0)</f>
        <v>#REF!</v>
      </c>
    </row>
    <row r="52" spans="1:9" s="9" customFormat="1" ht="25.5" customHeight="1" thickTop="1" thickBot="1" x14ac:dyDescent="0.25">
      <c r="A52" s="1095" t="s">
        <v>10</v>
      </c>
      <c r="B52" s="1096"/>
      <c r="C52" s="1232"/>
      <c r="D52" s="1097">
        <f>+'Datos entrada'!B7</f>
        <v>0.3</v>
      </c>
      <c r="E52" s="1098"/>
      <c r="F52" s="1233" t="e">
        <f>I51*D52</f>
        <v>#REF!</v>
      </c>
      <c r="G52" s="1099"/>
      <c r="H52" s="1099"/>
      <c r="I52" s="1100"/>
    </row>
    <row r="53" spans="1:9" s="9" customFormat="1" ht="25.5" customHeight="1" thickTop="1" thickBot="1" x14ac:dyDescent="0.25">
      <c r="A53" s="1095" t="s">
        <v>2236</v>
      </c>
      <c r="B53" s="1096"/>
      <c r="C53" s="1096"/>
      <c r="D53" s="1096"/>
      <c r="E53" s="1096"/>
      <c r="F53" s="1096"/>
      <c r="G53" s="1096"/>
      <c r="H53" s="1191" t="e">
        <f>I51+F52</f>
        <v>#REF!</v>
      </c>
      <c r="I53" s="1192"/>
    </row>
    <row r="54" spans="1:9" ht="13.5" thickTop="1" x14ac:dyDescent="0.2"/>
  </sheetData>
  <customSheetViews>
    <customSheetView guid="{93F324B6-F965-4669-93FF-DBB148734A46}" fitToPage="1" hiddenRows="1" topLeftCell="A43">
      <selection activeCell="L4" sqref="L4"/>
      <pageMargins left="0" right="0" top="0" bottom="0" header="0" footer="0"/>
      <printOptions horizontalCentered="1" verticalCentered="1"/>
      <pageSetup scale="75" orientation="portrait" blackAndWhite="1" errors="blank" r:id="rId1"/>
      <headerFooter alignWithMargins="0">
        <oddFooter xml:space="preserve">&amp;C  </oddFooter>
      </headerFooter>
    </customSheetView>
  </customSheetViews>
  <mergeCells count="50">
    <mergeCell ref="A53:G53"/>
    <mergeCell ref="H53:I53"/>
    <mergeCell ref="A47:H47"/>
    <mergeCell ref="A48:I48"/>
    <mergeCell ref="A49:H49"/>
    <mergeCell ref="A50:H50"/>
    <mergeCell ref="A51:G51"/>
    <mergeCell ref="A52:C52"/>
    <mergeCell ref="D52:E52"/>
    <mergeCell ref="F52:I52"/>
    <mergeCell ref="A45:C45"/>
    <mergeCell ref="D45:E45"/>
    <mergeCell ref="F45:G45"/>
    <mergeCell ref="A46:C46"/>
    <mergeCell ref="D46:E46"/>
    <mergeCell ref="F46:G46"/>
    <mergeCell ref="A43:C43"/>
    <mergeCell ref="D43:E43"/>
    <mergeCell ref="F43:G43"/>
    <mergeCell ref="A44:C44"/>
    <mergeCell ref="D44:E44"/>
    <mergeCell ref="F44:G44"/>
    <mergeCell ref="A41:C41"/>
    <mergeCell ref="D41:E41"/>
    <mergeCell ref="F41:G41"/>
    <mergeCell ref="A42:C42"/>
    <mergeCell ref="D42:E42"/>
    <mergeCell ref="F42:G42"/>
    <mergeCell ref="A40:I40"/>
    <mergeCell ref="A24:C24"/>
    <mergeCell ref="A26:C26"/>
    <mergeCell ref="B31:C31"/>
    <mergeCell ref="A32:C32"/>
    <mergeCell ref="A33:C33"/>
    <mergeCell ref="A34:C34"/>
    <mergeCell ref="B35:C35"/>
    <mergeCell ref="A36:C36"/>
    <mergeCell ref="A37:C37"/>
    <mergeCell ref="A38:H38"/>
    <mergeCell ref="A39:I39"/>
    <mergeCell ref="A1:C1"/>
    <mergeCell ref="H1:I1"/>
    <mergeCell ref="C5:I5"/>
    <mergeCell ref="A8:C8"/>
    <mergeCell ref="A9:C9"/>
    <mergeCell ref="A10:C10"/>
    <mergeCell ref="A11:C11"/>
    <mergeCell ref="A12:C12"/>
    <mergeCell ref="A25:C25"/>
    <mergeCell ref="A23:C23"/>
  </mergeCells>
  <dataValidations count="5">
    <dataValidation type="list" allowBlank="1" showInputMessage="1" showErrorMessage="1" sqref="B13:C18 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A42:C46">
      <formula1>Descrip_cuadrillas</formula1>
    </dataValidation>
    <dataValidation type="list" allowBlank="1" showInputMessage="1" showErrorMessage="1" sqref="A31:A37">
      <formula1>Descrip_transporte</formula1>
    </dataValidation>
    <dataValidation type="list" allowBlank="1" showInputMessage="1" showErrorMessage="1" sqref="A23:A26">
      <formula1>Descrip_equipos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0" orientation="portrait" blackAndWhite="1" errors="blank" r:id="rId2"/>
  <headerFooter alignWithMargins="0">
    <oddFooter xml:space="preserve">&amp;C  </oddFooter>
  </headerFooter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0">
    <tabColor rgb="FF74FCFC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0.2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330</v>
      </c>
      <c r="B9" s="1216"/>
      <c r="C9" s="1217"/>
      <c r="D9" s="851" t="e">
        <f t="shared" si="0"/>
        <v>#REF!</v>
      </c>
      <c r="E9" s="13">
        <v>9.9000000000000005E-2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 t="s">
        <v>107</v>
      </c>
      <c r="B10" s="1216"/>
      <c r="C10" s="1217"/>
      <c r="D10" s="851" t="e">
        <f t="shared" si="0"/>
        <v>#REF!</v>
      </c>
      <c r="E10" s="161">
        <v>0.03</v>
      </c>
      <c r="F10" s="21" t="e">
        <f>IF(A10&lt;&gt;0,VLOOKUP(A10,Materiales,6,FALSE),$J$1)</f>
        <v>#REF!</v>
      </c>
      <c r="G10" s="22"/>
      <c r="H10" s="8" t="e">
        <f t="shared" si="1"/>
        <v>#REF!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>IF(A12&lt;&gt;0,VLOOKUP(A12,Materiales,6,FALSE),$J$1)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ref="F13:F18" si="2">IF(A13&lt;&gt;0,VLOOKUP(A13,Materiales,5,FALSE),$J$1)</f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7</v>
      </c>
      <c r="E23" s="28"/>
      <c r="F23" s="12">
        <f t="shared" ref="F23:F29" si="3">IF(A23&lt;&gt;0,VLOOKUP(A23,Equipos,6,FALSE),$J$1)</f>
        <v>3710</v>
      </c>
      <c r="G23" s="14">
        <v>1</v>
      </c>
      <c r="H23" s="8">
        <f>IF(A23&lt;&gt;0,ROUND((F23/D23)*G23,2),$J$1)</f>
        <v>530</v>
      </c>
      <c r="I23" s="69"/>
    </row>
    <row r="24" spans="1:9" x14ac:dyDescent="0.2">
      <c r="A24" s="1215" t="s">
        <v>474</v>
      </c>
      <c r="B24" s="1216"/>
      <c r="C24" s="1217"/>
      <c r="D24" s="26">
        <v>30</v>
      </c>
      <c r="E24" s="28"/>
      <c r="F24" s="12">
        <f t="shared" si="3"/>
        <v>530</v>
      </c>
      <c r="G24" s="14">
        <v>1</v>
      </c>
      <c r="H24" s="8">
        <f>IF(A24&lt;&gt;0,ROUND((F24*D24)*G24,2),$J$1)</f>
        <v>15900</v>
      </c>
      <c r="I24" s="69"/>
    </row>
    <row r="25" spans="1:9" x14ac:dyDescent="0.2">
      <c r="A25" s="1215" t="s">
        <v>482</v>
      </c>
      <c r="B25" s="1216"/>
      <c r="C25" s="1217"/>
      <c r="D25" s="26">
        <v>0.5</v>
      </c>
      <c r="E25" s="28"/>
      <c r="F25" s="12">
        <f t="shared" si="3"/>
        <v>1590</v>
      </c>
      <c r="G25" s="14">
        <v>1</v>
      </c>
      <c r="H25" s="8">
        <f>IF(A25&lt;&gt;0,ROUND((F25/D25)*G25,2),$J$1)</f>
        <v>3180</v>
      </c>
      <c r="I25" s="69"/>
    </row>
    <row r="26" spans="1:9" x14ac:dyDescent="0.2">
      <c r="A26" s="1215" t="s">
        <v>497</v>
      </c>
      <c r="B26" s="1216"/>
      <c r="C26" s="1217"/>
      <c r="D26" s="26">
        <v>26</v>
      </c>
      <c r="E26" s="28"/>
      <c r="F26" s="12">
        <f t="shared" si="3"/>
        <v>42400</v>
      </c>
      <c r="G26" s="14">
        <v>1</v>
      </c>
      <c r="H26" s="8">
        <f>IF(A26&lt;&gt;0,ROUND((F26/D26)*G26,2),$J$1)</f>
        <v>1630.77</v>
      </c>
      <c r="I26" s="69"/>
    </row>
    <row r="27" spans="1:9" x14ac:dyDescent="0.2">
      <c r="A27" s="1215" t="s">
        <v>484</v>
      </c>
      <c r="B27" s="1216"/>
      <c r="C27" s="1217"/>
      <c r="D27" s="26">
        <v>30</v>
      </c>
      <c r="E27" s="28"/>
      <c r="F27" s="12">
        <f t="shared" si="3"/>
        <v>1812.6</v>
      </c>
      <c r="G27" s="14">
        <v>1</v>
      </c>
      <c r="H27" s="8">
        <f>IF(A27&lt;&gt;0,ROUND((F27*D27)*G27,2),$J$1)</f>
        <v>54378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>IF(A28&lt;&gt;0,ROUND((F28/D28)*G28,2),$J$1)</f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>IF(A29&lt;&gt;0,ROUND((F29/D29)*G29,2),$J$1)</f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75618.77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4">IF(A35&lt;&gt;0,VLOOKUP(A35,Transporte,2,FALSE),$J$1)</f>
        <v>-</v>
      </c>
      <c r="G35" s="12"/>
      <c r="H35" s="8" t="str">
        <f t="shared" ref="H35:H40" si="5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4"/>
        <v>-</v>
      </c>
      <c r="G36" s="12"/>
      <c r="H36" s="8" t="str">
        <f t="shared" si="5"/>
        <v>-</v>
      </c>
      <c r="I36" s="344"/>
    </row>
    <row r="37" spans="1:9" x14ac:dyDescent="0.2">
      <c r="A37" s="1215"/>
      <c r="B37" s="1216"/>
      <c r="C37" s="1217"/>
      <c r="D37" s="46"/>
      <c r="E37" s="47"/>
      <c r="F37" s="15" t="str">
        <f t="shared" si="4"/>
        <v>-</v>
      </c>
      <c r="G37" s="12"/>
      <c r="H37" s="8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4"/>
        <v>-</v>
      </c>
      <c r="G39" s="12"/>
      <c r="H39" s="8" t="str">
        <f t="shared" si="5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4"/>
        <v>-</v>
      </c>
      <c r="G40" s="12"/>
      <c r="H40" s="8" t="str">
        <f t="shared" si="5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12</v>
      </c>
      <c r="G45" s="1222"/>
      <c r="H45" s="8">
        <f>IF(A45&lt;&gt;0,ROUND(D45/F45,2),$J$1)</f>
        <v>36007.99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36007.99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36007.99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0">
    <mergeCell ref="A1:C1"/>
    <mergeCell ref="B34:C34"/>
    <mergeCell ref="B38:C38"/>
    <mergeCell ref="H1:I1"/>
    <mergeCell ref="A48:C48"/>
    <mergeCell ref="F48:G48"/>
    <mergeCell ref="A43:I43"/>
    <mergeCell ref="F46:G46"/>
    <mergeCell ref="D47:E47"/>
    <mergeCell ref="D48:E48"/>
    <mergeCell ref="A47:C47"/>
    <mergeCell ref="F45:G45"/>
    <mergeCell ref="C5:I5"/>
    <mergeCell ref="A24:C24"/>
    <mergeCell ref="A25:C25"/>
    <mergeCell ref="F44:G44"/>
    <mergeCell ref="F47:G47"/>
    <mergeCell ref="A9:C9"/>
    <mergeCell ref="D55:E55"/>
    <mergeCell ref="F55:I55"/>
    <mergeCell ref="A53:H53"/>
    <mergeCell ref="D49:E49"/>
    <mergeCell ref="A10:C10"/>
    <mergeCell ref="A11:C11"/>
    <mergeCell ref="A12:C12"/>
    <mergeCell ref="A56:G56"/>
    <mergeCell ref="H56:I56"/>
    <mergeCell ref="A55:C55"/>
    <mergeCell ref="A49:C49"/>
    <mergeCell ref="A52:H52"/>
    <mergeCell ref="A51:I51"/>
    <mergeCell ref="A50:H50"/>
    <mergeCell ref="A54:G54"/>
    <mergeCell ref="F49:G49"/>
    <mergeCell ref="A8:C8"/>
    <mergeCell ref="A46:C46"/>
    <mergeCell ref="D46:E46"/>
    <mergeCell ref="A45:C45"/>
    <mergeCell ref="A26:C26"/>
    <mergeCell ref="A27:C27"/>
    <mergeCell ref="D44:E44"/>
    <mergeCell ref="D45:E45"/>
    <mergeCell ref="A44:C44"/>
    <mergeCell ref="A41:H41"/>
    <mergeCell ref="A42:I42"/>
    <mergeCell ref="A35:C35"/>
    <mergeCell ref="A36:C36"/>
    <mergeCell ref="A37:C37"/>
    <mergeCell ref="A39:C39"/>
    <mergeCell ref="A40:C40"/>
  </mergeCells>
  <phoneticPr fontId="0" type="noConversion"/>
  <dataValidations disablePrompts="1" count="5">
    <dataValidation type="list" allowBlank="1" showInputMessage="1" showErrorMessage="1" sqref="B13:C18 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8:C29 A23:A29 B23:C23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74FCFC"/>
    <pageSetUpPr fitToPage="1"/>
  </sheetPr>
  <dimension ref="A1:J57"/>
  <sheetViews>
    <sheetView workbookViewId="0">
      <selection sqref="A1:C1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8.28515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0" s="9" customFormat="1" ht="50.1" customHeight="1" thickTop="1" x14ac:dyDescent="0.2">
      <c r="A1" s="1131" t="s">
        <v>531</v>
      </c>
      <c r="B1" s="1220"/>
      <c r="C1" s="1220"/>
      <c r="D1" s="93"/>
      <c r="E1" s="93"/>
      <c r="F1" s="93"/>
      <c r="G1" s="164"/>
      <c r="H1" s="1129" t="s">
        <v>2283</v>
      </c>
      <c r="I1" s="1130"/>
      <c r="J1" s="34" t="s">
        <v>2212</v>
      </c>
    </row>
    <row r="2" spans="1:10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0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0" s="10" customFormat="1" ht="17.45" customHeight="1" x14ac:dyDescent="0.2">
      <c r="A4" s="726" t="str">
        <f>'Datos entrada'!B4</f>
        <v>OPTIMIZACIÓN Y AMPLIACIÓN DE LA RED ALCANTARILLADO DEL CORREGIMIENTO DE LAS MESAS, MUNICIPIO DE EL TABLON DE GOMEZ – DEPARTAMENTO DE NARIÑO.</v>
      </c>
      <c r="B4" s="729"/>
      <c r="C4" s="729"/>
      <c r="D4" s="729"/>
      <c r="E4" s="730"/>
      <c r="F4" s="83" t="str">
        <f>'Datos entrada'!B6</f>
        <v>Presupuesto de Obra</v>
      </c>
      <c r="G4" s="85"/>
      <c r="H4" s="85"/>
      <c r="I4" s="94"/>
    </row>
    <row r="5" spans="1:10" x14ac:dyDescent="0.2">
      <c r="A5" s="246" t="s">
        <v>2213</v>
      </c>
      <c r="B5" s="279" t="e">
        <f>+#REF!</f>
        <v>#REF!</v>
      </c>
      <c r="C5" s="1227" t="e">
        <f>+#REF!</f>
        <v>#REF!</v>
      </c>
      <c r="D5" s="1227"/>
      <c r="E5" s="1227"/>
      <c r="F5" s="1227"/>
      <c r="G5" s="1227"/>
      <c r="H5" s="1227"/>
      <c r="I5" s="1228"/>
    </row>
    <row r="6" spans="1:10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+#REF!</f>
        <v>#REF!</v>
      </c>
    </row>
    <row r="7" spans="1:10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0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v>0.13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</row>
    <row r="9" spans="1:10" x14ac:dyDescent="0.2">
      <c r="A9" s="1215" t="s">
        <v>330</v>
      </c>
      <c r="B9" s="1216"/>
      <c r="C9" s="1217"/>
      <c r="D9" s="851" t="e">
        <f t="shared" si="0"/>
        <v>#REF!</v>
      </c>
      <c r="E9" s="13">
        <v>0.3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</row>
    <row r="10" spans="1:10" x14ac:dyDescent="0.2">
      <c r="A10" s="1215" t="s">
        <v>107</v>
      </c>
      <c r="B10" s="1216"/>
      <c r="C10" s="1217"/>
      <c r="D10" s="851" t="e">
        <f t="shared" si="0"/>
        <v>#REF!</v>
      </c>
      <c r="E10" s="161">
        <v>0.1</v>
      </c>
      <c r="F10" s="21" t="e">
        <f>IF(A10&lt;&gt;0,VLOOKUP(A10,Materiales,6,FALSE),$J$1)</f>
        <v>#REF!</v>
      </c>
      <c r="G10" s="22"/>
      <c r="H10" s="8" t="e">
        <f t="shared" si="1"/>
        <v>#REF!</v>
      </c>
      <c r="I10" s="69"/>
    </row>
    <row r="11" spans="1:10" x14ac:dyDescent="0.2">
      <c r="A11" s="1215"/>
      <c r="B11" s="1216"/>
      <c r="C11" s="1217"/>
      <c r="D11" s="851" t="str">
        <f t="shared" si="0"/>
        <v>-</v>
      </c>
      <c r="E11" s="12"/>
      <c r="F11" s="21" t="str">
        <f>IF(A11&lt;&gt;0,VLOOKUP(A11,Materiales,6,FALSE),$J$1)</f>
        <v>-</v>
      </c>
      <c r="G11" s="22"/>
      <c r="H11" s="8" t="str">
        <f t="shared" si="1"/>
        <v>-</v>
      </c>
      <c r="I11" s="69"/>
    </row>
    <row r="12" spans="1:10" x14ac:dyDescent="0.2">
      <c r="A12" s="1215"/>
      <c r="B12" s="1216"/>
      <c r="C12" s="1217"/>
      <c r="D12" s="851" t="str">
        <f t="shared" si="0"/>
        <v>-</v>
      </c>
      <c r="E12" s="12"/>
      <c r="F12" s="21" t="str">
        <f>IF(A12&lt;&gt;0,VLOOKUP(A12,Materiales,6,FALSE),$J$1)</f>
        <v>-</v>
      </c>
      <c r="G12" s="22"/>
      <c r="H12" s="8" t="str">
        <f t="shared" si="1"/>
        <v>-</v>
      </c>
      <c r="I12" s="69"/>
    </row>
    <row r="13" spans="1:10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ref="F13:F18" si="2">IF(A13&lt;&gt;0,VLOOKUP(A13,Materiales,5,FALSE),$J$1)</f>
        <v>-</v>
      </c>
      <c r="G13" s="22"/>
      <c r="H13" s="8" t="str">
        <f t="shared" si="1"/>
        <v>-</v>
      </c>
      <c r="I13" s="69"/>
    </row>
    <row r="14" spans="1:10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</row>
    <row r="15" spans="1:10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0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</row>
    <row r="17" spans="1:9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9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</row>
    <row r="19" spans="1:9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9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9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9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9" x14ac:dyDescent="0.2">
      <c r="A23" s="871" t="s">
        <v>477</v>
      </c>
      <c r="B23" s="872"/>
      <c r="C23" s="873"/>
      <c r="D23" s="26">
        <v>1</v>
      </c>
      <c r="E23" s="28"/>
      <c r="F23" s="12">
        <f t="shared" ref="F23:F29" si="3">IF(A23&lt;&gt;0,VLOOKUP(A23,Equipos,6,FALSE),$J$1)</f>
        <v>3710</v>
      </c>
      <c r="G23" s="14">
        <v>0.15</v>
      </c>
      <c r="H23" s="8">
        <f>IF(A23&lt;&gt;0,ROUND((F23/D23)*G23,2),$J$1)</f>
        <v>556.5</v>
      </c>
      <c r="I23" s="69"/>
    </row>
    <row r="24" spans="1:9" x14ac:dyDescent="0.2">
      <c r="A24" s="1215" t="s">
        <v>474</v>
      </c>
      <c r="B24" s="1216"/>
      <c r="C24" s="1217"/>
      <c r="D24" s="26">
        <v>30</v>
      </c>
      <c r="E24" s="28"/>
      <c r="F24" s="12">
        <f>IF(A24&lt;&gt;0,VLOOKUP(A24,Equipos,6,FALSE),$J$1)</f>
        <v>530</v>
      </c>
      <c r="G24" s="14">
        <v>1</v>
      </c>
      <c r="H24" s="8">
        <f>IF(A24&lt;&gt;0,ROUND((F24*D24)*G24,2),$J$1)</f>
        <v>15900</v>
      </c>
      <c r="I24" s="69"/>
    </row>
    <row r="25" spans="1:9" x14ac:dyDescent="0.2">
      <c r="A25" s="1215" t="s">
        <v>482</v>
      </c>
      <c r="B25" s="1216"/>
      <c r="C25" s="1217"/>
      <c r="D25" s="26">
        <v>0.5</v>
      </c>
      <c r="E25" s="28"/>
      <c r="F25" s="12">
        <f t="shared" si="3"/>
        <v>1590</v>
      </c>
      <c r="G25" s="14">
        <v>1</v>
      </c>
      <c r="H25" s="8">
        <f>IF(A25&lt;&gt;0,ROUND((F25/D25)*G25,2),$J$1)</f>
        <v>3180</v>
      </c>
      <c r="I25" s="69"/>
    </row>
    <row r="26" spans="1:9" x14ac:dyDescent="0.2">
      <c r="A26" s="1215" t="s">
        <v>497</v>
      </c>
      <c r="B26" s="1216"/>
      <c r="C26" s="1217"/>
      <c r="D26" s="26">
        <v>1</v>
      </c>
      <c r="E26" s="28"/>
      <c r="F26" s="12">
        <f t="shared" si="3"/>
        <v>42400</v>
      </c>
      <c r="G26" s="14">
        <v>0.04</v>
      </c>
      <c r="H26" s="8">
        <f>IF(A26&lt;&gt;0,ROUND((F26/D26)*G26,2),$J$1)</f>
        <v>1696</v>
      </c>
      <c r="I26" s="69"/>
    </row>
    <row r="27" spans="1:9" x14ac:dyDescent="0.2">
      <c r="A27" s="1215" t="s">
        <v>484</v>
      </c>
      <c r="B27" s="1216"/>
      <c r="C27" s="1217"/>
      <c r="D27" s="26">
        <v>30</v>
      </c>
      <c r="E27" s="28"/>
      <c r="F27" s="12">
        <f>IF(A27&lt;&gt;0,VLOOKUP(A27,Equipos,6,FALSE),$J$1)</f>
        <v>1812.6</v>
      </c>
      <c r="G27" s="14">
        <v>1</v>
      </c>
      <c r="H27" s="8">
        <f>IF(A27&lt;&gt;0,ROUND((F27*D27)*G27,2),$J$1)</f>
        <v>54378</v>
      </c>
      <c r="I27" s="69"/>
    </row>
    <row r="28" spans="1:9" x14ac:dyDescent="0.2">
      <c r="A28" s="871"/>
      <c r="B28" s="872"/>
      <c r="C28" s="873"/>
      <c r="D28" s="26"/>
      <c r="E28" s="28"/>
      <c r="F28" s="12" t="str">
        <f t="shared" si="3"/>
        <v>-</v>
      </c>
      <c r="G28" s="14"/>
      <c r="H28" s="8" t="str">
        <f>IF(A28&lt;&gt;0,ROUND((F28/D28)*G28,2),$J$1)</f>
        <v>-</v>
      </c>
      <c r="I28" s="69"/>
    </row>
    <row r="29" spans="1:9" x14ac:dyDescent="0.2">
      <c r="A29" s="871"/>
      <c r="B29" s="872"/>
      <c r="C29" s="873"/>
      <c r="D29" s="26"/>
      <c r="E29" s="28"/>
      <c r="F29" s="12" t="str">
        <f t="shared" si="3"/>
        <v>-</v>
      </c>
      <c r="G29" s="14"/>
      <c r="H29" s="8" t="str">
        <f>IF(A29&lt;&gt;0,ROUND((F29/D29)*G29,2),$J$1)</f>
        <v>-</v>
      </c>
      <c r="I29" s="73"/>
    </row>
    <row r="30" spans="1:9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75710.5</v>
      </c>
    </row>
    <row r="31" spans="1:9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9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>
        <f>SUM(H35:H37)</f>
        <v>0</v>
      </c>
    </row>
    <row r="35" spans="1:9" x14ac:dyDescent="0.2">
      <c r="A35" s="1215"/>
      <c r="B35" s="1216"/>
      <c r="C35" s="1217"/>
      <c r="D35" s="46" t="str">
        <f>IF(A35&lt;&gt;0,VLOOKUP(A35,Transporte,8,FALSE),$J$1)</f>
        <v>-</v>
      </c>
      <c r="E35" s="47"/>
      <c r="F35" s="15" t="str">
        <f t="shared" ref="F35:F40" si="4">IF(A35&lt;&gt;0,VLOOKUP(A35,Transporte,2,FALSE),$J$1)</f>
        <v>-</v>
      </c>
      <c r="G35" s="12"/>
      <c r="H35" s="8" t="str">
        <f t="shared" ref="H35:H40" si="5">IF(A35&lt;&gt;0,D35/F35*G35,$J$1)</f>
        <v>-</v>
      </c>
      <c r="I35" s="344"/>
    </row>
    <row r="36" spans="1:9" x14ac:dyDescent="0.2">
      <c r="A36" s="1215"/>
      <c r="B36" s="1216"/>
      <c r="C36" s="1217"/>
      <c r="D36" s="46" t="str">
        <f>IF(A36&lt;&gt;0,VLOOKUP(A36,Transporte,8,FALSE),$J$1)</f>
        <v>-</v>
      </c>
      <c r="E36" s="47"/>
      <c r="F36" s="15" t="str">
        <f t="shared" si="4"/>
        <v>-</v>
      </c>
      <c r="G36" s="12"/>
      <c r="H36" s="8" t="str">
        <f t="shared" si="5"/>
        <v>-</v>
      </c>
      <c r="I36" s="344"/>
    </row>
    <row r="37" spans="1:9" x14ac:dyDescent="0.2">
      <c r="A37" s="1215"/>
      <c r="B37" s="1216"/>
      <c r="C37" s="1217"/>
      <c r="D37" s="46"/>
      <c r="E37" s="47"/>
      <c r="F37" s="15" t="str">
        <f t="shared" si="4"/>
        <v>-</v>
      </c>
      <c r="G37" s="12"/>
      <c r="H37" s="8" t="str">
        <f t="shared" si="5"/>
        <v>-</v>
      </c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>
        <f>SUM(H39:H40)</f>
        <v>0</v>
      </c>
    </row>
    <row r="39" spans="1:9" x14ac:dyDescent="0.2">
      <c r="A39" s="1215"/>
      <c r="B39" s="1216"/>
      <c r="C39" s="1217"/>
      <c r="D39" s="46" t="str">
        <f>IF(A28&lt;&gt;0,VLOOKUP(A39,Transporte,8,FALSE),$J$1)</f>
        <v>-</v>
      </c>
      <c r="E39" s="47"/>
      <c r="F39" s="15" t="str">
        <f t="shared" si="4"/>
        <v>-</v>
      </c>
      <c r="G39" s="12"/>
      <c r="H39" s="8" t="str">
        <f t="shared" si="5"/>
        <v>-</v>
      </c>
      <c r="I39" s="344"/>
    </row>
    <row r="40" spans="1:9" x14ac:dyDescent="0.2">
      <c r="A40" s="1215"/>
      <c r="B40" s="1216"/>
      <c r="C40" s="1217"/>
      <c r="D40" s="46" t="str">
        <f>IF(A29&lt;&gt;0,VLOOKUP(A40,Transporte,8,FALSE),$J$1)</f>
        <v>-</v>
      </c>
      <c r="E40" s="47"/>
      <c r="F40" s="15" t="str">
        <f t="shared" si="4"/>
        <v>-</v>
      </c>
      <c r="G40" s="12"/>
      <c r="H40" s="8" t="str">
        <f t="shared" si="5"/>
        <v>-</v>
      </c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>
        <f>SUM(I34:I40)</f>
        <v>0</v>
      </c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11.5</v>
      </c>
      <c r="G45" s="1222"/>
      <c r="H45" s="8">
        <f>IF(A45&lt;&gt;0,ROUND(D45/F45,2),$J$1)</f>
        <v>37573.550000000003</v>
      </c>
      <c r="I45" s="69"/>
    </row>
    <row r="46" spans="1:9" x14ac:dyDescent="0.2">
      <c r="A46" s="1215"/>
      <c r="B46" s="1216"/>
      <c r="C46" s="1217"/>
      <c r="D46" s="1225" t="str">
        <f>IF(A46&lt;&gt;0,VLOOKUP(A46,Cuadrillas,7,FALSE),$J$1)</f>
        <v>-</v>
      </c>
      <c r="E46" s="1226"/>
      <c r="F46" s="1221"/>
      <c r="G46" s="1222"/>
      <c r="H46" s="8" t="str">
        <f>IF(A46&lt;&gt;0,ROUND(D46/F46,2),$J$1)</f>
        <v>-</v>
      </c>
      <c r="I46" s="69"/>
    </row>
    <row r="47" spans="1:9" x14ac:dyDescent="0.2">
      <c r="A47" s="1215"/>
      <c r="B47" s="1216"/>
      <c r="C47" s="1217"/>
      <c r="D47" s="1225" t="str">
        <f>IF(A47&lt;&gt;0,VLOOKUP(A47,Cuadrillas,7,FALSE),$J$1)</f>
        <v>-</v>
      </c>
      <c r="E47" s="1226"/>
      <c r="F47" s="1221"/>
      <c r="G47" s="1222"/>
      <c r="H47" s="8" t="str">
        <f>IF(A47&lt;&gt;0,ROUND(D47/F47,2),$J$1)</f>
        <v>-</v>
      </c>
      <c r="I47" s="69"/>
    </row>
    <row r="48" spans="1:9" x14ac:dyDescent="0.2">
      <c r="A48" s="1215"/>
      <c r="B48" s="1216"/>
      <c r="C48" s="1217"/>
      <c r="D48" s="1225" t="str">
        <f>IF(A48&lt;&gt;0,VLOOKUP(A48,Cuadrillas,7,FALSE),$J$1)</f>
        <v>-</v>
      </c>
      <c r="E48" s="1226"/>
      <c r="F48" s="1221"/>
      <c r="G48" s="1222"/>
      <c r="H48" s="8" t="str">
        <f>IF(A48&lt;&gt;0,ROUND(D48/F48,2),$J$1)</f>
        <v>-</v>
      </c>
      <c r="I48" s="69"/>
    </row>
    <row r="49" spans="1:9" x14ac:dyDescent="0.2">
      <c r="A49" s="1215"/>
      <c r="B49" s="1216"/>
      <c r="C49" s="1217"/>
      <c r="D49" s="1225" t="str">
        <f>IF(A49&lt;&gt;0,VLOOKUP(A49,Cuadrillas,7,FALSE),$J$1)</f>
        <v>-</v>
      </c>
      <c r="E49" s="1226"/>
      <c r="F49" s="1221"/>
      <c r="G49" s="1222"/>
      <c r="H49" s="8" t="str">
        <f>IF(A49&lt;&gt;0,ROUND(D49/F49,2),$J$1)</f>
        <v>-</v>
      </c>
      <c r="I49" s="73"/>
    </row>
    <row r="50" spans="1:9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37573.550000000003</v>
      </c>
    </row>
    <row r="51" spans="1:9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9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9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37573.550000000003</v>
      </c>
    </row>
    <row r="54" spans="1:9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I52+I53</f>
        <v>#REF!</v>
      </c>
    </row>
    <row r="55" spans="1:9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</row>
    <row r="56" spans="1:9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9" ht="13.5" thickTop="1" x14ac:dyDescent="0.2"/>
  </sheetData>
  <customSheetViews>
    <customSheetView guid="{93F324B6-F965-4669-93FF-DBB148734A46}" fitToPage="1" state="hidden">
      <selection sqref="A1:C1"/>
      <pageMargins left="0" right="0" top="0" bottom="0" header="0" footer="0"/>
      <printOptions horizontalCentered="1" verticalCentered="1"/>
      <pageSetup scale="76" orientation="portrait" blackAndWhite="1" errors="blank" r:id="rId1"/>
      <headerFooter alignWithMargins="0">
        <oddFooter xml:space="preserve">&amp;C  </oddFooter>
      </headerFooter>
    </customSheetView>
  </customSheetViews>
  <mergeCells count="50">
    <mergeCell ref="A1:C1"/>
    <mergeCell ref="B34:C34"/>
    <mergeCell ref="B38:C38"/>
    <mergeCell ref="A56:G56"/>
    <mergeCell ref="H56:I56"/>
    <mergeCell ref="F47:G47"/>
    <mergeCell ref="A49:C49"/>
    <mergeCell ref="A52:H52"/>
    <mergeCell ref="A51:I51"/>
    <mergeCell ref="A50:H50"/>
    <mergeCell ref="A54:G54"/>
    <mergeCell ref="F49:G49"/>
    <mergeCell ref="A55:C55"/>
    <mergeCell ref="D48:E48"/>
    <mergeCell ref="A47:C47"/>
    <mergeCell ref="H1:I1"/>
    <mergeCell ref="A48:C48"/>
    <mergeCell ref="F48:G48"/>
    <mergeCell ref="A43:I43"/>
    <mergeCell ref="F46:G46"/>
    <mergeCell ref="D47:E47"/>
    <mergeCell ref="A8:C8"/>
    <mergeCell ref="D44:E44"/>
    <mergeCell ref="D45:E45"/>
    <mergeCell ref="A44:C44"/>
    <mergeCell ref="A41:H41"/>
    <mergeCell ref="A42:I42"/>
    <mergeCell ref="A24:C24"/>
    <mergeCell ref="A25:C25"/>
    <mergeCell ref="F44:G44"/>
    <mergeCell ref="A36:C36"/>
    <mergeCell ref="A37:C37"/>
    <mergeCell ref="A39:C39"/>
    <mergeCell ref="A40:C40"/>
    <mergeCell ref="C5:I5"/>
    <mergeCell ref="D55:E55"/>
    <mergeCell ref="F55:I55"/>
    <mergeCell ref="A53:H53"/>
    <mergeCell ref="D49:E49"/>
    <mergeCell ref="A9:C9"/>
    <mergeCell ref="A10:C10"/>
    <mergeCell ref="A11:C11"/>
    <mergeCell ref="A12:C12"/>
    <mergeCell ref="A46:C46"/>
    <mergeCell ref="D46:E46"/>
    <mergeCell ref="A45:C45"/>
    <mergeCell ref="A26:C26"/>
    <mergeCell ref="A27:C27"/>
    <mergeCell ref="F45:G45"/>
    <mergeCell ref="A35:C35"/>
  </mergeCells>
  <phoneticPr fontId="0" type="noConversion"/>
  <dataValidations disablePrompts="1" count="5">
    <dataValidation type="list" allowBlank="1" showInputMessage="1" showErrorMessage="1" sqref="B13:C18 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8:C29 A23:A29 B23:C23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6" orientation="portrait" blackAndWhite="1" errors="blank" r:id="rId2"/>
  <headerFooter alignWithMargins="0">
    <oddFooter xml:space="preserve">&amp;C  </oddFooter>
  </headerFooter>
  <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FFFF00"/>
    <pageSetUpPr fitToPage="1"/>
  </sheetPr>
  <dimension ref="A1:P57"/>
  <sheetViews>
    <sheetView view="pageBreakPreview" topLeftCell="A16" zoomScaleNormal="100" zoomScaleSheetLayoutView="100" workbookViewId="0">
      <selection activeCell="L32" sqref="L32"/>
    </sheetView>
  </sheetViews>
  <sheetFormatPr baseColWidth="10" defaultColWidth="9.140625" defaultRowHeight="12.75" x14ac:dyDescent="0.2"/>
  <cols>
    <col min="1" max="1" width="8.42578125" style="1" customWidth="1"/>
    <col min="2" max="2" width="5" style="1" customWidth="1"/>
    <col min="3" max="3" width="26.7109375" style="1" customWidth="1"/>
    <col min="4" max="4" width="6.7109375" style="1" bestFit="1" customWidth="1"/>
    <col min="5" max="5" width="9.140625" style="1" bestFit="1" customWidth="1"/>
    <col min="6" max="6" width="12.5703125" style="1" customWidth="1"/>
    <col min="7" max="7" width="12.7109375" style="1" customWidth="1"/>
    <col min="8" max="9" width="15.7109375" style="1" customWidth="1"/>
    <col min="10" max="16384" width="9.140625" style="1"/>
  </cols>
  <sheetData>
    <row r="1" spans="1:16" s="9" customFormat="1" ht="50.1" customHeight="1" thickTop="1" x14ac:dyDescent="0.2">
      <c r="A1" s="1131" t="str">
        <f>+'Datos entrada'!B5</f>
        <v>INGENIERO CIVIL HEBER EDUARDO YEPES VILLOTA</v>
      </c>
      <c r="B1" s="1220"/>
      <c r="C1" s="1220"/>
      <c r="D1" s="93"/>
      <c r="E1" s="93"/>
      <c r="F1" s="93"/>
      <c r="G1" s="164"/>
      <c r="H1" s="1129" t="s">
        <v>2344</v>
      </c>
      <c r="I1" s="1130"/>
      <c r="J1" s="34" t="s">
        <v>2212</v>
      </c>
    </row>
    <row r="2" spans="1:16" s="9" customFormat="1" ht="15" customHeight="1" x14ac:dyDescent="0.2">
      <c r="A2" s="102" t="str">
        <f>+'Datos entrada'!B8</f>
        <v>CORREGIMIENTO DE LAS MESAS-MUNICIPIO DETABLON DE GOMES (N)</v>
      </c>
      <c r="B2" s="100"/>
      <c r="C2" s="100"/>
      <c r="D2" s="100"/>
      <c r="E2" s="100"/>
      <c r="F2" s="95"/>
      <c r="G2" s="95"/>
      <c r="H2" s="95"/>
      <c r="I2" s="96"/>
      <c r="J2" s="34"/>
    </row>
    <row r="3" spans="1:16" s="9" customFormat="1" ht="21" customHeight="1" x14ac:dyDescent="0.2">
      <c r="A3" s="259" t="str">
        <f>'Datos entrada'!B2</f>
        <v>Análisis de Precios Unitarios</v>
      </c>
      <c r="B3" s="260"/>
      <c r="C3" s="260"/>
      <c r="D3" s="260"/>
      <c r="E3" s="260"/>
      <c r="F3" s="260"/>
      <c r="G3" s="260"/>
      <c r="H3" s="260"/>
      <c r="I3" s="261"/>
    </row>
    <row r="4" spans="1:16" s="10" customFormat="1" ht="48" customHeight="1" x14ac:dyDescent="0.2">
      <c r="A4" s="1235" t="str">
        <f>'Datos entrada'!B4</f>
        <v>OPTIMIZACIÓN Y AMPLIACIÓN DE LA RED ALCANTARILLADO DEL CORREGIMIENTO DE LAS MESAS, MUNICIPIO DE EL TABLON DE GOMEZ – DEPARTAMENTO DE NARIÑO.</v>
      </c>
      <c r="B4" s="1236"/>
      <c r="C4" s="1236"/>
      <c r="D4" s="1236"/>
      <c r="E4" s="1237"/>
      <c r="F4" s="83" t="str">
        <f>'Datos entrada'!B6</f>
        <v>Presupuesto de Obra</v>
      </c>
      <c r="G4" s="85"/>
      <c r="H4" s="85"/>
      <c r="I4" s="94"/>
      <c r="L4" s="10" t="s">
        <v>2351</v>
      </c>
    </row>
    <row r="5" spans="1:16" x14ac:dyDescent="0.2">
      <c r="A5" s="246" t="s">
        <v>2213</v>
      </c>
      <c r="B5" s="280" t="e">
        <f>+OBRA!#REF!</f>
        <v>#REF!</v>
      </c>
      <c r="C5" s="1227" t="e">
        <f>+OBRA!#REF!</f>
        <v>#REF!</v>
      </c>
      <c r="D5" s="1227"/>
      <c r="E5" s="1227"/>
      <c r="F5" s="1227"/>
      <c r="G5" s="1227"/>
      <c r="H5" s="1227"/>
      <c r="I5" s="1228"/>
    </row>
    <row r="6" spans="1:16" x14ac:dyDescent="0.2">
      <c r="A6" s="875" t="s">
        <v>553</v>
      </c>
      <c r="B6" s="902"/>
      <c r="C6" s="902"/>
      <c r="D6" s="902"/>
      <c r="E6" s="902"/>
      <c r="F6" s="902"/>
      <c r="G6" s="208"/>
      <c r="H6" s="248" t="s">
        <v>2214</v>
      </c>
      <c r="I6" s="249" t="e">
        <f>+OBRA!#REF!</f>
        <v>#REF!</v>
      </c>
    </row>
    <row r="7" spans="1:16" s="11" customFormat="1" ht="25.5" x14ac:dyDescent="0.2">
      <c r="A7" s="250" t="s">
        <v>26</v>
      </c>
      <c r="B7" s="251"/>
      <c r="C7" s="252"/>
      <c r="D7" s="883" t="s">
        <v>2214</v>
      </c>
      <c r="E7" s="883" t="s">
        <v>2071</v>
      </c>
      <c r="F7" s="253" t="s">
        <v>2314</v>
      </c>
      <c r="G7" s="254"/>
      <c r="H7" s="879" t="s">
        <v>2216</v>
      </c>
      <c r="I7" s="72"/>
    </row>
    <row r="8" spans="1:16" x14ac:dyDescent="0.2">
      <c r="A8" s="1215" t="s">
        <v>230</v>
      </c>
      <c r="B8" s="1216"/>
      <c r="C8" s="1217"/>
      <c r="D8" s="851" t="e">
        <f t="shared" ref="D8:D18" si="0">IF(A8&lt;&gt;0,VLOOKUP(A8,Materiales,2,FALSE),$J$1)</f>
        <v>#REF!</v>
      </c>
      <c r="E8" s="12">
        <f>8.22+0.87+0.45</f>
        <v>9.5399999999999991</v>
      </c>
      <c r="F8" s="21" t="e">
        <f>IF(A8&lt;&gt;0,VLOOKUP(A8,Materiales,6,FALSE),$J$1)</f>
        <v>#REF!</v>
      </c>
      <c r="G8" s="22"/>
      <c r="H8" s="8" t="e">
        <f t="shared" ref="H8:H18" si="1">IF(A8&lt;&gt;0,ROUND(E8*F8,2),$J$1)</f>
        <v>#REF!</v>
      </c>
      <c r="I8" s="69"/>
      <c r="K8" s="1" t="s">
        <v>2345</v>
      </c>
      <c r="L8" s="1">
        <f>+(3.1416*1.2*1.2)/4</f>
        <v>1.130976</v>
      </c>
    </row>
    <row r="9" spans="1:16" x14ac:dyDescent="0.2">
      <c r="A9" s="1215" t="s">
        <v>363</v>
      </c>
      <c r="B9" s="1216"/>
      <c r="C9" s="1217"/>
      <c r="D9" s="851" t="e">
        <f t="shared" si="0"/>
        <v>#REF!</v>
      </c>
      <c r="E9" s="13">
        <v>42</v>
      </c>
      <c r="F9" s="21" t="e">
        <f>IF(A9&lt;&gt;0,VLOOKUP(A9,Materiales,6,FALSE),$J$1)</f>
        <v>#REF!</v>
      </c>
      <c r="G9" s="22"/>
      <c r="H9" s="8" t="e">
        <f t="shared" si="1"/>
        <v>#REF!</v>
      </c>
      <c r="I9" s="69"/>
      <c r="K9" s="1" t="s">
        <v>2346</v>
      </c>
      <c r="L9" s="1">
        <f>+(3.1416*0.7*0.7)/4</f>
        <v>0.38484599999999991</v>
      </c>
    </row>
    <row r="10" spans="1:16" x14ac:dyDescent="0.2">
      <c r="A10" s="1215" t="s">
        <v>275</v>
      </c>
      <c r="B10" s="1216"/>
      <c r="C10" s="1217"/>
      <c r="D10" s="851" t="e">
        <f t="shared" si="0"/>
        <v>#REF!</v>
      </c>
      <c r="E10" s="161">
        <v>30</v>
      </c>
      <c r="F10" s="21" t="e">
        <f>IF(A10&lt;&gt;0,VLOOKUP(A10,Materiales,6,FALSE),$J$1)</f>
        <v>#REF!</v>
      </c>
      <c r="G10" s="22"/>
      <c r="H10" s="8" t="e">
        <f t="shared" si="1"/>
        <v>#REF!</v>
      </c>
      <c r="I10" s="69"/>
      <c r="K10" s="11"/>
      <c r="L10" s="11">
        <f>+L8-L9</f>
        <v>0.74613000000000007</v>
      </c>
      <c r="M10" s="11"/>
      <c r="N10" s="11"/>
      <c r="O10" s="11" t="s">
        <v>2347</v>
      </c>
      <c r="P10" s="11">
        <f>(7.2+8.2)/2</f>
        <v>7.6999999999999993</v>
      </c>
    </row>
    <row r="11" spans="1:16" x14ac:dyDescent="0.2">
      <c r="A11" s="1215" t="s">
        <v>330</v>
      </c>
      <c r="B11" s="1216"/>
      <c r="C11" s="1217"/>
      <c r="D11" s="851" t="e">
        <f t="shared" si="0"/>
        <v>#REF!</v>
      </c>
      <c r="E11" s="12">
        <v>13</v>
      </c>
      <c r="F11" s="21" t="e">
        <f>IF(A11&lt;&gt;0,VLOOKUP(A11,Materiales,6,FALSE),$J$1)</f>
        <v>#REF!</v>
      </c>
      <c r="G11" s="22"/>
      <c r="H11" s="8" t="e">
        <f t="shared" si="1"/>
        <v>#REF!</v>
      </c>
      <c r="I11" s="69"/>
      <c r="K11" s="1" t="s">
        <v>2348</v>
      </c>
      <c r="L11" s="1">
        <f>+(3.1416*L10*2)*2.7</f>
        <v>12.657826843200002</v>
      </c>
    </row>
    <row r="12" spans="1:16" x14ac:dyDescent="0.2">
      <c r="A12" s="1215"/>
      <c r="B12" s="1216"/>
      <c r="C12" s="1217"/>
      <c r="D12" s="851" t="str">
        <f t="shared" si="0"/>
        <v>-</v>
      </c>
      <c r="E12" s="12"/>
      <c r="F12" s="21" t="str">
        <f>IF(A12&lt;&gt;0,VLOOKUP(A12,Materiales,6,FALSE),$J$1)</f>
        <v>-</v>
      </c>
      <c r="G12" s="22"/>
      <c r="H12" s="8" t="str">
        <f t="shared" si="1"/>
        <v>-</v>
      </c>
      <c r="I12" s="69"/>
      <c r="K12" s="1" t="s">
        <v>2349</v>
      </c>
      <c r="L12" s="1">
        <f>+(L10+L9)/2</f>
        <v>0.56548799999999999</v>
      </c>
    </row>
    <row r="13" spans="1:16" x14ac:dyDescent="0.2">
      <c r="A13" s="871"/>
      <c r="B13" s="872"/>
      <c r="C13" s="873"/>
      <c r="D13" s="851" t="str">
        <f t="shared" si="0"/>
        <v>-</v>
      </c>
      <c r="E13" s="12"/>
      <c r="F13" s="21" t="str">
        <f t="shared" ref="F13:F18" si="2">IF(A13&lt;&gt;0,VLOOKUP(A13,Materiales,5,FALSE),$J$1)</f>
        <v>-</v>
      </c>
      <c r="G13" s="22"/>
      <c r="H13" s="8" t="str">
        <f t="shared" si="1"/>
        <v>-</v>
      </c>
      <c r="I13" s="69"/>
      <c r="K13" s="1" t="s">
        <v>2350</v>
      </c>
      <c r="L13" s="1">
        <f>2*(3.1416*L12*P10)</f>
        <v>27.358671352319998</v>
      </c>
    </row>
    <row r="14" spans="1:16" x14ac:dyDescent="0.2">
      <c r="A14" s="871"/>
      <c r="B14" s="872"/>
      <c r="C14" s="873"/>
      <c r="D14" s="851" t="str">
        <f t="shared" si="0"/>
        <v>-</v>
      </c>
      <c r="E14" s="12"/>
      <c r="F14" s="21" t="str">
        <f t="shared" si="2"/>
        <v>-</v>
      </c>
      <c r="G14" s="22"/>
      <c r="H14" s="8" t="str">
        <f t="shared" si="1"/>
        <v>-</v>
      </c>
      <c r="I14" s="69"/>
      <c r="N14" s="1">
        <f>+L13*0.023</f>
        <v>0.6292494411033599</v>
      </c>
    </row>
    <row r="15" spans="1:16" x14ac:dyDescent="0.2">
      <c r="A15" s="871"/>
      <c r="B15" s="872"/>
      <c r="C15" s="873"/>
      <c r="D15" s="851" t="str">
        <f t="shared" si="0"/>
        <v>-</v>
      </c>
      <c r="E15" s="12"/>
      <c r="F15" s="21" t="str">
        <f t="shared" si="2"/>
        <v>-</v>
      </c>
      <c r="G15" s="22"/>
      <c r="H15" s="8" t="str">
        <f t="shared" si="1"/>
        <v>-</v>
      </c>
      <c r="I15" s="69"/>
    </row>
    <row r="16" spans="1:16" x14ac:dyDescent="0.2">
      <c r="A16" s="871"/>
      <c r="B16" s="872"/>
      <c r="C16" s="873"/>
      <c r="D16" s="851" t="str">
        <f t="shared" si="0"/>
        <v>-</v>
      </c>
      <c r="E16" s="12"/>
      <c r="F16" s="21" t="str">
        <f t="shared" si="2"/>
        <v>-</v>
      </c>
      <c r="G16" s="22"/>
      <c r="H16" s="8" t="str">
        <f t="shared" si="1"/>
        <v>-</v>
      </c>
      <c r="I16" s="69"/>
      <c r="K16" s="1">
        <f>52*L13</f>
        <v>1422.6509103206399</v>
      </c>
    </row>
    <row r="17" spans="1:11" x14ac:dyDescent="0.2">
      <c r="A17" s="871"/>
      <c r="B17" s="872"/>
      <c r="C17" s="873"/>
      <c r="D17" s="851" t="str">
        <f t="shared" si="0"/>
        <v>-</v>
      </c>
      <c r="E17" s="12"/>
      <c r="F17" s="21" t="str">
        <f t="shared" si="2"/>
        <v>-</v>
      </c>
      <c r="G17" s="22"/>
      <c r="H17" s="8" t="str">
        <f t="shared" si="1"/>
        <v>-</v>
      </c>
      <c r="I17" s="69"/>
    </row>
    <row r="18" spans="1:11" x14ac:dyDescent="0.2">
      <c r="A18" s="871"/>
      <c r="B18" s="872"/>
      <c r="C18" s="873"/>
      <c r="D18" s="851" t="str">
        <f t="shared" si="0"/>
        <v>-</v>
      </c>
      <c r="E18" s="12"/>
      <c r="F18" s="21" t="str">
        <f t="shared" si="2"/>
        <v>-</v>
      </c>
      <c r="G18" s="22"/>
      <c r="H18" s="8" t="str">
        <f t="shared" si="1"/>
        <v>-</v>
      </c>
      <c r="I18" s="73"/>
      <c r="K18" s="1">
        <f>+L13*0.023</f>
        <v>0.6292494411033599</v>
      </c>
    </row>
    <row r="19" spans="1:11" x14ac:dyDescent="0.2">
      <c r="A19" s="850" t="s">
        <v>2217</v>
      </c>
      <c r="B19" s="872"/>
      <c r="C19" s="872"/>
      <c r="D19" s="872"/>
      <c r="E19" s="872"/>
      <c r="F19" s="872"/>
      <c r="G19" s="872"/>
      <c r="H19" s="873"/>
      <c r="I19" s="241" t="e">
        <f>SUM(H8:H18)</f>
        <v>#REF!</v>
      </c>
    </row>
    <row r="20" spans="1:11" x14ac:dyDescent="0.2">
      <c r="A20" s="76"/>
      <c r="B20" s="27"/>
      <c r="C20" s="27"/>
      <c r="D20" s="27"/>
      <c r="E20" s="27"/>
      <c r="F20" s="27"/>
      <c r="G20" s="27"/>
      <c r="H20" s="27"/>
      <c r="I20" s="64"/>
    </row>
    <row r="21" spans="1:11" x14ac:dyDescent="0.2">
      <c r="A21" s="875" t="s">
        <v>454</v>
      </c>
      <c r="B21" s="876"/>
      <c r="C21" s="876"/>
      <c r="D21" s="876"/>
      <c r="E21" s="876"/>
      <c r="F21" s="876"/>
      <c r="G21" s="876"/>
      <c r="H21" s="876"/>
      <c r="I21" s="877"/>
    </row>
    <row r="22" spans="1:11" s="9" customFormat="1" ht="25.5" x14ac:dyDescent="0.2">
      <c r="A22" s="255" t="s">
        <v>26</v>
      </c>
      <c r="B22" s="256"/>
      <c r="C22" s="254"/>
      <c r="D22" s="253" t="s">
        <v>2218</v>
      </c>
      <c r="E22" s="254"/>
      <c r="F22" s="235" t="s">
        <v>2219</v>
      </c>
      <c r="G22" s="881" t="s">
        <v>2220</v>
      </c>
      <c r="H22" s="257" t="s">
        <v>2216</v>
      </c>
      <c r="I22" s="72"/>
    </row>
    <row r="23" spans="1:11" x14ac:dyDescent="0.2">
      <c r="A23" s="871" t="s">
        <v>477</v>
      </c>
      <c r="B23" s="872"/>
      <c r="C23" s="873"/>
      <c r="D23" s="26">
        <v>0.2</v>
      </c>
      <c r="E23" s="28"/>
      <c r="F23" s="12">
        <f t="shared" ref="F23" si="3">IF(A23&lt;&gt;0,VLOOKUP(A23,Equipos,6,FALSE),$J$1)</f>
        <v>3710</v>
      </c>
      <c r="G23" s="14">
        <v>0.05</v>
      </c>
      <c r="H23" s="8">
        <f>IF(A23&lt;&gt;0,ROUND((F23/D23)*G23,2),$J$1)</f>
        <v>927.5</v>
      </c>
      <c r="I23" s="69"/>
    </row>
    <row r="24" spans="1:11" x14ac:dyDescent="0.2">
      <c r="A24" s="1215" t="s">
        <v>498</v>
      </c>
      <c r="B24" s="1216"/>
      <c r="C24" s="1217"/>
      <c r="D24" s="26">
        <v>0.5</v>
      </c>
      <c r="E24" s="28"/>
      <c r="F24" s="12">
        <f>IF(A24&lt;&gt;0,VLOOKUP(A24,Equipos,6,FALSE),$J$1)</f>
        <v>39135.199999999997</v>
      </c>
      <c r="G24" s="14">
        <v>0.3</v>
      </c>
      <c r="H24" s="8">
        <f>IF(A24&lt;&gt;0,ROUND((F24/D24)*G24,2),$J$1)</f>
        <v>23481.119999999999</v>
      </c>
      <c r="I24" s="69"/>
    </row>
    <row r="25" spans="1:11" x14ac:dyDescent="0.2">
      <c r="A25" s="1215" t="s">
        <v>503</v>
      </c>
      <c r="B25" s="1216"/>
      <c r="C25" s="1217"/>
      <c r="D25" s="26">
        <v>0.1</v>
      </c>
      <c r="E25" s="28"/>
      <c r="F25" s="12">
        <f>IF(A25&lt;&gt;0,VLOOKUP(A25,Equipos,6,FALSE),$J$1)</f>
        <v>3180</v>
      </c>
      <c r="G25" s="14">
        <v>0.5</v>
      </c>
      <c r="H25" s="8">
        <f>IF(A25&lt;&gt;0,ROUND((F25/D25)*G25,2),$J$1)</f>
        <v>15900</v>
      </c>
      <c r="I25" s="69"/>
    </row>
    <row r="26" spans="1:11" x14ac:dyDescent="0.2">
      <c r="A26" s="1215"/>
      <c r="B26" s="1216"/>
      <c r="C26" s="1217"/>
      <c r="D26" s="26"/>
      <c r="E26" s="28"/>
      <c r="F26" s="12"/>
      <c r="G26" s="14"/>
      <c r="H26" s="8"/>
      <c r="I26" s="69"/>
    </row>
    <row r="27" spans="1:11" x14ac:dyDescent="0.2">
      <c r="A27" s="1215"/>
      <c r="B27" s="1216"/>
      <c r="C27" s="1217"/>
      <c r="D27" s="26"/>
      <c r="E27" s="28"/>
      <c r="F27" s="12"/>
      <c r="G27" s="14"/>
      <c r="H27" s="8"/>
      <c r="I27" s="69"/>
    </row>
    <row r="28" spans="1:11" x14ac:dyDescent="0.2">
      <c r="A28" s="871"/>
      <c r="B28" s="872"/>
      <c r="C28" s="873"/>
      <c r="D28" s="26"/>
      <c r="E28" s="28"/>
      <c r="F28" s="12"/>
      <c r="G28" s="14"/>
      <c r="H28" s="8"/>
      <c r="I28" s="69"/>
    </row>
    <row r="29" spans="1:11" x14ac:dyDescent="0.2">
      <c r="A29" s="871"/>
      <c r="B29" s="872"/>
      <c r="C29" s="873"/>
      <c r="D29" s="26"/>
      <c r="E29" s="28"/>
      <c r="F29" s="12"/>
      <c r="G29" s="14"/>
      <c r="H29" s="8"/>
      <c r="I29" s="73"/>
    </row>
    <row r="30" spans="1:11" x14ac:dyDescent="0.2">
      <c r="A30" s="850" t="s">
        <v>2221</v>
      </c>
      <c r="B30" s="872"/>
      <c r="C30" s="872"/>
      <c r="D30" s="872"/>
      <c r="E30" s="872"/>
      <c r="F30" s="872"/>
      <c r="G30" s="872"/>
      <c r="H30" s="873"/>
      <c r="I30" s="241">
        <f>SUM(H23:H29)</f>
        <v>40308.619999999995</v>
      </c>
    </row>
    <row r="31" spans="1:11" x14ac:dyDescent="0.2">
      <c r="A31" s="76"/>
      <c r="B31" s="27"/>
      <c r="C31" s="27"/>
      <c r="D31" s="27"/>
      <c r="E31" s="27"/>
      <c r="F31" s="27"/>
      <c r="G31" s="27"/>
      <c r="H31" s="27"/>
      <c r="I31" s="64"/>
    </row>
    <row r="32" spans="1:11" x14ac:dyDescent="0.2">
      <c r="A32" s="875" t="s">
        <v>2222</v>
      </c>
      <c r="B32" s="876"/>
      <c r="C32" s="876"/>
      <c r="D32" s="876"/>
      <c r="E32" s="876"/>
      <c r="F32" s="876"/>
      <c r="G32" s="876"/>
      <c r="H32" s="876"/>
      <c r="I32" s="877"/>
    </row>
    <row r="33" spans="1:9" s="9" customFormat="1" ht="25.5" x14ac:dyDescent="0.2">
      <c r="A33" s="250" t="s">
        <v>26</v>
      </c>
      <c r="B33" s="251"/>
      <c r="C33" s="252"/>
      <c r="D33" s="253" t="s">
        <v>2223</v>
      </c>
      <c r="E33" s="254"/>
      <c r="F33" s="881" t="s">
        <v>2224</v>
      </c>
      <c r="G33" s="881" t="s">
        <v>2225</v>
      </c>
      <c r="H33" s="257" t="s">
        <v>2216</v>
      </c>
      <c r="I33" s="72"/>
    </row>
    <row r="34" spans="1:9" x14ac:dyDescent="0.2">
      <c r="A34" s="890"/>
      <c r="B34" s="1105" t="s">
        <v>2226</v>
      </c>
      <c r="C34" s="1104"/>
      <c r="D34" s="46"/>
      <c r="E34" s="47"/>
      <c r="F34" s="15"/>
      <c r="G34" s="12"/>
      <c r="H34" s="8"/>
      <c r="I34" s="343"/>
    </row>
    <row r="35" spans="1:9" x14ac:dyDescent="0.2">
      <c r="A35" s="1215"/>
      <c r="B35" s="1216"/>
      <c r="C35" s="1217"/>
      <c r="D35" s="46"/>
      <c r="E35" s="47"/>
      <c r="F35" s="15"/>
      <c r="G35" s="12"/>
      <c r="H35" s="8"/>
      <c r="I35" s="344"/>
    </row>
    <row r="36" spans="1:9" x14ac:dyDescent="0.2">
      <c r="A36" s="1215"/>
      <c r="B36" s="1216"/>
      <c r="C36" s="1217"/>
      <c r="D36" s="46"/>
      <c r="E36" s="47"/>
      <c r="F36" s="15"/>
      <c r="G36" s="12"/>
      <c r="H36" s="8"/>
      <c r="I36" s="344"/>
    </row>
    <row r="37" spans="1:9" x14ac:dyDescent="0.2">
      <c r="A37" s="1215"/>
      <c r="B37" s="1216"/>
      <c r="C37" s="1217"/>
      <c r="D37" s="46"/>
      <c r="E37" s="47"/>
      <c r="F37" s="15"/>
      <c r="G37" s="12"/>
      <c r="H37" s="8"/>
      <c r="I37" s="345"/>
    </row>
    <row r="38" spans="1:9" x14ac:dyDescent="0.2">
      <c r="A38" s="871"/>
      <c r="B38" s="1105" t="s">
        <v>2227</v>
      </c>
      <c r="C38" s="1104"/>
      <c r="D38" s="46"/>
      <c r="E38" s="47"/>
      <c r="F38" s="15"/>
      <c r="G38" s="12"/>
      <c r="H38" s="8"/>
      <c r="I38" s="343"/>
    </row>
    <row r="39" spans="1:9" x14ac:dyDescent="0.2">
      <c r="A39" s="1215"/>
      <c r="B39" s="1216"/>
      <c r="C39" s="1217"/>
      <c r="D39" s="46"/>
      <c r="E39" s="47"/>
      <c r="F39" s="15"/>
      <c r="G39" s="12"/>
      <c r="H39" s="8"/>
      <c r="I39" s="344"/>
    </row>
    <row r="40" spans="1:9" x14ac:dyDescent="0.2">
      <c r="A40" s="1215"/>
      <c r="B40" s="1216"/>
      <c r="C40" s="1217"/>
      <c r="D40" s="46"/>
      <c r="E40" s="47"/>
      <c r="F40" s="15"/>
      <c r="G40" s="12"/>
      <c r="H40" s="8"/>
      <c r="I40" s="73"/>
    </row>
    <row r="41" spans="1:9" x14ac:dyDescent="0.2">
      <c r="A41" s="1084" t="s">
        <v>2228</v>
      </c>
      <c r="B41" s="1216"/>
      <c r="C41" s="1216"/>
      <c r="D41" s="1216"/>
      <c r="E41" s="1216"/>
      <c r="F41" s="1216"/>
      <c r="G41" s="1216"/>
      <c r="H41" s="1217"/>
      <c r="I41" s="241"/>
    </row>
    <row r="42" spans="1:9" x14ac:dyDescent="0.2">
      <c r="A42" s="1086"/>
      <c r="B42" s="1087"/>
      <c r="C42" s="1087"/>
      <c r="D42" s="1087"/>
      <c r="E42" s="1087"/>
      <c r="F42" s="1087"/>
      <c r="G42" s="1087"/>
      <c r="H42" s="1087"/>
      <c r="I42" s="1088"/>
    </row>
    <row r="43" spans="1:9" x14ac:dyDescent="0.2">
      <c r="A43" s="1200" t="s">
        <v>554</v>
      </c>
      <c r="B43" s="1201"/>
      <c r="C43" s="1201"/>
      <c r="D43" s="1201"/>
      <c r="E43" s="1201"/>
      <c r="F43" s="1201"/>
      <c r="G43" s="1201"/>
      <c r="H43" s="1201"/>
      <c r="I43" s="1202"/>
    </row>
    <row r="44" spans="1:9" s="9" customFormat="1" ht="25.5" x14ac:dyDescent="0.2">
      <c r="A44" s="1229" t="s">
        <v>2229</v>
      </c>
      <c r="B44" s="1230"/>
      <c r="C44" s="1231"/>
      <c r="D44" s="1223" t="s">
        <v>2230</v>
      </c>
      <c r="E44" s="1224"/>
      <c r="F44" s="1223" t="s">
        <v>2218</v>
      </c>
      <c r="G44" s="1224"/>
      <c r="H44" s="257" t="s">
        <v>2216</v>
      </c>
      <c r="I44" s="72"/>
    </row>
    <row r="45" spans="1:9" x14ac:dyDescent="0.2">
      <c r="A45" s="1215" t="s">
        <v>49</v>
      </c>
      <c r="B45" s="1216"/>
      <c r="C45" s="1217"/>
      <c r="D45" s="1225">
        <f>IF(A45&lt;&gt;0,VLOOKUP(A45,Cuadrillas,7,FALSE),$J$1)</f>
        <v>432095.84</v>
      </c>
      <c r="E45" s="1226"/>
      <c r="F45" s="1221">
        <v>0.12</v>
      </c>
      <c r="G45" s="1222"/>
      <c r="H45" s="8">
        <f>IF(A45&lt;&gt;0,ROUND(D45/F45,2),$J$1)</f>
        <v>3600798.67</v>
      </c>
      <c r="I45" s="69"/>
    </row>
    <row r="46" spans="1:9" x14ac:dyDescent="0.2">
      <c r="A46" s="1215"/>
      <c r="B46" s="1216"/>
      <c r="C46" s="1217"/>
      <c r="D46" s="1225"/>
      <c r="E46" s="1226"/>
      <c r="F46" s="1221"/>
      <c r="G46" s="1222"/>
      <c r="H46" s="8"/>
      <c r="I46" s="69"/>
    </row>
    <row r="47" spans="1:9" x14ac:dyDescent="0.2">
      <c r="A47" s="1215"/>
      <c r="B47" s="1216"/>
      <c r="C47" s="1217"/>
      <c r="D47" s="1225"/>
      <c r="E47" s="1226"/>
      <c r="F47" s="1221"/>
      <c r="G47" s="1222"/>
      <c r="H47" s="8"/>
      <c r="I47" s="69"/>
    </row>
    <row r="48" spans="1:9" x14ac:dyDescent="0.2">
      <c r="A48" s="1215"/>
      <c r="B48" s="1216"/>
      <c r="C48" s="1217"/>
      <c r="D48" s="1225"/>
      <c r="E48" s="1226"/>
      <c r="F48" s="1221"/>
      <c r="G48" s="1222"/>
      <c r="H48" s="8"/>
      <c r="I48" s="69"/>
    </row>
    <row r="49" spans="1:11" x14ac:dyDescent="0.2">
      <c r="A49" s="1215"/>
      <c r="B49" s="1216"/>
      <c r="C49" s="1217"/>
      <c r="D49" s="1225"/>
      <c r="E49" s="1226"/>
      <c r="F49" s="1221"/>
      <c r="G49" s="1222"/>
      <c r="H49" s="8"/>
      <c r="I49" s="73"/>
    </row>
    <row r="50" spans="1:11" x14ac:dyDescent="0.2">
      <c r="A50" s="1084" t="s">
        <v>2231</v>
      </c>
      <c r="B50" s="1085"/>
      <c r="C50" s="1085"/>
      <c r="D50" s="1085"/>
      <c r="E50" s="1085"/>
      <c r="F50" s="1085"/>
      <c r="G50" s="1085"/>
      <c r="H50" s="1133"/>
      <c r="I50" s="240">
        <f>SUM(H45:H49)</f>
        <v>3600798.67</v>
      </c>
    </row>
    <row r="51" spans="1:11" x14ac:dyDescent="0.2">
      <c r="A51" s="1086"/>
      <c r="B51" s="1087"/>
      <c r="C51" s="1087"/>
      <c r="D51" s="1087"/>
      <c r="E51" s="1087"/>
      <c r="F51" s="1087"/>
      <c r="G51" s="1087"/>
      <c r="H51" s="1087"/>
      <c r="I51" s="1088"/>
    </row>
    <row r="52" spans="1:11" x14ac:dyDescent="0.2">
      <c r="A52" s="1089" t="s">
        <v>2232</v>
      </c>
      <c r="B52" s="1090"/>
      <c r="C52" s="1090"/>
      <c r="D52" s="1090"/>
      <c r="E52" s="1090"/>
      <c r="F52" s="1090"/>
      <c r="G52" s="1090"/>
      <c r="H52" s="1090"/>
      <c r="I52" s="237" t="e">
        <f>I19+I30+I41</f>
        <v>#REF!</v>
      </c>
    </row>
    <row r="53" spans="1:11" ht="13.5" thickBot="1" x14ac:dyDescent="0.25">
      <c r="A53" s="1193" t="s">
        <v>2233</v>
      </c>
      <c r="B53" s="1194"/>
      <c r="C53" s="1194"/>
      <c r="D53" s="1194"/>
      <c r="E53" s="1194"/>
      <c r="F53" s="1194"/>
      <c r="G53" s="1194"/>
      <c r="H53" s="1194"/>
      <c r="I53" s="238">
        <f>I50</f>
        <v>3600798.67</v>
      </c>
    </row>
    <row r="54" spans="1:11" s="9" customFormat="1" ht="25.5" customHeight="1" thickTop="1" thickBot="1" x14ac:dyDescent="0.25">
      <c r="A54" s="1195" t="s">
        <v>2234</v>
      </c>
      <c r="B54" s="1196"/>
      <c r="C54" s="1196"/>
      <c r="D54" s="1196"/>
      <c r="E54" s="1196"/>
      <c r="F54" s="1196"/>
      <c r="G54" s="1196"/>
      <c r="H54" s="258"/>
      <c r="I54" s="239" t="e">
        <f>ROUND(I52+I53,0)</f>
        <v>#REF!</v>
      </c>
    </row>
    <row r="55" spans="1:11" s="9" customFormat="1" ht="25.5" customHeight="1" thickTop="1" thickBot="1" x14ac:dyDescent="0.25">
      <c r="A55" s="1095" t="s">
        <v>10</v>
      </c>
      <c r="B55" s="1096"/>
      <c r="C55" s="1232"/>
      <c r="D55" s="1097">
        <f>+'Datos entrada'!B7</f>
        <v>0.3</v>
      </c>
      <c r="E55" s="1098"/>
      <c r="F55" s="1233" t="e">
        <f>I54*D55</f>
        <v>#REF!</v>
      </c>
      <c r="G55" s="1099"/>
      <c r="H55" s="1099"/>
      <c r="I55" s="1100"/>
      <c r="K55" s="9" t="s">
        <v>2235</v>
      </c>
    </row>
    <row r="56" spans="1:11" s="9" customFormat="1" ht="25.5" customHeight="1" thickTop="1" thickBot="1" x14ac:dyDescent="0.25">
      <c r="A56" s="1095" t="s">
        <v>2236</v>
      </c>
      <c r="B56" s="1096"/>
      <c r="C56" s="1096"/>
      <c r="D56" s="1096"/>
      <c r="E56" s="1096"/>
      <c r="F56" s="1096"/>
      <c r="G56" s="1096"/>
      <c r="H56" s="1191" t="e">
        <f>I54+F55</f>
        <v>#REF!</v>
      </c>
      <c r="I56" s="1192"/>
    </row>
    <row r="57" spans="1:11" ht="13.5" thickTop="1" x14ac:dyDescent="0.2"/>
  </sheetData>
  <customSheetViews>
    <customSheetView guid="{93F324B6-F965-4669-93FF-DBB148734A46}" fitToPage="1" topLeftCell="A43">
      <selection activeCell="L4" sqref="L4"/>
      <pageMargins left="0" right="0" top="0" bottom="0" header="0" footer="0"/>
      <printOptions horizontalCentered="1" verticalCentered="1"/>
      <pageSetup scale="75" orientation="portrait" blackAndWhite="1" errors="blank" r:id="rId1"/>
      <headerFooter alignWithMargins="0">
        <oddFooter xml:space="preserve">&amp;C  </oddFooter>
      </headerFooter>
    </customSheetView>
  </customSheetViews>
  <mergeCells count="51">
    <mergeCell ref="A35:C35"/>
    <mergeCell ref="A10:C10"/>
    <mergeCell ref="A11:C11"/>
    <mergeCell ref="A12:C12"/>
    <mergeCell ref="A26:C26"/>
    <mergeCell ref="A27:C27"/>
    <mergeCell ref="H56:I56"/>
    <mergeCell ref="F47:G47"/>
    <mergeCell ref="A49:C49"/>
    <mergeCell ref="A52:H52"/>
    <mergeCell ref="A51:I51"/>
    <mergeCell ref="A50:H50"/>
    <mergeCell ref="A54:G54"/>
    <mergeCell ref="F49:G49"/>
    <mergeCell ref="A55:C55"/>
    <mergeCell ref="D48:E48"/>
    <mergeCell ref="A47:C47"/>
    <mergeCell ref="D55:E55"/>
    <mergeCell ref="F55:I55"/>
    <mergeCell ref="A53:H53"/>
    <mergeCell ref="D49:E49"/>
    <mergeCell ref="A56:G56"/>
    <mergeCell ref="A48:C48"/>
    <mergeCell ref="F48:G48"/>
    <mergeCell ref="A43:I43"/>
    <mergeCell ref="F46:G46"/>
    <mergeCell ref="D47:E47"/>
    <mergeCell ref="D44:E44"/>
    <mergeCell ref="D45:E45"/>
    <mergeCell ref="A44:C44"/>
    <mergeCell ref="F44:G44"/>
    <mergeCell ref="A46:C46"/>
    <mergeCell ref="D46:E46"/>
    <mergeCell ref="A45:C45"/>
    <mergeCell ref="F45:G45"/>
    <mergeCell ref="H1:I1"/>
    <mergeCell ref="A8:C8"/>
    <mergeCell ref="A41:H41"/>
    <mergeCell ref="A42:I42"/>
    <mergeCell ref="A24:C24"/>
    <mergeCell ref="A25:C25"/>
    <mergeCell ref="A36:C36"/>
    <mergeCell ref="A4:E4"/>
    <mergeCell ref="A1:C1"/>
    <mergeCell ref="B34:C34"/>
    <mergeCell ref="B38:C38"/>
    <mergeCell ref="A37:C37"/>
    <mergeCell ref="A39:C39"/>
    <mergeCell ref="A40:C40"/>
    <mergeCell ref="C5:I5"/>
    <mergeCell ref="A9:C9"/>
  </mergeCells>
  <phoneticPr fontId="0" type="noConversion"/>
  <dataValidations count="5">
    <dataValidation type="list" allowBlank="1" showInputMessage="1" showErrorMessage="1" sqref="B13:C18 A9:A18">
      <formula1>Descripción</formula1>
    </dataValidation>
    <dataValidation type="list" allowBlank="1" showInputMessage="1" showErrorMessage="1" errorTitle="¡¡¡ERROR!!!" error="El valor no está en la lista de materiales, por favor, escoja un valor directamente de la lista existente picando en la flecha que aparece a la derecha de la celda, si no aparece lo puede agregar." sqref="A8">
      <formula1>Descripción</formula1>
    </dataValidation>
    <dataValidation type="list" allowBlank="1" showInputMessage="1" showErrorMessage="1" sqref="B28:C29 A23:A29 B23:C23">
      <formula1>Descrip_equipos</formula1>
    </dataValidation>
    <dataValidation type="list" allowBlank="1" showInputMessage="1" showErrorMessage="1" sqref="A45:C49">
      <formula1>Descrip_cuadrillas</formula1>
    </dataValidation>
    <dataValidation type="list" allowBlank="1" showInputMessage="1" showErrorMessage="1" sqref="A34:A40">
      <formula1>Descrip_transporte</formula1>
    </dataValidation>
  </dataValidations>
  <printOptions horizontalCentered="1" verticalCentered="1"/>
  <pageMargins left="0.98425196850393704" right="0.98425196850393704" top="1.1811023622047245" bottom="0.78740157480314965" header="0" footer="0"/>
  <pageSetup scale="74" orientation="portrait" blackAndWhite="1" errors="blank" r:id="rId2"/>
  <headerFooter alignWithMargins="0">
    <oddFooter xml:space="preserve">&amp;C  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304</vt:i4>
      </vt:variant>
      <vt:variant>
        <vt:lpstr>Rangos con nombre</vt:lpstr>
      </vt:variant>
      <vt:variant>
        <vt:i4>373</vt:i4>
      </vt:variant>
    </vt:vector>
  </HeadingPairs>
  <TitlesOfParts>
    <vt:vector size="677" baseType="lpstr">
      <vt:lpstr>Datos entrada</vt:lpstr>
      <vt:lpstr>Cuadrillas</vt:lpstr>
      <vt:lpstr>Salarios</vt:lpstr>
      <vt:lpstr>Equ</vt:lpstr>
      <vt:lpstr>COMPONENTES2</vt:lpstr>
      <vt:lpstr>INSUMOS 1</vt:lpstr>
      <vt:lpstr>Trans</vt:lpstr>
      <vt:lpstr>SUMINISTRO</vt:lpstr>
      <vt:lpstr>OBRA</vt:lpstr>
      <vt:lpstr>COSTO TOTAL</vt:lpstr>
      <vt:lpstr>ANALISIS DE AIU</vt:lpstr>
      <vt:lpstr>Cuadro Resumen (2)</vt:lpstr>
      <vt:lpstr>Hoja Base</vt:lpstr>
      <vt:lpstr>Mort 1-3</vt:lpstr>
      <vt:lpstr>Mort 1-3 Imper</vt:lpstr>
      <vt:lpstr>Mort 1-4</vt:lpstr>
      <vt:lpstr>Mort 1-4 Imper</vt:lpstr>
      <vt:lpstr>Mort 1-5</vt:lpstr>
      <vt:lpstr>Mort 1-7</vt:lpstr>
      <vt:lpstr>Concr 2,000</vt:lpstr>
      <vt:lpstr>Concr 2,500</vt:lpstr>
      <vt:lpstr>Concr 3,000</vt:lpstr>
      <vt:lpstr>Concr 3,500</vt:lpstr>
      <vt:lpstr>Concr 4,000 </vt:lpstr>
      <vt:lpstr> Acero 60000 Refuerzo </vt:lpstr>
      <vt:lpstr> Malla Electrosoldada </vt:lpstr>
      <vt:lpstr>P Eléctrico</vt:lpstr>
      <vt:lpstr>P Agua Fria</vt:lpstr>
      <vt:lpstr>P Sanitario</vt:lpstr>
      <vt:lpstr>Granito pulido </vt:lpstr>
      <vt:lpstr>Marcos puerta</vt:lpstr>
      <vt:lpstr>Marcos ventana</vt:lpstr>
      <vt:lpstr>1,1,1 Campamt</vt:lpstr>
      <vt:lpstr>1,1,7 Locali Manual</vt:lpstr>
      <vt:lpstr>1,4,2 Traslado postes</vt:lpstr>
      <vt:lpstr>1,4,3 Arb 5</vt:lpstr>
      <vt:lpstr>1,4,4 Arb 10</vt:lpstr>
      <vt:lpstr>1,4,5 Arb 15</vt:lpstr>
      <vt:lpstr>1,4,6 Arb 20</vt:lpstr>
      <vt:lpstr>1,4,7 Arb +20</vt:lpstr>
      <vt:lpstr>1,4,8 Traslado Arb</vt:lpstr>
      <vt:lpstr>2,1,1 Exc Mec</vt:lpstr>
      <vt:lpstr>2,1,5 Relleno M Común</vt:lpstr>
      <vt:lpstr>2,1,7  Sub base Recebo </vt:lpstr>
      <vt:lpstr>2,1,8 Geotextil NT</vt:lpstr>
      <vt:lpstr>2,1,9 Geotextil Tejido</vt:lpstr>
      <vt:lpstr>2,2,3 Muros de contencion</vt:lpstr>
      <vt:lpstr>2,2,6,1 Pilotes 0,30</vt:lpstr>
      <vt:lpstr>2,2,6,2 Pilotes 0,40</vt:lpstr>
      <vt:lpstr>2,2,6,3 Pilotes 0,60</vt:lpstr>
      <vt:lpstr>2,2,6,4 Pilotes 0,80</vt:lpstr>
      <vt:lpstr>2,2,6,5 Pilotes 0,90 </vt:lpstr>
      <vt:lpstr>2,2,7 Dados en concreto</vt:lpstr>
      <vt:lpstr>2,2,8 Placa Flotante 0,60</vt:lpstr>
      <vt:lpstr>2,2,9 Reposicion -Placa</vt:lpstr>
      <vt:lpstr>2,2,10 Placas cont= 0,125</vt:lpstr>
      <vt:lpstr>2,2,11 Placas cont= 0,15</vt:lpstr>
      <vt:lpstr>2,3,1 Acero 37000 </vt:lpstr>
      <vt:lpstr>Exc-comun</vt:lpstr>
      <vt:lpstr>2,4,1 Gaviones</vt:lpstr>
      <vt:lpstr>2,4,2 Cajon aislamiento vigas</vt:lpstr>
      <vt:lpstr>2,4,3 Icopor Aislante ciment. </vt:lpstr>
      <vt:lpstr>2,4,4 Pañete Taludes </vt:lpstr>
      <vt:lpstr>3,1,1 Novafort A.LL. 4" 110mm </vt:lpstr>
      <vt:lpstr>3,1,3 Novafort A.LL 8"200 mm   </vt:lpstr>
      <vt:lpstr>3,1,4 Novafort 10"A.LL. 255mm </vt:lpstr>
      <vt:lpstr>3,1,5 Novafort A.LL.12" 315mm  </vt:lpstr>
      <vt:lpstr>3,1,6  Acc. Novafort. A.LL</vt:lpstr>
      <vt:lpstr>3,2,3 Novafort A.N. 8"200 mm</vt:lpstr>
      <vt:lpstr>3,2,4 Novafort 10"A.N. 255 mm</vt:lpstr>
      <vt:lpstr>3,2,5 Novafort A.N.12" 315mm</vt:lpstr>
      <vt:lpstr>3,2,6  Acc. Novafort. A.N.</vt:lpstr>
      <vt:lpstr>3,3,1 Tuberia drenaje PVC 4"</vt:lpstr>
      <vt:lpstr>3,3,2 Tuberia drenaje PVC 4"</vt:lpstr>
      <vt:lpstr>3,3,3 Accesorio drenaje PVC 3"</vt:lpstr>
      <vt:lpstr>3,3,4 Accesorio drenaje PVC 4"</vt:lpstr>
      <vt:lpstr>3,3,5 Filtros Escorrentias</vt:lpstr>
      <vt:lpstr>3,4,2 Caja inspección 0,80</vt:lpstr>
      <vt:lpstr>3,4,3 Caja inspección 1,00</vt:lpstr>
      <vt:lpstr>3,4,4 Caja Distribuciòn 0,40  </vt:lpstr>
      <vt:lpstr>3,4,6 Carcamo aguas lluvias</vt:lpstr>
      <vt:lpstr>3,4,7 Trampa de grasas</vt:lpstr>
      <vt:lpstr>3,4,8 Pozo Septico</vt:lpstr>
      <vt:lpstr>3,5,1 Exc Man </vt:lpstr>
      <vt:lpstr>3,5,2 Exc en recebo comp.</vt:lpstr>
      <vt:lpstr>3,5,3  Relleno M seleccionado</vt:lpstr>
      <vt:lpstr>3,5,4 Relleno M Común </vt:lpstr>
      <vt:lpstr>3,5,5 Retiro sobrantes</vt:lpstr>
      <vt:lpstr>3,3,6 POZO INFILTRACIÓN</vt:lpstr>
      <vt:lpstr>3,4,1 Caja inspección 0,60 </vt:lpstr>
      <vt:lpstr>4,1,2 Pantalla en concreto</vt:lpstr>
      <vt:lpstr>4,1,3 Muros</vt:lpstr>
      <vt:lpstr>4,2,3  Vigas Prefabricadas</vt:lpstr>
      <vt:lpstr>5,1,6 camara 5,20&lt;=h&lt;6,20</vt:lpstr>
      <vt:lpstr>4,3,3 Caseton 45 cm</vt:lpstr>
      <vt:lpstr>5,1,7 camara 6,20&lt;=h&lt;7,20</vt:lpstr>
      <vt:lpstr>4,3,6 Placa maciza 0,20</vt:lpstr>
      <vt:lpstr>4,3,7 Placa maciza 0,125</vt:lpstr>
      <vt:lpstr>5,1,8 camara 7,20&lt;=h&lt;8,20</vt:lpstr>
      <vt:lpstr>4,3,9 Placa maciza 0,15</vt:lpstr>
      <vt:lpstr>4,4,2 Rampas</vt:lpstr>
      <vt:lpstr>4,4,3 POZO CONCRETO 20 M3</vt:lpstr>
      <vt:lpstr>4,4,4 POZO CONCRETO</vt:lpstr>
      <vt:lpstr>4,5,1 Acero 37000  </vt:lpstr>
      <vt:lpstr>5,1,10 camara 8,20&lt;=h&lt;9,20</vt:lpstr>
      <vt:lpstr>4,5,2 Acero 60000 est</vt:lpstr>
      <vt:lpstr>4,6,2,3 Cerrchas  Metàlica</vt:lpstr>
      <vt:lpstr>5,1,1 Bloq Conc Estruc 0,12</vt:lpstr>
      <vt:lpstr>5,1,2 Bloque concreto divisorio</vt:lpstr>
      <vt:lpstr>5,1,5  Calados en Concreto</vt:lpstr>
      <vt:lpstr>5,1,6 Bloq Conc Estruc 014</vt:lpstr>
      <vt:lpstr>5,1,7 Bloq Conc Estruc 019</vt:lpstr>
      <vt:lpstr>5,2,6 Muro en bloque No 4</vt:lpstr>
      <vt:lpstr>5,3,1 Enchape ladrillo arcilla</vt:lpstr>
      <vt:lpstr>5,3,3 Alfagias ladrillo arcilla</vt:lpstr>
      <vt:lpstr>5,3,4 Remate ladrillo arcilla</vt:lpstr>
      <vt:lpstr>5,4,1 Grouting-Concreto fluido</vt:lpstr>
      <vt:lpstr>5,4,2 Remates</vt:lpstr>
      <vt:lpstr>5,5,3 Malla Electrosoldada </vt:lpstr>
      <vt:lpstr>5,6,1 Instalaciòn carpint. Meta</vt:lpstr>
      <vt:lpstr>6,1,1 Alfajias</vt:lpstr>
      <vt:lpstr>6,1,2 Dinteles</vt:lpstr>
      <vt:lpstr>6,1,3 Remates sobre mamposteria</vt:lpstr>
      <vt:lpstr>6.1.8 Pergolas</vt:lpstr>
      <vt:lpstr>6,1,10 Gradas en Concreto</vt:lpstr>
      <vt:lpstr>6,1,11 PLAQUETAS</vt:lpstr>
      <vt:lpstr>6,1,15 Bordillos ducha y aseo</vt:lpstr>
      <vt:lpstr>6,2,1 Mesones en concreto</vt:lpstr>
      <vt:lpstr>6,2,3 Mesones laboratorios</vt:lpstr>
      <vt:lpstr>6,2,5 Bancas Concreto</vt:lpstr>
      <vt:lpstr>6,2,8 Alfajias 2</vt:lpstr>
      <vt:lpstr>7,1,1,1 Acometida PVC-P 2"</vt:lpstr>
      <vt:lpstr>7,1,1,2 Accesorio PVC-P 2" </vt:lpstr>
      <vt:lpstr>7,1,3,1 Tuberia H.G. 1"cuarto </vt:lpstr>
      <vt:lpstr>7,1,3,2  Accesorio H.G.1"cuarto</vt:lpstr>
      <vt:lpstr>7,1,3,3  Registro R. W. 1"</vt:lpstr>
      <vt:lpstr>7,1,3,4  Cheque Helber 1"</vt:lpstr>
      <vt:lpstr>7,1,4,1 Tuberia H.G. 1 1.2"</vt:lpstr>
      <vt:lpstr>7,1,4,2  Accesorio H.G.1 1.2"</vt:lpstr>
      <vt:lpstr>7,1,4,3  Registro R. W. 1. 1.2"</vt:lpstr>
      <vt:lpstr>7,1,4,4  Cheque  Helber 1 1.2"</vt:lpstr>
      <vt:lpstr>7,1,5,4 Registro 114</vt:lpstr>
      <vt:lpstr>7,1,5,5 Registro 1 12</vt:lpstr>
      <vt:lpstr>7,1,5,6 Registro 2 </vt:lpstr>
      <vt:lpstr>7,1,6,4 Acometida 1 14</vt:lpstr>
      <vt:lpstr>7,1,6,6 Acometida 2</vt:lpstr>
      <vt:lpstr>7,1,6,7 Tubo UZ 2"</vt:lpstr>
      <vt:lpstr>7,1,6,8 Acometida 1 12</vt:lpstr>
      <vt:lpstr>7,1,6,9 Tuberia UZ 3"</vt:lpstr>
      <vt:lpstr>7,1,6,10 Accesorio UZ  2"</vt:lpstr>
      <vt:lpstr>7,1,6,11 Accesorio UZ 3"</vt:lpstr>
      <vt:lpstr>7,1,7,1 Tuberia H.G. 1.2"</vt:lpstr>
      <vt:lpstr>7,1,7,2  Accesorio H.G.1.2"</vt:lpstr>
      <vt:lpstr>7,1,7,3 Registro Corte 1.2" </vt:lpstr>
      <vt:lpstr>7,1,7,4 Registro 1.2"</vt:lpstr>
      <vt:lpstr>7,1,7,5 Caja para medidor</vt:lpstr>
      <vt:lpstr>7,1,8,2 Punto  Agua Fria 1 1.2"</vt:lpstr>
      <vt:lpstr>7,1,8,3 P Agua Fria Sanitarios</vt:lpstr>
      <vt:lpstr>7,1,8,4 P Agua Fria Orinales</vt:lpstr>
      <vt:lpstr>7,1,8,5 P Agua Fria pocetas lab</vt:lpstr>
      <vt:lpstr>7,1,8,6 P Agua Fria Ducha</vt:lpstr>
      <vt:lpstr>7,1,8,7 P Agua Fria Pocetas</vt:lpstr>
      <vt:lpstr>7,1,8,8 Llave  Manguera 1.2"</vt:lpstr>
      <vt:lpstr>7,1,8,10  Tapòn H.G.1.2"</vt:lpstr>
      <vt:lpstr>7,1,8,11  Tapòn P.V.C.1.2" </vt:lpstr>
      <vt:lpstr>7,1,8,12  Camara aire H.G.1.2"</vt:lpstr>
      <vt:lpstr>7,1,8,13  Camara aire P.V.C.P </vt:lpstr>
      <vt:lpstr>7,1,9,5  P Sifòn PVC-S 4"</vt:lpstr>
      <vt:lpstr>7,1,10,2 Pto 3"</vt:lpstr>
      <vt:lpstr>7,1,10,2 Punto Vent 3"</vt:lpstr>
      <vt:lpstr>7,1,11,4"</vt:lpstr>
      <vt:lpstr>7,1,11,5 Bajante PVC </vt:lpstr>
      <vt:lpstr>7,1,11,6 Accesorios PVC</vt:lpstr>
      <vt:lpstr>7,1,12,1 Instalaciòn Lavamanos</vt:lpstr>
      <vt:lpstr>7,1,12,2 Instalaciòn Sanitario </vt:lpstr>
      <vt:lpstr>7,1,12,8 Llave  Manguera 1.2 </vt:lpstr>
      <vt:lpstr>7,1,12,9 Acoflex lav.sant.</vt:lpstr>
      <vt:lpstr>7,2,1,1 Punto de gas</vt:lpstr>
      <vt:lpstr>7,2,1,2 Preinstalación gas</vt:lpstr>
      <vt:lpstr>7,2,1,3 Tuberia  tipo L 1.2"</vt:lpstr>
      <vt:lpstr>7,2,1,4 Tuberia  tipo L 1"</vt:lpstr>
      <vt:lpstr>7,2,1,5  Registro bola 1" </vt:lpstr>
      <vt:lpstr>7,2,1,7  Rejilla vent. plastica</vt:lpstr>
      <vt:lpstr>8,5</vt:lpstr>
      <vt:lpstr>8,10</vt:lpstr>
      <vt:lpstr>8,11</vt:lpstr>
      <vt:lpstr>8,12</vt:lpstr>
      <vt:lpstr>8,13</vt:lpstr>
      <vt:lpstr>8,14</vt:lpstr>
      <vt:lpstr>8,15</vt:lpstr>
      <vt:lpstr>8,16</vt:lpstr>
      <vt:lpstr>8,19</vt:lpstr>
      <vt:lpstr>8,20</vt:lpstr>
      <vt:lpstr>8,21</vt:lpstr>
      <vt:lpstr>8,22</vt:lpstr>
      <vt:lpstr>8,23</vt:lpstr>
      <vt:lpstr>8,24</vt:lpstr>
      <vt:lpstr>8,25</vt:lpstr>
      <vt:lpstr>8,26</vt:lpstr>
      <vt:lpstr>8,27</vt:lpstr>
      <vt:lpstr>8,28</vt:lpstr>
      <vt:lpstr>8,29</vt:lpstr>
      <vt:lpstr>8,30</vt:lpstr>
      <vt:lpstr>8,31</vt:lpstr>
      <vt:lpstr>8,32</vt:lpstr>
      <vt:lpstr>8,33</vt:lpstr>
      <vt:lpstr>8,34</vt:lpstr>
      <vt:lpstr>8,35</vt:lpstr>
      <vt:lpstr>8,36</vt:lpstr>
      <vt:lpstr>8,37</vt:lpstr>
      <vt:lpstr>8,38</vt:lpstr>
      <vt:lpstr>8,40</vt:lpstr>
      <vt:lpstr>8,43</vt:lpstr>
      <vt:lpstr>8,44</vt:lpstr>
      <vt:lpstr>8,45</vt:lpstr>
      <vt:lpstr>8,46</vt:lpstr>
      <vt:lpstr>8,47</vt:lpstr>
      <vt:lpstr>8,51</vt:lpstr>
      <vt:lpstr>8,52</vt:lpstr>
      <vt:lpstr>8,56</vt:lpstr>
      <vt:lpstr>8,57</vt:lpstr>
      <vt:lpstr>8,58</vt:lpstr>
      <vt:lpstr>8,61</vt:lpstr>
      <vt:lpstr>8,62</vt:lpstr>
      <vt:lpstr>8,64</vt:lpstr>
      <vt:lpstr>8,65</vt:lpstr>
      <vt:lpstr>8,66</vt:lpstr>
      <vt:lpstr>8,67</vt:lpstr>
      <vt:lpstr>8,69</vt:lpstr>
      <vt:lpstr>8,70</vt:lpstr>
      <vt:lpstr>8,71</vt:lpstr>
      <vt:lpstr>8,72</vt:lpstr>
      <vt:lpstr>8,73</vt:lpstr>
      <vt:lpstr>8,77</vt:lpstr>
      <vt:lpstr>8,78</vt:lpstr>
      <vt:lpstr>8,79</vt:lpstr>
      <vt:lpstr>8,80</vt:lpstr>
      <vt:lpstr>8,82</vt:lpstr>
      <vt:lpstr>8,83</vt:lpstr>
      <vt:lpstr>8,85</vt:lpstr>
      <vt:lpstr>8,86</vt:lpstr>
      <vt:lpstr>8,87</vt:lpstr>
      <vt:lpstr>10,1,1 base mueble concreto</vt:lpstr>
      <vt:lpstr>10,1,3 Alistado pisos</vt:lpstr>
      <vt:lpstr>10,1,4 Mortero afinado</vt:lpstr>
      <vt:lpstr>10,2,1,3 Ceramica 0,20 x 0,20 </vt:lpstr>
      <vt:lpstr>10,2,2,3 Piso tablòn ges 0,30 </vt:lpstr>
      <vt:lpstr>10,2,4,3 gravilla m2</vt:lpstr>
      <vt:lpstr>10,3,1,1 Tablòn cuarto 26</vt:lpstr>
      <vt:lpstr>10,3,2,3 Media Caña</vt:lpstr>
      <vt:lpstr>10,3,2,4 Gravilla </vt:lpstr>
      <vt:lpstr>10,4,2 Escalera en Granito</vt:lpstr>
      <vt:lpstr>11,2,3,1 Domo acrílico</vt:lpstr>
      <vt:lpstr>11,2,3,2 Acrilico transparente</vt:lpstr>
      <vt:lpstr>11,2,4,2 Cubierta placa</vt:lpstr>
      <vt:lpstr>11,3,1 Canal Lámina</vt:lpstr>
      <vt:lpstr>11,3,3 Tragante 5x3</vt:lpstr>
      <vt:lpstr>11,3,5 Canal PVC</vt:lpstr>
      <vt:lpstr>12,1,2 Ventanas aluminio reja</vt:lpstr>
      <vt:lpstr>12,1,4 Puert Alum dob reja</vt:lpstr>
      <vt:lpstr>12,1,7 PERGOLAS ALUM</vt:lpstr>
      <vt:lpstr>12,1,9 BARANDA EN ALUMINIO</vt:lpstr>
      <vt:lpstr>12,2,1,1 Marcos puerta</vt:lpstr>
      <vt:lpstr>12,2,1,2 Puerta Sencilla</vt:lpstr>
      <vt:lpstr>12,2,1,3 Ventana</vt:lpstr>
      <vt:lpstr>12,2,1,5 Puertas Emtamborada</vt:lpstr>
      <vt:lpstr>12,2,2,1 Pasamanos </vt:lpstr>
      <vt:lpstr> 12,2,2,4 Baranda tubo</vt:lpstr>
      <vt:lpstr>12,2,3,1 Rejas en varilla cuadr</vt:lpstr>
      <vt:lpstr>12,2,3,2 Rejas ventana</vt:lpstr>
      <vt:lpstr>12,2,3,3 Rejas Puerta baño</vt:lpstr>
      <vt:lpstr>12,2,3,4 Reja Ventilación</vt:lpstr>
      <vt:lpstr>12,2,4,1 CORTASOL</vt:lpstr>
      <vt:lpstr>12,2,4,4 Ventana Malla</vt:lpstr>
      <vt:lpstr>16,1,9 Duchas</vt:lpstr>
      <vt:lpstr>16,1,11 POCETA</vt:lpstr>
      <vt:lpstr>16,2,1 Pocetas Aseo</vt:lpstr>
      <vt:lpstr>16,2,5 Llave Terminal</vt:lpstr>
      <vt:lpstr>17,2,1 Puerta Vidrio</vt:lpstr>
      <vt:lpstr>17,2,2 Puerta PVC Baterias</vt:lpstr>
      <vt:lpstr>17,2,3 Divisiones 0,06</vt:lpstr>
      <vt:lpstr>17,2,4 Divisiones baños </vt:lpstr>
      <vt:lpstr>18,1,2 pintura plastica</vt:lpstr>
      <vt:lpstr>18,1,4 Vinilo sin estuco </vt:lpstr>
      <vt:lpstr>18,1,5 Vinilo Cielos </vt:lpstr>
      <vt:lpstr>20,1,2 Exc Man</vt:lpstr>
      <vt:lpstr>20,1,5 Subbase recebo</vt:lpstr>
      <vt:lpstr>20,3,1 Solado esp= 0,05</vt:lpstr>
      <vt:lpstr>20,3,2 Concreto Ciclopeo </vt:lpstr>
      <vt:lpstr>20,3,3 Vigas de Amarre</vt:lpstr>
      <vt:lpstr>20,3,5  Cerramiento Malla Esla</vt:lpstr>
      <vt:lpstr>20,4,1 Mov Tierras</vt:lpstr>
      <vt:lpstr>20,4,2 Pradización</vt:lpstr>
      <vt:lpstr>21,1,3 Aseo</vt:lpstr>
      <vt:lpstr>20,4,4 Arborización</vt:lpstr>
      <vt:lpstr>20,5,1 Gaviones en piedra</vt:lpstr>
      <vt:lpstr>20,5,2 PERGOLA  METALICA</vt:lpstr>
      <vt:lpstr>20,5,3  Acero 37000  Ext.</vt:lpstr>
      <vt:lpstr>20,5,4 Acero 60000 psi</vt:lpstr>
      <vt:lpstr>20,5,5 Malla Electrosoldada  </vt:lpstr>
      <vt:lpstr>21,1,1 Lavada ladrillo </vt:lpstr>
      <vt:lpstr>20,2,13 Escalinatas</vt:lpstr>
      <vt:lpstr>21,1,4 Retiro Escombros</vt:lpstr>
      <vt:lpstr>Pasamanos </vt:lpstr>
      <vt:lpstr>' 12,2,2,4 Baranda tubo'!Área_de_impresión</vt:lpstr>
      <vt:lpstr>' Acero 60000 Refuerzo '!Área_de_impresión</vt:lpstr>
      <vt:lpstr>' Malla Electrosoldada '!Área_de_impresión</vt:lpstr>
      <vt:lpstr>'1,1,1 Campamt'!Área_de_impresión</vt:lpstr>
      <vt:lpstr>'1,1,7 Locali Manual'!Área_de_impresión</vt:lpstr>
      <vt:lpstr>'1,4,2 Traslado postes'!Área_de_impresión</vt:lpstr>
      <vt:lpstr>'1,4,3 Arb 5'!Área_de_impresión</vt:lpstr>
      <vt:lpstr>'1,4,4 Arb 10'!Área_de_impresión</vt:lpstr>
      <vt:lpstr>'1,4,5 Arb 15'!Área_de_impresión</vt:lpstr>
      <vt:lpstr>'1,4,6 Arb 20'!Área_de_impresión</vt:lpstr>
      <vt:lpstr>'1,4,7 Arb +20'!Área_de_impresión</vt:lpstr>
      <vt:lpstr>'1,4,8 Traslado Arb'!Área_de_impresión</vt:lpstr>
      <vt:lpstr>'10,1,1 base mueble concreto'!Área_de_impresión</vt:lpstr>
      <vt:lpstr>'10,1,3 Alistado pisos'!Área_de_impresión</vt:lpstr>
      <vt:lpstr>'10,1,4 Mortero afinado'!Área_de_impresión</vt:lpstr>
      <vt:lpstr>'10,2,1,3 Ceramica 0,20 x 0,20 '!Área_de_impresión</vt:lpstr>
      <vt:lpstr>'10,2,2,3 Piso tablòn ges 0,30 '!Área_de_impresión</vt:lpstr>
      <vt:lpstr>'10,2,4,3 gravilla m2'!Área_de_impresión</vt:lpstr>
      <vt:lpstr>'10,3,1,1 Tablòn cuarto 26'!Área_de_impresión</vt:lpstr>
      <vt:lpstr>'10,3,2,3 Media Caña'!Área_de_impresión</vt:lpstr>
      <vt:lpstr>'10,3,2,4 Gravilla '!Área_de_impresión</vt:lpstr>
      <vt:lpstr>'10,4,2 Escalera en Granito'!Área_de_impresión</vt:lpstr>
      <vt:lpstr>'11,2,3,1 Domo acrílico'!Área_de_impresión</vt:lpstr>
      <vt:lpstr>'11,2,3,2 Acrilico transparente'!Área_de_impresión</vt:lpstr>
      <vt:lpstr>'11,2,4,2 Cubierta placa'!Área_de_impresión</vt:lpstr>
      <vt:lpstr>'11,3,1 Canal Lámina'!Área_de_impresión</vt:lpstr>
      <vt:lpstr>'11,3,3 Tragante 5x3'!Área_de_impresión</vt:lpstr>
      <vt:lpstr>'11,3,5 Canal PVC'!Área_de_impresión</vt:lpstr>
      <vt:lpstr>'12,1,2 Ventanas aluminio reja'!Área_de_impresión</vt:lpstr>
      <vt:lpstr>'12,1,4 Puert Alum dob reja'!Área_de_impresión</vt:lpstr>
      <vt:lpstr>'12,1,7 PERGOLAS ALUM'!Área_de_impresión</vt:lpstr>
      <vt:lpstr>'12,1,9 BARANDA EN ALUMINIO'!Área_de_impresión</vt:lpstr>
      <vt:lpstr>'12,2,1,1 Marcos puerta'!Área_de_impresión</vt:lpstr>
      <vt:lpstr>'12,2,1,2 Puerta Sencilla'!Área_de_impresión</vt:lpstr>
      <vt:lpstr>'12,2,1,3 Ventana'!Área_de_impresión</vt:lpstr>
      <vt:lpstr>'12,2,1,5 Puertas Emtamborada'!Área_de_impresión</vt:lpstr>
      <vt:lpstr>'12,2,2,1 Pasamanos '!Área_de_impresión</vt:lpstr>
      <vt:lpstr>'12,2,3,1 Rejas en varilla cuadr'!Área_de_impresión</vt:lpstr>
      <vt:lpstr>'12,2,3,2 Rejas ventana'!Área_de_impresión</vt:lpstr>
      <vt:lpstr>'12,2,3,3 Rejas Puerta baño'!Área_de_impresión</vt:lpstr>
      <vt:lpstr>'12,2,3,4 Reja Ventilación'!Área_de_impresión</vt:lpstr>
      <vt:lpstr>'12,2,4,1 CORTASOL'!Área_de_impresión</vt:lpstr>
      <vt:lpstr>'12,2,4,4 Ventana Malla'!Área_de_impresión</vt:lpstr>
      <vt:lpstr>'16,1,11 POCETA'!Área_de_impresión</vt:lpstr>
      <vt:lpstr>'16,1,9 Duchas'!Área_de_impresión</vt:lpstr>
      <vt:lpstr>'16,2,1 Pocetas Aseo'!Área_de_impresión</vt:lpstr>
      <vt:lpstr>'16,2,5 Llave Terminal'!Área_de_impresión</vt:lpstr>
      <vt:lpstr>'17,2,1 Puerta Vidrio'!Área_de_impresión</vt:lpstr>
      <vt:lpstr>'17,2,2 Puerta PVC Baterias'!Área_de_impresión</vt:lpstr>
      <vt:lpstr>'17,2,3 Divisiones 0,06'!Área_de_impresión</vt:lpstr>
      <vt:lpstr>'17,2,4 Divisiones baños '!Área_de_impresión</vt:lpstr>
      <vt:lpstr>'18,1,2 pintura plastica'!Área_de_impresión</vt:lpstr>
      <vt:lpstr>'18,1,4 Vinilo sin estuco '!Área_de_impresión</vt:lpstr>
      <vt:lpstr>'18,1,5 Vinilo Cielos '!Área_de_impresión</vt:lpstr>
      <vt:lpstr>'2,1,1 Exc Mec'!Área_de_impresión</vt:lpstr>
      <vt:lpstr>'2,1,5 Relleno M Común'!Área_de_impresión</vt:lpstr>
      <vt:lpstr>'2,1,7  Sub base Recebo '!Área_de_impresión</vt:lpstr>
      <vt:lpstr>'2,1,8 Geotextil NT'!Área_de_impresión</vt:lpstr>
      <vt:lpstr>'2,1,9 Geotextil Tejido'!Área_de_impresión</vt:lpstr>
      <vt:lpstr>'2,2,10 Placas cont= 0,125'!Área_de_impresión</vt:lpstr>
      <vt:lpstr>'2,2,11 Placas cont= 0,15'!Área_de_impresión</vt:lpstr>
      <vt:lpstr>'2,2,3 Muros de contencion'!Área_de_impresión</vt:lpstr>
      <vt:lpstr>'2,2,6,1 Pilotes 0,30'!Área_de_impresión</vt:lpstr>
      <vt:lpstr>'2,2,6,2 Pilotes 0,40'!Área_de_impresión</vt:lpstr>
      <vt:lpstr>'2,2,6,3 Pilotes 0,60'!Área_de_impresión</vt:lpstr>
      <vt:lpstr>'2,2,6,4 Pilotes 0,80'!Área_de_impresión</vt:lpstr>
      <vt:lpstr>'2,2,6,5 Pilotes 0,90 '!Área_de_impresión</vt:lpstr>
      <vt:lpstr>'2,2,7 Dados en concreto'!Área_de_impresión</vt:lpstr>
      <vt:lpstr>'2,2,8 Placa Flotante 0,60'!Área_de_impresión</vt:lpstr>
      <vt:lpstr>'2,2,9 Reposicion -Placa'!Área_de_impresión</vt:lpstr>
      <vt:lpstr>'2,3,1 Acero 37000 '!Área_de_impresión</vt:lpstr>
      <vt:lpstr>'2,4,1 Gaviones'!Área_de_impresión</vt:lpstr>
      <vt:lpstr>'2,4,2 Cajon aislamiento vigas'!Área_de_impresión</vt:lpstr>
      <vt:lpstr>'2,4,3 Icopor Aislante ciment. '!Área_de_impresión</vt:lpstr>
      <vt:lpstr>'2,4,4 Pañete Taludes '!Área_de_impresión</vt:lpstr>
      <vt:lpstr>'20,1,2 Exc Man'!Área_de_impresión</vt:lpstr>
      <vt:lpstr>'20,1,5 Subbase recebo'!Área_de_impresión</vt:lpstr>
      <vt:lpstr>'20,2,13 Escalinatas'!Área_de_impresión</vt:lpstr>
      <vt:lpstr>'20,3,1 Solado esp= 0,05'!Área_de_impresión</vt:lpstr>
      <vt:lpstr>'20,3,2 Concreto Ciclopeo '!Área_de_impresión</vt:lpstr>
      <vt:lpstr>'20,3,3 Vigas de Amarre'!Área_de_impresión</vt:lpstr>
      <vt:lpstr>'20,3,5  Cerramiento Malla Esla'!Área_de_impresión</vt:lpstr>
      <vt:lpstr>'20,4,1 Mov Tierras'!Área_de_impresión</vt:lpstr>
      <vt:lpstr>'20,4,2 Pradización'!Área_de_impresión</vt:lpstr>
      <vt:lpstr>'20,4,4 Arborización'!Área_de_impresión</vt:lpstr>
      <vt:lpstr>'20,5,1 Gaviones en piedra'!Área_de_impresión</vt:lpstr>
      <vt:lpstr>'20,5,2 PERGOLA  METALICA'!Área_de_impresión</vt:lpstr>
      <vt:lpstr>'20,5,3  Acero 37000  Ext.'!Área_de_impresión</vt:lpstr>
      <vt:lpstr>'20,5,4 Acero 60000 psi'!Área_de_impresión</vt:lpstr>
      <vt:lpstr>'20,5,5 Malla Electrosoldada  '!Área_de_impresión</vt:lpstr>
      <vt:lpstr>'21,1,1 Lavada ladrillo '!Área_de_impresión</vt:lpstr>
      <vt:lpstr>'21,1,3 Aseo'!Área_de_impresión</vt:lpstr>
      <vt:lpstr>'21,1,4 Retiro Escombros'!Área_de_impresión</vt:lpstr>
      <vt:lpstr>'3,1,1 Novafort A.LL. 4" 110mm '!Área_de_impresión</vt:lpstr>
      <vt:lpstr>'3,1,3 Novafort A.LL 8"200 mm   '!Área_de_impresión</vt:lpstr>
      <vt:lpstr>'3,1,4 Novafort 10"A.LL. 255mm '!Área_de_impresión</vt:lpstr>
      <vt:lpstr>'3,1,5 Novafort A.LL.12" 315mm  '!Área_de_impresión</vt:lpstr>
      <vt:lpstr>'3,1,6  Acc. Novafort. A.LL'!Área_de_impresión</vt:lpstr>
      <vt:lpstr>'3,2,3 Novafort A.N. 8"200 mm'!Área_de_impresión</vt:lpstr>
      <vt:lpstr>'3,2,4 Novafort 10"A.N. 255 mm'!Área_de_impresión</vt:lpstr>
      <vt:lpstr>'3,2,5 Novafort A.N.12" 315mm'!Área_de_impresión</vt:lpstr>
      <vt:lpstr>'3,2,6  Acc. Novafort. A.N.'!Área_de_impresión</vt:lpstr>
      <vt:lpstr>'3,3,1 Tuberia drenaje PVC 4"'!Área_de_impresión</vt:lpstr>
      <vt:lpstr>'3,3,2 Tuberia drenaje PVC 4"'!Área_de_impresión</vt:lpstr>
      <vt:lpstr>'3,3,3 Accesorio drenaje PVC 3"'!Área_de_impresión</vt:lpstr>
      <vt:lpstr>'3,3,4 Accesorio drenaje PVC 4"'!Área_de_impresión</vt:lpstr>
      <vt:lpstr>'3,3,5 Filtros Escorrentias'!Área_de_impresión</vt:lpstr>
      <vt:lpstr>'3,3,6 POZO INFILTRACIÓN'!Área_de_impresión</vt:lpstr>
      <vt:lpstr>'3,4,1 Caja inspección 0,60 '!Área_de_impresión</vt:lpstr>
      <vt:lpstr>'3,4,2 Caja inspección 0,80'!Área_de_impresión</vt:lpstr>
      <vt:lpstr>'3,4,3 Caja inspección 1,00'!Área_de_impresión</vt:lpstr>
      <vt:lpstr>'3,4,4 Caja Distribuciòn 0,40  '!Área_de_impresión</vt:lpstr>
      <vt:lpstr>'3,4,6 Carcamo aguas lluvias'!Área_de_impresión</vt:lpstr>
      <vt:lpstr>'3,4,7 Trampa de grasas'!Área_de_impresión</vt:lpstr>
      <vt:lpstr>'3,4,8 Pozo Septico'!Área_de_impresión</vt:lpstr>
      <vt:lpstr>'3,5,1 Exc Man '!Área_de_impresión</vt:lpstr>
      <vt:lpstr>'3,5,2 Exc en recebo comp.'!Área_de_impresión</vt:lpstr>
      <vt:lpstr>'3,5,3  Relleno M seleccionado'!Área_de_impresión</vt:lpstr>
      <vt:lpstr>'3,5,4 Relleno M Común '!Área_de_impresión</vt:lpstr>
      <vt:lpstr>'3,5,5 Retiro sobrantes'!Área_de_impresión</vt:lpstr>
      <vt:lpstr>'4,1,2 Pantalla en concreto'!Área_de_impresión</vt:lpstr>
      <vt:lpstr>'4,1,3 Muros'!Área_de_impresión</vt:lpstr>
      <vt:lpstr>'4,2,3  Vigas Prefabricadas'!Área_de_impresión</vt:lpstr>
      <vt:lpstr>'4,3,3 Caseton 45 cm'!Área_de_impresión</vt:lpstr>
      <vt:lpstr>'4,3,6 Placa maciza 0,20'!Área_de_impresión</vt:lpstr>
      <vt:lpstr>'4,3,7 Placa maciza 0,125'!Área_de_impresión</vt:lpstr>
      <vt:lpstr>'4,3,9 Placa maciza 0,15'!Área_de_impresión</vt:lpstr>
      <vt:lpstr>'4,4,2 Rampas'!Área_de_impresión</vt:lpstr>
      <vt:lpstr>'4,4,3 POZO CONCRETO 20 M3'!Área_de_impresión</vt:lpstr>
      <vt:lpstr>'4,4,4 POZO CONCRETO'!Área_de_impresión</vt:lpstr>
      <vt:lpstr>'4,5,1 Acero 37000  '!Área_de_impresión</vt:lpstr>
      <vt:lpstr>'4,5,2 Acero 60000 est'!Área_de_impresión</vt:lpstr>
      <vt:lpstr>'4,6,2,3 Cerrchas  Metàlica'!Área_de_impresión</vt:lpstr>
      <vt:lpstr>'5,1,1 Bloq Conc Estruc 0,12'!Área_de_impresión</vt:lpstr>
      <vt:lpstr>'5,1,10 camara 8,20&lt;=h&lt;9,20'!Área_de_impresión</vt:lpstr>
      <vt:lpstr>'5,1,2 Bloque concreto divisorio'!Área_de_impresión</vt:lpstr>
      <vt:lpstr>'5,1,5  Calados en Concreto'!Área_de_impresión</vt:lpstr>
      <vt:lpstr>'5,1,6 Bloq Conc Estruc 014'!Área_de_impresión</vt:lpstr>
      <vt:lpstr>'5,1,6 camara 5,20&lt;=h&lt;6,20'!Área_de_impresión</vt:lpstr>
      <vt:lpstr>'5,1,7 Bloq Conc Estruc 019'!Área_de_impresión</vt:lpstr>
      <vt:lpstr>'5,1,7 camara 6,20&lt;=h&lt;7,20'!Área_de_impresión</vt:lpstr>
      <vt:lpstr>'5,1,8 camara 7,20&lt;=h&lt;8,20'!Área_de_impresión</vt:lpstr>
      <vt:lpstr>'5,2,6 Muro en bloque No 4'!Área_de_impresión</vt:lpstr>
      <vt:lpstr>'5,3,1 Enchape ladrillo arcilla'!Área_de_impresión</vt:lpstr>
      <vt:lpstr>'5,3,3 Alfagias ladrillo arcilla'!Área_de_impresión</vt:lpstr>
      <vt:lpstr>'5,3,4 Remate ladrillo arcilla'!Área_de_impresión</vt:lpstr>
      <vt:lpstr>'5,4,1 Grouting-Concreto fluido'!Área_de_impresión</vt:lpstr>
      <vt:lpstr>'5,4,2 Remates'!Área_de_impresión</vt:lpstr>
      <vt:lpstr>'5,5,3 Malla Electrosoldada '!Área_de_impresión</vt:lpstr>
      <vt:lpstr>'5,6,1 Instalaciòn carpint. Meta'!Área_de_impresión</vt:lpstr>
      <vt:lpstr>'6,1,1 Alfajias'!Área_de_impresión</vt:lpstr>
      <vt:lpstr>'6,1,10 Gradas en Concreto'!Área_de_impresión</vt:lpstr>
      <vt:lpstr>'6,1,11 PLAQUETAS'!Área_de_impresión</vt:lpstr>
      <vt:lpstr>'6,1,15 Bordillos ducha y aseo'!Área_de_impresión</vt:lpstr>
      <vt:lpstr>'6,1,2 Dinteles'!Área_de_impresión</vt:lpstr>
      <vt:lpstr>'6,1,3 Remates sobre mamposteria'!Área_de_impresión</vt:lpstr>
      <vt:lpstr>'6,2,1 Mesones en concreto'!Área_de_impresión</vt:lpstr>
      <vt:lpstr>'6,2,3 Mesones laboratorios'!Área_de_impresión</vt:lpstr>
      <vt:lpstr>'6,2,5 Bancas Concreto'!Área_de_impresión</vt:lpstr>
      <vt:lpstr>'6,2,8 Alfajias 2'!Área_de_impresión</vt:lpstr>
      <vt:lpstr>'6.1.8 Pergolas'!Área_de_impresión</vt:lpstr>
      <vt:lpstr>'7,1,1,1 Acometida PVC-P 2"'!Área_de_impresión</vt:lpstr>
      <vt:lpstr>'7,1,1,2 Accesorio PVC-P 2" '!Área_de_impresión</vt:lpstr>
      <vt:lpstr>'7,1,10,2 Pto 3"'!Área_de_impresión</vt:lpstr>
      <vt:lpstr>'7,1,10,2 Punto Vent 3"'!Área_de_impresión</vt:lpstr>
      <vt:lpstr>'7,1,11,4"'!Área_de_impresión</vt:lpstr>
      <vt:lpstr>'7,1,11,5 Bajante PVC '!Área_de_impresión</vt:lpstr>
      <vt:lpstr>'7,1,11,6 Accesorios PVC'!Área_de_impresión</vt:lpstr>
      <vt:lpstr>'7,1,12,1 Instalaciòn Lavamanos'!Área_de_impresión</vt:lpstr>
      <vt:lpstr>'7,1,12,2 Instalaciòn Sanitario '!Área_de_impresión</vt:lpstr>
      <vt:lpstr>'7,1,12,8 Llave  Manguera 1.2 '!Área_de_impresión</vt:lpstr>
      <vt:lpstr>'7,1,12,9 Acoflex lav.sant.'!Área_de_impresión</vt:lpstr>
      <vt:lpstr>'7,1,3,1 Tuberia H.G. 1"cuarto '!Área_de_impresión</vt:lpstr>
      <vt:lpstr>'7,1,3,2  Accesorio H.G.1"cuarto'!Área_de_impresión</vt:lpstr>
      <vt:lpstr>'7,1,3,3  Registro R. W. 1"'!Área_de_impresión</vt:lpstr>
      <vt:lpstr>'7,1,3,4  Cheque Helber 1"'!Área_de_impresión</vt:lpstr>
      <vt:lpstr>'7,1,4,1 Tuberia H.G. 1 1.2"'!Área_de_impresión</vt:lpstr>
      <vt:lpstr>'7,1,4,2  Accesorio H.G.1 1.2"'!Área_de_impresión</vt:lpstr>
      <vt:lpstr>'7,1,4,3  Registro R. W. 1. 1.2"'!Área_de_impresión</vt:lpstr>
      <vt:lpstr>'7,1,4,4  Cheque  Helber 1 1.2"'!Área_de_impresión</vt:lpstr>
      <vt:lpstr>'7,1,5,4 Registro 114'!Área_de_impresión</vt:lpstr>
      <vt:lpstr>'7,1,5,5 Registro 1 12'!Área_de_impresión</vt:lpstr>
      <vt:lpstr>'7,1,5,6 Registro 2 '!Área_de_impresión</vt:lpstr>
      <vt:lpstr>'7,1,6,10 Accesorio UZ  2"'!Área_de_impresión</vt:lpstr>
      <vt:lpstr>'7,1,6,11 Accesorio UZ 3"'!Área_de_impresión</vt:lpstr>
      <vt:lpstr>'7,1,6,4 Acometida 1 14'!Área_de_impresión</vt:lpstr>
      <vt:lpstr>'7,1,6,6 Acometida 2'!Área_de_impresión</vt:lpstr>
      <vt:lpstr>'7,1,6,7 Tubo UZ 2"'!Área_de_impresión</vt:lpstr>
      <vt:lpstr>'7,1,6,8 Acometida 1 12'!Área_de_impresión</vt:lpstr>
      <vt:lpstr>'7,1,6,9 Tuberia UZ 3"'!Área_de_impresión</vt:lpstr>
      <vt:lpstr>'7,1,7,1 Tuberia H.G. 1.2"'!Área_de_impresión</vt:lpstr>
      <vt:lpstr>'7,1,7,2  Accesorio H.G.1.2"'!Área_de_impresión</vt:lpstr>
      <vt:lpstr>'7,1,7,3 Registro Corte 1.2" '!Área_de_impresión</vt:lpstr>
      <vt:lpstr>'7,1,7,4 Registro 1.2"'!Área_de_impresión</vt:lpstr>
      <vt:lpstr>'7,1,7,5 Caja para medidor'!Área_de_impresión</vt:lpstr>
      <vt:lpstr>'7,1,8,10  Tapòn H.G.1.2"'!Área_de_impresión</vt:lpstr>
      <vt:lpstr>'7,1,8,11  Tapòn P.V.C.1.2" '!Área_de_impresión</vt:lpstr>
      <vt:lpstr>'7,1,8,12  Camara aire H.G.1.2"'!Área_de_impresión</vt:lpstr>
      <vt:lpstr>'7,1,8,13  Camara aire P.V.C.P '!Área_de_impresión</vt:lpstr>
      <vt:lpstr>'7,1,8,2 Punto  Agua Fria 1 1.2"'!Área_de_impresión</vt:lpstr>
      <vt:lpstr>'7,1,8,3 P Agua Fria Sanitarios'!Área_de_impresión</vt:lpstr>
      <vt:lpstr>'7,1,8,4 P Agua Fria Orinales'!Área_de_impresión</vt:lpstr>
      <vt:lpstr>'7,1,8,5 P Agua Fria pocetas lab'!Área_de_impresión</vt:lpstr>
      <vt:lpstr>'7,1,8,6 P Agua Fria Ducha'!Área_de_impresión</vt:lpstr>
      <vt:lpstr>'7,1,8,7 P Agua Fria Pocetas'!Área_de_impresión</vt:lpstr>
      <vt:lpstr>'7,1,8,8 Llave  Manguera 1.2"'!Área_de_impresión</vt:lpstr>
      <vt:lpstr>'7,1,9,5  P Sifòn PVC-S 4"'!Área_de_impresión</vt:lpstr>
      <vt:lpstr>'7,2,1,1 Punto de gas'!Área_de_impresión</vt:lpstr>
      <vt:lpstr>'7,2,1,2 Preinstalación gas'!Área_de_impresión</vt:lpstr>
      <vt:lpstr>'7,2,1,3 Tuberia  tipo L 1.2"'!Área_de_impresión</vt:lpstr>
      <vt:lpstr>'7,2,1,4 Tuberia  tipo L 1"'!Área_de_impresión</vt:lpstr>
      <vt:lpstr>'7,2,1,5  Registro bola 1" '!Área_de_impresión</vt:lpstr>
      <vt:lpstr>'7,2,1,7  Rejilla vent. plastica'!Área_de_impresión</vt:lpstr>
      <vt:lpstr>'8,10'!Área_de_impresión</vt:lpstr>
      <vt:lpstr>'8,11'!Área_de_impresión</vt:lpstr>
      <vt:lpstr>'8,12'!Área_de_impresión</vt:lpstr>
      <vt:lpstr>'8,13'!Área_de_impresión</vt:lpstr>
      <vt:lpstr>'8,14'!Área_de_impresión</vt:lpstr>
      <vt:lpstr>'8,15'!Área_de_impresión</vt:lpstr>
      <vt:lpstr>'8,16'!Área_de_impresión</vt:lpstr>
      <vt:lpstr>'8,19'!Área_de_impresión</vt:lpstr>
      <vt:lpstr>'8,20'!Área_de_impresión</vt:lpstr>
      <vt:lpstr>'8,21'!Área_de_impresión</vt:lpstr>
      <vt:lpstr>'8,22'!Área_de_impresión</vt:lpstr>
      <vt:lpstr>'8,23'!Área_de_impresión</vt:lpstr>
      <vt:lpstr>'8,24'!Área_de_impresión</vt:lpstr>
      <vt:lpstr>'8,25'!Área_de_impresión</vt:lpstr>
      <vt:lpstr>'8,26'!Área_de_impresión</vt:lpstr>
      <vt:lpstr>'8,27'!Área_de_impresión</vt:lpstr>
      <vt:lpstr>'8,28'!Área_de_impresión</vt:lpstr>
      <vt:lpstr>'8,29'!Área_de_impresión</vt:lpstr>
      <vt:lpstr>'8,30'!Área_de_impresión</vt:lpstr>
      <vt:lpstr>'8,31'!Área_de_impresión</vt:lpstr>
      <vt:lpstr>'8,32'!Área_de_impresión</vt:lpstr>
      <vt:lpstr>'8,33'!Área_de_impresión</vt:lpstr>
      <vt:lpstr>'8,34'!Área_de_impresión</vt:lpstr>
      <vt:lpstr>'8,35'!Área_de_impresión</vt:lpstr>
      <vt:lpstr>'8,36'!Área_de_impresión</vt:lpstr>
      <vt:lpstr>'8,37'!Área_de_impresión</vt:lpstr>
      <vt:lpstr>'8,38'!Área_de_impresión</vt:lpstr>
      <vt:lpstr>'8,40'!Área_de_impresión</vt:lpstr>
      <vt:lpstr>'8,43'!Área_de_impresión</vt:lpstr>
      <vt:lpstr>'8,44'!Área_de_impresión</vt:lpstr>
      <vt:lpstr>'8,45'!Área_de_impresión</vt:lpstr>
      <vt:lpstr>'8,46'!Área_de_impresión</vt:lpstr>
      <vt:lpstr>'8,47'!Área_de_impresión</vt:lpstr>
      <vt:lpstr>'8,5'!Área_de_impresión</vt:lpstr>
      <vt:lpstr>'8,51'!Área_de_impresión</vt:lpstr>
      <vt:lpstr>'8,52'!Área_de_impresión</vt:lpstr>
      <vt:lpstr>'8,56'!Área_de_impresión</vt:lpstr>
      <vt:lpstr>'8,57'!Área_de_impresión</vt:lpstr>
      <vt:lpstr>'8,58'!Área_de_impresión</vt:lpstr>
      <vt:lpstr>'8,61'!Área_de_impresión</vt:lpstr>
      <vt:lpstr>'8,62'!Área_de_impresión</vt:lpstr>
      <vt:lpstr>'8,64'!Área_de_impresión</vt:lpstr>
      <vt:lpstr>'8,65'!Área_de_impresión</vt:lpstr>
      <vt:lpstr>'8,66'!Área_de_impresión</vt:lpstr>
      <vt:lpstr>'8,67'!Área_de_impresión</vt:lpstr>
      <vt:lpstr>'8,69'!Área_de_impresión</vt:lpstr>
      <vt:lpstr>'8,70'!Área_de_impresión</vt:lpstr>
      <vt:lpstr>'8,71'!Área_de_impresión</vt:lpstr>
      <vt:lpstr>'8,72'!Área_de_impresión</vt:lpstr>
      <vt:lpstr>'8,73'!Área_de_impresión</vt:lpstr>
      <vt:lpstr>'8,77'!Área_de_impresión</vt:lpstr>
      <vt:lpstr>'8,78'!Área_de_impresión</vt:lpstr>
      <vt:lpstr>'8,79'!Área_de_impresión</vt:lpstr>
      <vt:lpstr>'8,80'!Área_de_impresión</vt:lpstr>
      <vt:lpstr>'8,82'!Área_de_impresión</vt:lpstr>
      <vt:lpstr>'8,83'!Área_de_impresión</vt:lpstr>
      <vt:lpstr>'8,85'!Área_de_impresión</vt:lpstr>
      <vt:lpstr>'8,86'!Área_de_impresión</vt:lpstr>
      <vt:lpstr>'8,87'!Área_de_impresión</vt:lpstr>
      <vt:lpstr>'ANALISIS DE AIU'!Área_de_impresión</vt:lpstr>
      <vt:lpstr>COMPONENTES2!Área_de_impresión</vt:lpstr>
      <vt:lpstr>'Concr 2,000'!Área_de_impresión</vt:lpstr>
      <vt:lpstr>'Concr 2,500'!Área_de_impresión</vt:lpstr>
      <vt:lpstr>'Concr 3,000'!Área_de_impresión</vt:lpstr>
      <vt:lpstr>'Concr 3,500'!Área_de_impresión</vt:lpstr>
      <vt:lpstr>'Concr 4,000 '!Área_de_impresión</vt:lpstr>
      <vt:lpstr>Cuadrillas!Área_de_impresión</vt:lpstr>
      <vt:lpstr>'Cuadro Resumen (2)'!Área_de_impresión</vt:lpstr>
      <vt:lpstr>'Datos entrada'!Área_de_impresión</vt:lpstr>
      <vt:lpstr>Equ!Área_de_impresión</vt:lpstr>
      <vt:lpstr>'Granito pulido '!Área_de_impresión</vt:lpstr>
      <vt:lpstr>'Hoja Base'!Área_de_impresión</vt:lpstr>
      <vt:lpstr>'INSUMOS 1'!Área_de_impresión</vt:lpstr>
      <vt:lpstr>'Marcos puerta'!Área_de_impresión</vt:lpstr>
      <vt:lpstr>'Marcos ventana'!Área_de_impresión</vt:lpstr>
      <vt:lpstr>'Mort 1-3'!Área_de_impresión</vt:lpstr>
      <vt:lpstr>'Mort 1-3 Imper'!Área_de_impresión</vt:lpstr>
      <vt:lpstr>'Mort 1-4'!Área_de_impresión</vt:lpstr>
      <vt:lpstr>'Mort 1-4 Imper'!Área_de_impresión</vt:lpstr>
      <vt:lpstr>'Mort 1-5'!Área_de_impresión</vt:lpstr>
      <vt:lpstr>'Mort 1-7'!Área_de_impresión</vt:lpstr>
      <vt:lpstr>'P Agua Fria'!Área_de_impresión</vt:lpstr>
      <vt:lpstr>'P Eléctrico'!Área_de_impresión</vt:lpstr>
      <vt:lpstr>'P Sanitario'!Área_de_impresión</vt:lpstr>
      <vt:lpstr>'Pasamanos '!Área_de_impresión</vt:lpstr>
      <vt:lpstr>Salarios!Área_de_impresión</vt:lpstr>
      <vt:lpstr>Trans!Área_de_impresión</vt:lpstr>
      <vt:lpstr>Cuadrillas</vt:lpstr>
      <vt:lpstr>COMPONENTES2!desagües</vt:lpstr>
      <vt:lpstr>'INSUMOS 1'!desagües</vt:lpstr>
      <vt:lpstr>Descrip_cuadrillas</vt:lpstr>
      <vt:lpstr>Trans!Descrip_equipos</vt:lpstr>
      <vt:lpstr>Descrip_equipos</vt:lpstr>
      <vt:lpstr>Descrip_transporte</vt:lpstr>
      <vt:lpstr>Trans!Equipos</vt:lpstr>
      <vt:lpstr>Equipos</vt:lpstr>
      <vt:lpstr>COMPONENTES2!estructuras</vt:lpstr>
      <vt:lpstr>'INSUMOS 1'!estructuras</vt:lpstr>
      <vt:lpstr>EXCAVACIONES</vt:lpstr>
      <vt:lpstr>COMPONENTES2!InstElec</vt:lpstr>
      <vt:lpstr>'INSUMOS 1'!InstElec</vt:lpstr>
      <vt:lpstr>COMPONENTES2!instHidrSan</vt:lpstr>
      <vt:lpstr>'INSUMOS 1'!instHidrSan</vt:lpstr>
      <vt:lpstr>COMPONENTES2!item</vt:lpstr>
      <vt:lpstr>'INSUMOS 1'!item</vt:lpstr>
      <vt:lpstr>OBRA!item</vt:lpstr>
      <vt:lpstr>SUMINISTRO!item</vt:lpstr>
      <vt:lpstr>List_cuadrillas</vt:lpstr>
      <vt:lpstr>COMPONENTES2!mamposteria</vt:lpstr>
      <vt:lpstr>'INSUMOS 1'!mamposteria</vt:lpstr>
      <vt:lpstr>COMPONENTES2!PA</vt:lpstr>
      <vt:lpstr>'INSUMOS 1'!PA</vt:lpstr>
      <vt:lpstr>COMPONENTES2!pañetes</vt:lpstr>
      <vt:lpstr>'INSUMOS 1'!pañetes</vt:lpstr>
      <vt:lpstr>COMPONENTES2!PB</vt:lpstr>
      <vt:lpstr>'INSUMOS 1'!PB</vt:lpstr>
      <vt:lpstr>COMPONENTES2!PC</vt:lpstr>
      <vt:lpstr>'INSUMOS 1'!PC</vt:lpstr>
      <vt:lpstr>COMPONENTES2!PE</vt:lpstr>
      <vt:lpstr>'INSUMOS 1'!PE</vt:lpstr>
      <vt:lpstr>COMPONENTES2!PL</vt:lpstr>
      <vt:lpstr>'INSUMOS 1'!PL</vt:lpstr>
      <vt:lpstr>COMPONENTES2!prefabricados</vt:lpstr>
      <vt:lpstr>'INSUMOS 1'!prefabricados</vt:lpstr>
      <vt:lpstr>COMPONENTES2!preliminares</vt:lpstr>
      <vt:lpstr>'INSUMOS 1'!preliminares</vt:lpstr>
      <vt:lpstr>OBRA!preliminares</vt:lpstr>
      <vt:lpstr>PRELIMINARES.</vt:lpstr>
      <vt:lpstr>COMPONENTES2!SA</vt:lpstr>
      <vt:lpstr>'INSUMOS 1'!SA</vt:lpstr>
      <vt:lpstr>Salarios</vt:lpstr>
      <vt:lpstr>COMPONENTES2!SB</vt:lpstr>
      <vt:lpstr>'INSUMOS 1'!SB</vt:lpstr>
      <vt:lpstr>COMPONENTES2!SC</vt:lpstr>
      <vt:lpstr>'INSUMOS 1'!SC</vt:lpstr>
      <vt:lpstr>COMPONENTES2!SE</vt:lpstr>
      <vt:lpstr>'INSUMOS 1'!SE</vt:lpstr>
      <vt:lpstr>COMPONENTES2!SL</vt:lpstr>
      <vt:lpstr>'INSUMOS 1'!SL</vt:lpstr>
      <vt:lpstr>SUBTOTAL</vt:lpstr>
      <vt:lpstr>'2,2,6,2 Pilotes 0,40'!SUBTOTALMAT</vt:lpstr>
      <vt:lpstr>'2,2,6,3 Pilotes 0,60'!SUBTOTALMAT</vt:lpstr>
      <vt:lpstr>'2,2,6,4 Pilotes 0,80'!SUBTOTALMAT</vt:lpstr>
      <vt:lpstr>'2,2,6,5 Pilotes 0,90 '!SUBTOTALMAT</vt:lpstr>
      <vt:lpstr>SUBTOTALMAT</vt:lpstr>
      <vt:lpstr>COMPONENTES2!TA</vt:lpstr>
      <vt:lpstr>'INSUMOS 1'!TA</vt:lpstr>
      <vt:lpstr>COMPONENTES2!TB</vt:lpstr>
      <vt:lpstr>'INSUMOS 1'!TB</vt:lpstr>
      <vt:lpstr>COMPONENTES2!TC</vt:lpstr>
      <vt:lpstr>'INSUMOS 1'!TC</vt:lpstr>
      <vt:lpstr>COMPONENTES2!TE</vt:lpstr>
      <vt:lpstr>'INSUMOS 1'!TE</vt:lpstr>
      <vt:lpstr>COMPONENTES2!Títulos_a_imprimir</vt:lpstr>
      <vt:lpstr>'INSUMOS 1'!Títulos_a_imprimir</vt:lpstr>
      <vt:lpstr>OBRA!Títulos_a_imprimir</vt:lpstr>
      <vt:lpstr>SUMINISTRO!Títulos_a_imprimir</vt:lpstr>
      <vt:lpstr>COMPONENTES2!TL</vt:lpstr>
      <vt:lpstr>'INSUMOS 1'!TL</vt:lpstr>
      <vt:lpstr>Transporte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UTDGE 2006</dc:creator>
  <cp:lastModifiedBy>PAULA ANDREA RODRIGUEZ DELGADO</cp:lastModifiedBy>
  <cp:revision/>
  <cp:lastPrinted>2017-01-17T13:04:09Z</cp:lastPrinted>
  <dcterms:created xsi:type="dcterms:W3CDTF">1998-01-29T22:56:54Z</dcterms:created>
  <dcterms:modified xsi:type="dcterms:W3CDTF">2017-02-14T22:04:37Z</dcterms:modified>
</cp:coreProperties>
</file>